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FE32EB6-09C5-4243-9971-C68C9CA5D89F}"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29" i="56" l="1"/>
  <c r="R30" i="15" l="1"/>
  <c r="R24" i="15"/>
  <c r="C48" i="56" l="1"/>
  <c r="D48" i="56"/>
  <c r="E48" i="56"/>
  <c r="F48" i="56"/>
  <c r="G48" i="56"/>
  <c r="H48" i="56"/>
  <c r="I48" i="56"/>
  <c r="J48" i="56"/>
  <c r="B49" i="56"/>
  <c r="C137" i="56"/>
  <c r="D137" i="56" s="1"/>
  <c r="D49" i="56" s="1"/>
  <c r="B48" i="56"/>
  <c r="C140" i="56"/>
  <c r="D140" i="56" s="1"/>
  <c r="E140" i="56" s="1"/>
  <c r="K136" i="56"/>
  <c r="K48" i="56" s="1"/>
  <c r="B139" i="56"/>
  <c r="C107" i="56"/>
  <c r="D107" i="56" s="1"/>
  <c r="H81" i="56"/>
  <c r="C49" i="56" l="1"/>
  <c r="L136" i="56"/>
  <c r="C40" i="7"/>
  <c r="M136" i="56" l="1"/>
  <c r="L48" i="56"/>
  <c r="Q56" i="15"/>
  <c r="Q47" i="15"/>
  <c r="N136" i="56" l="1"/>
  <c r="M48" i="56"/>
  <c r="B92" i="53"/>
  <c r="B91" i="53"/>
  <c r="B89" i="53"/>
  <c r="B96" i="53"/>
  <c r="B95" i="53"/>
  <c r="D26" i="5"/>
  <c r="AE25" i="15"/>
  <c r="AF25" i="15"/>
  <c r="AE26" i="15"/>
  <c r="AF26" i="15"/>
  <c r="AE27" i="15"/>
  <c r="AF27" i="15"/>
  <c r="AE28" i="15"/>
  <c r="AF28" i="15"/>
  <c r="AE29" i="15"/>
  <c r="AF29" i="15"/>
  <c r="AE30" i="15"/>
  <c r="AE31" i="15"/>
  <c r="AF31" i="15"/>
  <c r="AE32" i="15"/>
  <c r="AF32" i="15"/>
  <c r="AE33" i="15"/>
  <c r="AF33" i="15"/>
  <c r="AE34" i="15"/>
  <c r="AF34" i="15"/>
  <c r="AE35" i="15"/>
  <c r="AF35" i="15"/>
  <c r="AE36" i="15"/>
  <c r="AF36" i="15"/>
  <c r="AE37" i="15"/>
  <c r="AF37" i="15"/>
  <c r="AE38" i="15"/>
  <c r="AF38" i="15"/>
  <c r="AE39" i="15"/>
  <c r="AF39" i="15"/>
  <c r="AE40" i="15"/>
  <c r="AF40" i="15"/>
  <c r="AE41" i="15"/>
  <c r="AF41" i="15"/>
  <c r="AE42" i="15"/>
  <c r="AF42" i="15"/>
  <c r="AE43" i="15"/>
  <c r="AF43" i="15"/>
  <c r="AE44" i="15"/>
  <c r="AF44" i="15"/>
  <c r="AE45" i="15"/>
  <c r="AF45" i="15"/>
  <c r="AE46" i="15"/>
  <c r="AF46" i="15"/>
  <c r="AE47" i="15"/>
  <c r="AF47" i="15"/>
  <c r="AE48" i="15"/>
  <c r="AF48" i="15"/>
  <c r="AE49" i="15"/>
  <c r="AF49" i="15"/>
  <c r="AE50" i="15"/>
  <c r="AF50" i="15"/>
  <c r="AE51" i="15"/>
  <c r="AF51" i="15"/>
  <c r="AE52" i="15"/>
  <c r="AF52" i="15"/>
  <c r="AE53" i="15"/>
  <c r="AF53" i="15"/>
  <c r="AE54" i="15"/>
  <c r="AF54" i="15"/>
  <c r="AE55" i="15"/>
  <c r="AF55" i="15"/>
  <c r="AE56" i="15"/>
  <c r="AF56" i="15"/>
  <c r="AE57" i="15"/>
  <c r="AF57" i="15"/>
  <c r="AE58" i="15"/>
  <c r="AF58" i="15"/>
  <c r="AE59" i="15"/>
  <c r="AF59" i="15"/>
  <c r="AE60" i="15"/>
  <c r="AF60" i="15"/>
  <c r="AE61" i="15"/>
  <c r="AF61" i="15"/>
  <c r="AE62" i="15"/>
  <c r="AF62" i="15"/>
  <c r="AE63" i="15"/>
  <c r="AF63" i="15"/>
  <c r="AE64" i="15"/>
  <c r="AF64" i="15"/>
  <c r="AF24" i="15"/>
  <c r="AE24" i="15"/>
  <c r="S24" i="15"/>
  <c r="T24" i="15"/>
  <c r="U24" i="15"/>
  <c r="V24" i="15"/>
  <c r="W24" i="15"/>
  <c r="X24" i="15"/>
  <c r="Y24" i="15"/>
  <c r="Z24" i="15"/>
  <c r="S30" i="15"/>
  <c r="T30" i="15"/>
  <c r="U30" i="15"/>
  <c r="V30" i="15"/>
  <c r="W30" i="15"/>
  <c r="X30" i="15"/>
  <c r="Y30" i="15"/>
  <c r="Z30" i="15"/>
  <c r="AD30" i="15"/>
  <c r="AC30" i="15"/>
  <c r="AB30" i="15"/>
  <c r="AA30" i="15"/>
  <c r="Q30" i="15"/>
  <c r="AF30" i="15" s="1"/>
  <c r="AD24" i="15"/>
  <c r="AC24" i="15"/>
  <c r="AB24" i="15"/>
  <c r="AA24" i="15"/>
  <c r="Q24" i="15"/>
  <c r="J30" i="15"/>
  <c r="J24" i="15"/>
  <c r="I30" i="15"/>
  <c r="I24" i="15"/>
  <c r="N48" i="56" l="1"/>
  <c r="O136" i="56"/>
  <c r="P136" i="56" l="1"/>
  <c r="O48" i="56"/>
  <c r="B65" i="53"/>
  <c r="Q136" i="56" l="1"/>
  <c r="P48" i="56"/>
  <c r="G30" i="15"/>
  <c r="G24" i="15"/>
  <c r="Q48" i="56" l="1"/>
  <c r="R136" i="56"/>
  <c r="B88" i="53"/>
  <c r="R48" i="56" l="1"/>
  <c r="S136" i="56"/>
  <c r="B98" i="53"/>
  <c r="B100" i="53"/>
  <c r="B84" i="53"/>
  <c r="S48" i="56" l="1"/>
  <c r="T136" i="56"/>
  <c r="H30" i="15"/>
  <c r="H24" i="15"/>
  <c r="U136" i="56" l="1"/>
  <c r="T48" i="56"/>
  <c r="B25" i="56"/>
  <c r="A15" i="56"/>
  <c r="A12" i="56"/>
  <c r="A9" i="56"/>
  <c r="A5" i="56"/>
  <c r="D141" i="56"/>
  <c r="D73" i="56" s="1"/>
  <c r="C141" i="56"/>
  <c r="C73" i="56" s="1"/>
  <c r="B141" i="56"/>
  <c r="B73" i="56" s="1"/>
  <c r="F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E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I67" i="56" s="1"/>
  <c r="F137" i="56" l="1"/>
  <c r="F49" i="56" s="1"/>
  <c r="E49" i="56"/>
  <c r="V136" i="56"/>
  <c r="U48" i="56"/>
  <c r="I118" i="56"/>
  <c r="I120" i="56" s="1"/>
  <c r="C109" i="56" s="1"/>
  <c r="C108" i="56" s="1"/>
  <c r="D58" i="56"/>
  <c r="E58" i="56" s="1"/>
  <c r="C47" i="56"/>
  <c r="C52" i="56"/>
  <c r="B46" i="56"/>
  <c r="F141" i="56"/>
  <c r="F73" i="56" s="1"/>
  <c r="G140" i="56"/>
  <c r="G137" i="56"/>
  <c r="E141" i="56"/>
  <c r="E73" i="56" s="1"/>
  <c r="H137" i="56" l="1"/>
  <c r="H49" i="56" s="1"/>
  <c r="G49" i="56"/>
  <c r="W136" i="56"/>
  <c r="V48" i="56"/>
  <c r="D109" i="56"/>
  <c r="E109" i="56" s="1"/>
  <c r="D47" i="56"/>
  <c r="D74" i="56"/>
  <c r="D52" i="56"/>
  <c r="H140" i="56"/>
  <c r="H141" i="56" s="1"/>
  <c r="D108" i="56"/>
  <c r="G141" i="56"/>
  <c r="G73" i="56" s="1"/>
  <c r="E74" i="56"/>
  <c r="F58" i="56"/>
  <c r="E52" i="56"/>
  <c r="E47" i="56"/>
  <c r="I137" i="56"/>
  <c r="I49" i="56" s="1"/>
  <c r="B85" i="56" l="1"/>
  <c r="H73" i="56"/>
  <c r="X136" i="56"/>
  <c r="W48" i="56"/>
  <c r="J137" i="56"/>
  <c r="J49" i="56" s="1"/>
  <c r="F109" i="56"/>
  <c r="E108" i="56"/>
  <c r="F74" i="56"/>
  <c r="G58" i="56"/>
  <c r="F52" i="56"/>
  <c r="F47" i="56"/>
  <c r="I140" i="56"/>
  <c r="I141" i="56" s="1"/>
  <c r="C85" i="56" l="1"/>
  <c r="C99" i="56" s="1"/>
  <c r="I73" i="56"/>
  <c r="Y136" i="56"/>
  <c r="X48" i="56"/>
  <c r="C50" i="56"/>
  <c r="C59" i="56" s="1"/>
  <c r="F108" i="56"/>
  <c r="G109" i="56"/>
  <c r="G74" i="56"/>
  <c r="G52" i="56"/>
  <c r="G47" i="56"/>
  <c r="H58" i="56"/>
  <c r="K137" i="56"/>
  <c r="K49" i="56" s="1"/>
  <c r="J140" i="56"/>
  <c r="Z136" i="56" l="1"/>
  <c r="Y48" i="56"/>
  <c r="K140" i="56"/>
  <c r="K141" i="56" s="1"/>
  <c r="J141" i="56"/>
  <c r="D50" i="56"/>
  <c r="D59" i="56" s="1"/>
  <c r="H74" i="56"/>
  <c r="I58" i="56"/>
  <c r="H52" i="56"/>
  <c r="H47" i="56"/>
  <c r="H109" i="56"/>
  <c r="G108" i="56"/>
  <c r="L137" i="56"/>
  <c r="L49" i="56" s="1"/>
  <c r="D85" i="56" l="1"/>
  <c r="J73" i="56"/>
  <c r="E85" i="56"/>
  <c r="E99" i="56" s="1"/>
  <c r="K73" i="56"/>
  <c r="AA136" i="56"/>
  <c r="Z48" i="56"/>
  <c r="I74" i="56"/>
  <c r="J58" i="56"/>
  <c r="I52" i="56"/>
  <c r="I47" i="56"/>
  <c r="E50" i="56"/>
  <c r="E59" i="56" s="1"/>
  <c r="M137" i="56"/>
  <c r="M49" i="56" s="1"/>
  <c r="I109" i="56"/>
  <c r="H108" i="56"/>
  <c r="L140" i="56"/>
  <c r="AB136" i="56" l="1"/>
  <c r="AA48" i="56"/>
  <c r="M140" i="56"/>
  <c r="M141" i="56" s="1"/>
  <c r="N137" i="56"/>
  <c r="N49" i="56" s="1"/>
  <c r="E80" i="56"/>
  <c r="J109" i="56"/>
  <c r="I108" i="56"/>
  <c r="J74" i="56"/>
  <c r="K58" i="56"/>
  <c r="J52" i="56"/>
  <c r="J47" i="56"/>
  <c r="L141" i="56"/>
  <c r="F50" i="56"/>
  <c r="F59" i="56" s="1"/>
  <c r="F85" i="56" l="1"/>
  <c r="F99" i="56" s="1"/>
  <c r="L73" i="56"/>
  <c r="G85" i="56"/>
  <c r="G99" i="56" s="1"/>
  <c r="M73" i="56"/>
  <c r="AC136" i="56"/>
  <c r="AB48" i="56"/>
  <c r="K74" i="56"/>
  <c r="K52" i="56"/>
  <c r="K47" i="56"/>
  <c r="L58" i="56"/>
  <c r="G50" i="56"/>
  <c r="G59" i="56" s="1"/>
  <c r="O137" i="56"/>
  <c r="O49" i="56" s="1"/>
  <c r="N140" i="56"/>
  <c r="N141" i="56" s="1"/>
  <c r="J108" i="56"/>
  <c r="K109" i="56"/>
  <c r="F80" i="56"/>
  <c r="H85" i="56" l="1"/>
  <c r="H99" i="56" s="1"/>
  <c r="N73" i="56"/>
  <c r="AD136" i="56"/>
  <c r="AC48" i="56"/>
  <c r="L74" i="56"/>
  <c r="M58" i="56"/>
  <c r="L52" i="56"/>
  <c r="L47" i="56"/>
  <c r="P137" i="56"/>
  <c r="P49" i="56" s="1"/>
  <c r="G80" i="56"/>
  <c r="L109" i="56"/>
  <c r="K108" i="56"/>
  <c r="O140" i="56"/>
  <c r="H50" i="56"/>
  <c r="H59" i="56" s="1"/>
  <c r="AE136" i="56" l="1"/>
  <c r="AD48" i="56"/>
  <c r="P140" i="56"/>
  <c r="P141" i="56" s="1"/>
  <c r="I50" i="56"/>
  <c r="I59" i="56" s="1"/>
  <c r="M74" i="56"/>
  <c r="N58" i="56"/>
  <c r="M52" i="56"/>
  <c r="M47" i="56"/>
  <c r="H80" i="56"/>
  <c r="M109" i="56"/>
  <c r="L108" i="56"/>
  <c r="O141" i="56"/>
  <c r="Q137" i="56"/>
  <c r="Q49" i="56" s="1"/>
  <c r="I85" i="56" l="1"/>
  <c r="I99" i="56" s="1"/>
  <c r="O73" i="56"/>
  <c r="J85" i="56"/>
  <c r="J99" i="56" s="1"/>
  <c r="P73" i="56"/>
  <c r="AF136" i="56"/>
  <c r="AE48" i="56"/>
  <c r="I80" i="56"/>
  <c r="Q140" i="56"/>
  <c r="Q141" i="56" s="1"/>
  <c r="J50" i="56"/>
  <c r="J59" i="56" s="1"/>
  <c r="N109" i="56"/>
  <c r="M108" i="56"/>
  <c r="R137" i="56"/>
  <c r="R49" i="56" s="1"/>
  <c r="N74" i="56"/>
  <c r="O58" i="56"/>
  <c r="N52" i="56"/>
  <c r="N47" i="56"/>
  <c r="K85" i="56" l="1"/>
  <c r="K99" i="56" s="1"/>
  <c r="Q73" i="56"/>
  <c r="AG136" i="56"/>
  <c r="AF48" i="56"/>
  <c r="O109" i="56"/>
  <c r="N108" i="56"/>
  <c r="R140" i="56"/>
  <c r="K50" i="56"/>
  <c r="K59" i="56" s="1"/>
  <c r="J80" i="56"/>
  <c r="O74" i="56"/>
  <c r="O47" i="56"/>
  <c r="P58" i="56"/>
  <c r="O52" i="56"/>
  <c r="S137" i="56"/>
  <c r="S49" i="56" s="1"/>
  <c r="AH136" i="56" l="1"/>
  <c r="AG48" i="56"/>
  <c r="Q58" i="56"/>
  <c r="P52" i="56"/>
  <c r="P47" i="56"/>
  <c r="P74" i="56"/>
  <c r="L50" i="56"/>
  <c r="L59" i="56" s="1"/>
  <c r="K80" i="56"/>
  <c r="S140" i="56"/>
  <c r="T137" i="56"/>
  <c r="T49" i="56" s="1"/>
  <c r="R141" i="56"/>
  <c r="P109" i="56"/>
  <c r="O108" i="56"/>
  <c r="L85" i="56" l="1"/>
  <c r="L99" i="56" s="1"/>
  <c r="R73" i="56"/>
  <c r="AI136" i="56"/>
  <c r="AH48" i="56"/>
  <c r="M50" i="56"/>
  <c r="M59" i="56" s="1"/>
  <c r="T140" i="56"/>
  <c r="T141" i="56" s="1"/>
  <c r="U137" i="56"/>
  <c r="U49" i="56" s="1"/>
  <c r="S141" i="56"/>
  <c r="Q74" i="56"/>
  <c r="R58" i="56"/>
  <c r="Q52" i="56"/>
  <c r="Q47" i="56"/>
  <c r="Q109" i="56"/>
  <c r="P108" i="56"/>
  <c r="L80" i="56"/>
  <c r="M85" i="56" l="1"/>
  <c r="M99" i="56" s="1"/>
  <c r="S73" i="56"/>
  <c r="N85" i="56"/>
  <c r="N99" i="56" s="1"/>
  <c r="T73" i="56"/>
  <c r="AJ136" i="56"/>
  <c r="AI48" i="56"/>
  <c r="R74" i="56"/>
  <c r="S58" i="56"/>
  <c r="R52" i="56"/>
  <c r="R47" i="56"/>
  <c r="V137" i="56"/>
  <c r="V49" i="56" s="1"/>
  <c r="R109" i="56"/>
  <c r="Q108" i="56"/>
  <c r="U140" i="56"/>
  <c r="U141" i="56" s="1"/>
  <c r="N50" i="56"/>
  <c r="N59" i="56" s="1"/>
  <c r="M80" i="56"/>
  <c r="O85" i="56" l="1"/>
  <c r="O99" i="56" s="1"/>
  <c r="U73" i="56"/>
  <c r="AK136" i="56"/>
  <c r="AJ48" i="56"/>
  <c r="S109" i="56"/>
  <c r="R108" i="56"/>
  <c r="N80" i="56"/>
  <c r="V140" i="56"/>
  <c r="V141" i="56" s="1"/>
  <c r="O50" i="56"/>
  <c r="O59" i="56" s="1"/>
  <c r="W137" i="56"/>
  <c r="W49" i="56" s="1"/>
  <c r="S74" i="56"/>
  <c r="T58" i="56"/>
  <c r="S52" i="56"/>
  <c r="S47" i="56"/>
  <c r="P85" i="56" l="1"/>
  <c r="P99" i="56" s="1"/>
  <c r="V73" i="56"/>
  <c r="AL136" i="56"/>
  <c r="AK48" i="56"/>
  <c r="P50" i="56"/>
  <c r="P59" i="56" s="1"/>
  <c r="T74" i="56"/>
  <c r="U58" i="56"/>
  <c r="T52" i="56"/>
  <c r="T47" i="56"/>
  <c r="X137" i="56"/>
  <c r="X49" i="56" s="1"/>
  <c r="T109" i="56"/>
  <c r="S108" i="56"/>
  <c r="O80" i="56"/>
  <c r="W140" i="56"/>
  <c r="AM136" i="56" l="1"/>
  <c r="AL48" i="56"/>
  <c r="Q50" i="56"/>
  <c r="Q59" i="56" s="1"/>
  <c r="X140" i="56"/>
  <c r="X141" i="56" s="1"/>
  <c r="Y137" i="56"/>
  <c r="Y49" i="56" s="1"/>
  <c r="W141" i="56"/>
  <c r="U109" i="56"/>
  <c r="T108" i="56"/>
  <c r="U74" i="56"/>
  <c r="V58" i="56"/>
  <c r="U52" i="56"/>
  <c r="U47" i="56"/>
  <c r="P80" i="56"/>
  <c r="Q85" i="56" l="1"/>
  <c r="Q99" i="56" s="1"/>
  <c r="W73" i="56"/>
  <c r="R85" i="56"/>
  <c r="R99" i="56" s="1"/>
  <c r="X73" i="56"/>
  <c r="AN136" i="56"/>
  <c r="AM48" i="56"/>
  <c r="V74" i="56"/>
  <c r="W58" i="56"/>
  <c r="V52" i="56"/>
  <c r="V47" i="56"/>
  <c r="R50" i="56"/>
  <c r="R59" i="56" s="1"/>
  <c r="Y140" i="56"/>
  <c r="Y141" i="56" s="1"/>
  <c r="Q80" i="56"/>
  <c r="V109" i="56"/>
  <c r="U108" i="56"/>
  <c r="Z137" i="56"/>
  <c r="Z49" i="56" s="1"/>
  <c r="S85" i="56" l="1"/>
  <c r="S99" i="56" s="1"/>
  <c r="Y73" i="56"/>
  <c r="AO136" i="56"/>
  <c r="AN48" i="56"/>
  <c r="W109" i="56"/>
  <c r="V108" i="56"/>
  <c r="W74" i="56"/>
  <c r="W52" i="56"/>
  <c r="W47" i="56"/>
  <c r="X58" i="56"/>
  <c r="S50" i="56"/>
  <c r="S59" i="56" s="1"/>
  <c r="Z140" i="56"/>
  <c r="AA137" i="56"/>
  <c r="AA49" i="56" s="1"/>
  <c r="R80" i="56"/>
  <c r="AP136" i="56" l="1"/>
  <c r="AO48" i="56"/>
  <c r="AB137" i="56"/>
  <c r="AB49" i="56" s="1"/>
  <c r="X74" i="56"/>
  <c r="Y58" i="56"/>
  <c r="X52" i="56"/>
  <c r="X47" i="56"/>
  <c r="AA140" i="56"/>
  <c r="S80" i="56"/>
  <c r="X109" i="56"/>
  <c r="W108" i="56"/>
  <c r="T50" i="56"/>
  <c r="T59" i="56" s="1"/>
  <c r="Z141" i="56"/>
  <c r="T85" i="56" l="1"/>
  <c r="T99" i="56" s="1"/>
  <c r="Z73" i="56"/>
  <c r="AQ136" i="56"/>
  <c r="AR136" i="56" s="1"/>
  <c r="AS136" i="56" s="1"/>
  <c r="AT136" i="56" s="1"/>
  <c r="AU136" i="56" s="1"/>
  <c r="AV136" i="56" s="1"/>
  <c r="AW136" i="56" s="1"/>
  <c r="AX136" i="56" s="1"/>
  <c r="AY136" i="56" s="1"/>
  <c r="AP48" i="56"/>
  <c r="T80" i="56"/>
  <c r="X108" i="56"/>
  <c r="Y109" i="56"/>
  <c r="AB140" i="56"/>
  <c r="AB141" i="56" s="1"/>
  <c r="AA141" i="56"/>
  <c r="Y74" i="56"/>
  <c r="Z58" i="56"/>
  <c r="Y52" i="56"/>
  <c r="Y47" i="56"/>
  <c r="U50" i="56"/>
  <c r="U59" i="56" s="1"/>
  <c r="AC137" i="56"/>
  <c r="AC49" i="56" s="1"/>
  <c r="U85" i="56" l="1"/>
  <c r="U99" i="56" s="1"/>
  <c r="AA73" i="56"/>
  <c r="V85" i="56"/>
  <c r="V99" i="56" s="1"/>
  <c r="AB73" i="56"/>
  <c r="V50" i="56"/>
  <c r="V59" i="56" s="1"/>
  <c r="U80" i="56"/>
  <c r="Z74" i="56"/>
  <c r="AA58" i="56"/>
  <c r="Z52" i="56"/>
  <c r="Z47" i="56"/>
  <c r="Z109" i="56"/>
  <c r="Y108" i="56"/>
  <c r="AC140" i="56"/>
  <c r="AD137" i="56"/>
  <c r="AD49" i="56" s="1"/>
  <c r="AE137" i="56" l="1"/>
  <c r="AE49" i="56" s="1"/>
  <c r="AD140" i="56"/>
  <c r="AA109" i="56"/>
  <c r="Z108" i="56"/>
  <c r="W50" i="56"/>
  <c r="W59" i="56" s="1"/>
  <c r="AC141" i="56"/>
  <c r="AA74" i="56"/>
  <c r="AA52" i="56"/>
  <c r="AA47" i="56"/>
  <c r="AB58" i="56"/>
  <c r="V80" i="56"/>
  <c r="W85" i="56" l="1"/>
  <c r="W99" i="56" s="1"/>
  <c r="AC73" i="56"/>
  <c r="AE140" i="56"/>
  <c r="AE141" i="56" s="1"/>
  <c r="X50" i="56"/>
  <c r="X59" i="56" s="1"/>
  <c r="AB74" i="56"/>
  <c r="AC58" i="56"/>
  <c r="AB52" i="56"/>
  <c r="AB47" i="56"/>
  <c r="AB109" i="56"/>
  <c r="AA108" i="56"/>
  <c r="W80" i="56"/>
  <c r="AF137" i="56"/>
  <c r="AF49" i="56" s="1"/>
  <c r="AD141" i="56"/>
  <c r="X85" i="56" l="1"/>
  <c r="X99" i="56" s="1"/>
  <c r="AD73" i="56"/>
  <c r="Y85" i="56"/>
  <c r="Y99" i="56" s="1"/>
  <c r="AE73" i="56"/>
  <c r="X80" i="56"/>
  <c r="Y50" i="56"/>
  <c r="Y59" i="56" s="1"/>
  <c r="AG137" i="56"/>
  <c r="AG49" i="56" s="1"/>
  <c r="AC74" i="56"/>
  <c r="AD58" i="56"/>
  <c r="AC52" i="56"/>
  <c r="AC47" i="56"/>
  <c r="AC109" i="56"/>
  <c r="AB108" i="56"/>
  <c r="AF140" i="56"/>
  <c r="AF141" i="56" s="1"/>
  <c r="Z85" i="56" l="1"/>
  <c r="Z99" i="56" s="1"/>
  <c r="AF73" i="56"/>
  <c r="Z50" i="56"/>
  <c r="Z59" i="56" s="1"/>
  <c r="AG140" i="56"/>
  <c r="AG141" i="56" s="1"/>
  <c r="AH137" i="56"/>
  <c r="AH49" i="56" s="1"/>
  <c r="Y80" i="56"/>
  <c r="AD109" i="56"/>
  <c r="AC108" i="56"/>
  <c r="AD74" i="56"/>
  <c r="AE58" i="56"/>
  <c r="AD52" i="56"/>
  <c r="AD47" i="56"/>
  <c r="AA85" i="56" l="1"/>
  <c r="AA99" i="56" s="1"/>
  <c r="AG73" i="56"/>
  <c r="AE109" i="56"/>
  <c r="AD108" i="56"/>
  <c r="AE74" i="56"/>
  <c r="AE47" i="56"/>
  <c r="AF58" i="56"/>
  <c r="AE52" i="56"/>
  <c r="AA50" i="56"/>
  <c r="AA59" i="56" s="1"/>
  <c r="AH140" i="56"/>
  <c r="AH141" i="56" s="1"/>
  <c r="AI137" i="56"/>
  <c r="AI49" i="56" s="1"/>
  <c r="Z80" i="56"/>
  <c r="AB85" i="56" l="1"/>
  <c r="AB99" i="56" s="1"/>
  <c r="AH73" i="56"/>
  <c r="AJ137" i="56"/>
  <c r="AJ49" i="56" s="1"/>
  <c r="AF109" i="56"/>
  <c r="AE108" i="56"/>
  <c r="AI140" i="56"/>
  <c r="AI141" i="56" s="1"/>
  <c r="AG58" i="56"/>
  <c r="AF52" i="56"/>
  <c r="AF47" i="56"/>
  <c r="AF74" i="56"/>
  <c r="AB50" i="56"/>
  <c r="AB59" i="56" s="1"/>
  <c r="AA80" i="56"/>
  <c r="AC85" i="56" l="1"/>
  <c r="AC99" i="56" s="1"/>
  <c r="AI73" i="56"/>
  <c r="AG74" i="56"/>
  <c r="AH58" i="56"/>
  <c r="AG52" i="56"/>
  <c r="AG47" i="56"/>
  <c r="AG109" i="56"/>
  <c r="AF108" i="56"/>
  <c r="AJ140" i="56"/>
  <c r="AJ141" i="56" s="1"/>
  <c r="AB80" i="56"/>
  <c r="AC50" i="56"/>
  <c r="AC59" i="56" s="1"/>
  <c r="AK137" i="56"/>
  <c r="AK49" i="56" s="1"/>
  <c r="AD85" i="56" l="1"/>
  <c r="AD99" i="56" s="1"/>
  <c r="AJ73" i="56"/>
  <c r="AC80" i="56"/>
  <c r="AH74" i="56"/>
  <c r="AI58" i="56"/>
  <c r="AH52" i="56"/>
  <c r="AH47" i="56"/>
  <c r="AD50" i="56"/>
  <c r="AD59" i="56" s="1"/>
  <c r="AH109" i="56"/>
  <c r="AG108" i="56"/>
  <c r="AL137" i="56"/>
  <c r="AL49" i="56" s="1"/>
  <c r="AK140" i="56"/>
  <c r="AM137" i="56" l="1"/>
  <c r="AM49" i="56" s="1"/>
  <c r="AI109" i="56"/>
  <c r="AH108" i="56"/>
  <c r="AL140" i="56"/>
  <c r="AL141" i="56" s="1"/>
  <c r="AK141" i="56"/>
  <c r="AE50" i="56"/>
  <c r="AE59" i="56" s="1"/>
  <c r="AD80" i="56"/>
  <c r="AI74" i="56"/>
  <c r="AJ58" i="56"/>
  <c r="AI52" i="56"/>
  <c r="AI47" i="56"/>
  <c r="AE85" i="56" l="1"/>
  <c r="AE99" i="56" s="1"/>
  <c r="AK73" i="56"/>
  <c r="AF85" i="56"/>
  <c r="AF99" i="56" s="1"/>
  <c r="AL73" i="56"/>
  <c r="AJ74" i="56"/>
  <c r="AK58" i="56"/>
  <c r="AJ52" i="56"/>
  <c r="AJ47" i="56"/>
  <c r="AE80" i="56"/>
  <c r="AF50" i="56"/>
  <c r="AF59" i="56" s="1"/>
  <c r="AJ109" i="56"/>
  <c r="AI108" i="56"/>
  <c r="AN137" i="56"/>
  <c r="AN49" i="56" s="1"/>
  <c r="AM140" i="56"/>
  <c r="AM141" i="56" s="1"/>
  <c r="AG85" i="56" l="1"/>
  <c r="AG99" i="56" s="1"/>
  <c r="AM73" i="56"/>
  <c r="AO137" i="56"/>
  <c r="AO49" i="56" s="1"/>
  <c r="AK109" i="56"/>
  <c r="AJ108" i="56"/>
  <c r="AG50" i="56"/>
  <c r="AG59" i="56" s="1"/>
  <c r="AF80" i="56"/>
  <c r="AN140" i="56"/>
  <c r="AN141" i="56" s="1"/>
  <c r="AK74" i="56"/>
  <c r="AL58" i="56"/>
  <c r="AK52" i="56"/>
  <c r="AK47" i="56"/>
  <c r="AH85" i="56" l="1"/>
  <c r="AH99" i="56" s="1"/>
  <c r="AN73" i="56"/>
  <c r="AL109" i="56"/>
  <c r="AK108" i="56"/>
  <c r="AO140" i="56"/>
  <c r="AO141" i="56" s="1"/>
  <c r="AH50" i="56"/>
  <c r="AH59" i="56" s="1"/>
  <c r="AL74" i="56"/>
  <c r="AM58" i="56"/>
  <c r="AL52" i="56"/>
  <c r="AL47" i="56"/>
  <c r="AG80" i="56"/>
  <c r="AP137" i="56"/>
  <c r="AP49" i="56" s="1"/>
  <c r="AI85" i="56" l="1"/>
  <c r="AI99" i="56" s="1"/>
  <c r="AO73" i="56"/>
  <c r="AM74" i="56"/>
  <c r="AM52" i="56"/>
  <c r="AM47" i="56"/>
  <c r="AN58" i="56"/>
  <c r="AM109" i="56"/>
  <c r="AL108" i="56"/>
  <c r="AI50" i="56"/>
  <c r="AI59" i="56" s="1"/>
  <c r="AH80" i="56"/>
  <c r="AP140" i="56"/>
  <c r="AQ137" i="56"/>
  <c r="AQ140" i="56" l="1"/>
  <c r="AQ141" i="56" s="1"/>
  <c r="AR137" i="56"/>
  <c r="AI80" i="56"/>
  <c r="AN109" i="56"/>
  <c r="AM108" i="56"/>
  <c r="AN74" i="56"/>
  <c r="AO58" i="56"/>
  <c r="AN52" i="56"/>
  <c r="AN47" i="56"/>
  <c r="AJ50" i="56"/>
  <c r="AJ59" i="56" s="1"/>
  <c r="AP141" i="56"/>
  <c r="AJ85" i="56" l="1"/>
  <c r="AJ99" i="56" s="1"/>
  <c r="AP73" i="56"/>
  <c r="AK85" i="56"/>
  <c r="AK99" i="56" s="1"/>
  <c r="AQ73" i="56"/>
  <c r="AJ80" i="56"/>
  <c r="AO74" i="56"/>
  <c r="AP58" i="56"/>
  <c r="AO52" i="56"/>
  <c r="AO47" i="56"/>
  <c r="AK50" i="56"/>
  <c r="AK59" i="56" s="1"/>
  <c r="AR140" i="56"/>
  <c r="AS137" i="56"/>
  <c r="AN108" i="56"/>
  <c r="AO109" i="56"/>
  <c r="AK80" i="56" l="1"/>
  <c r="AP109" i="56"/>
  <c r="AP108" i="56" s="1"/>
  <c r="AO108" i="56"/>
  <c r="AS140" i="56"/>
  <c r="AS141" i="56" s="1"/>
  <c r="AL50" i="56"/>
  <c r="AL59" i="56" s="1"/>
  <c r="AP74" i="56"/>
  <c r="AP52" i="56"/>
  <c r="AP47" i="56"/>
  <c r="AT137" i="56"/>
  <c r="AR141" i="56"/>
  <c r="AL85" i="56" l="1"/>
  <c r="AL99" i="56" s="1"/>
  <c r="AR73" i="56"/>
  <c r="AM85" i="56"/>
  <c r="AM99" i="56" s="1"/>
  <c r="AS73" i="56"/>
  <c r="AL80" i="56"/>
  <c r="AM50" i="56"/>
  <c r="AM59" i="56" s="1"/>
  <c r="AU137" i="56"/>
  <c r="AT140" i="56"/>
  <c r="AU140" i="56" l="1"/>
  <c r="AN50" i="56"/>
  <c r="AN59" i="56" s="1"/>
  <c r="AT141" i="56"/>
  <c r="AM80" i="56"/>
  <c r="AV137" i="56"/>
  <c r="AN85" i="56" l="1"/>
  <c r="AN99" i="56" s="1"/>
  <c r="AT73" i="56"/>
  <c r="AO50" i="56"/>
  <c r="AO59" i="56" s="1"/>
  <c r="AV140" i="56"/>
  <c r="AV141" i="56" s="1"/>
  <c r="AP85" i="56" s="1"/>
  <c r="AP99" i="56" s="1"/>
  <c r="AW137" i="56"/>
  <c r="AX137" i="56" s="1"/>
  <c r="AY137" i="56" s="1"/>
  <c r="AU141" i="56"/>
  <c r="AO85" i="56" s="1"/>
  <c r="AO99" i="56" s="1"/>
  <c r="AN80" i="56"/>
  <c r="AW140" i="56" l="1"/>
  <c r="AW141" i="56" s="1"/>
  <c r="AP50" i="56"/>
  <c r="AP59" i="56" s="1"/>
  <c r="AO80" i="56"/>
  <c r="AX140" i="56" l="1"/>
  <c r="AX141" i="56" s="1"/>
  <c r="AP80" i="56"/>
  <c r="AY140" i="56" l="1"/>
  <c r="AY141" i="56" s="1"/>
  <c r="B22" i="53" l="1"/>
  <c r="C25" i="14" l="1"/>
  <c r="I26" i="5" l="1"/>
  <c r="R26" i="14"/>
  <c r="Q26" i="14"/>
  <c r="B24" i="53" l="1"/>
  <c r="L30" i="15" l="1"/>
  <c r="M30" i="15"/>
  <c r="N30" i="15"/>
  <c r="O30" i="15"/>
  <c r="P30" i="15"/>
  <c r="K30" i="15"/>
  <c r="D99" i="56" l="1"/>
  <c r="S26" i="14"/>
  <c r="AH30" i="15" l="1"/>
  <c r="S24" i="12"/>
  <c r="J24" i="12"/>
  <c r="I24" i="12"/>
  <c r="H24" i="12"/>
  <c r="F76" i="56" l="1"/>
  <c r="C76" i="56"/>
  <c r="M24" i="15"/>
  <c r="D76" i="56" l="1"/>
  <c r="C49" i="7"/>
  <c r="D24" i="15"/>
  <c r="E24" i="15"/>
  <c r="F24" i="15"/>
  <c r="K24" i="15"/>
  <c r="L24" i="15"/>
  <c r="N24" i="15"/>
  <c r="O24" i="15"/>
  <c r="P24" i="15"/>
  <c r="AH24" i="15"/>
  <c r="C24" i="15"/>
  <c r="A5" i="53"/>
  <c r="E76" i="56" l="1"/>
  <c r="B122" i="56"/>
  <c r="C48" i="7"/>
  <c r="G76" i="56" l="1"/>
  <c r="B27" i="53"/>
  <c r="B86" i="53" s="1"/>
  <c r="B126" i="56"/>
  <c r="B54" i="56"/>
  <c r="A15" i="53"/>
  <c r="B21" i="53" s="1"/>
  <c r="A12" i="53"/>
  <c r="A9" i="53"/>
  <c r="B58" i="53"/>
  <c r="B41" i="53"/>
  <c r="B32" i="53"/>
  <c r="B94" i="53" l="1"/>
  <c r="B90" i="53"/>
  <c r="H76" i="56"/>
  <c r="B99" i="53"/>
  <c r="B64" i="53"/>
  <c r="B76" i="53"/>
  <c r="B97" i="53"/>
  <c r="B60" i="53"/>
  <c r="B99" i="56"/>
  <c r="AQ99" i="56" s="1"/>
  <c r="A100" i="56" s="1"/>
  <c r="B50" i="56"/>
  <c r="B59" i="56" s="1"/>
  <c r="B55" i="56"/>
  <c r="B56" i="56" s="1"/>
  <c r="B69" i="56" s="1"/>
  <c r="B77" i="56" s="1"/>
  <c r="C61" i="56"/>
  <c r="C60" i="56" s="1"/>
  <c r="C66" i="56" s="1"/>
  <c r="C68" i="56" s="1"/>
  <c r="D61" i="56"/>
  <c r="D60" i="56" s="1"/>
  <c r="D66" i="56" s="1"/>
  <c r="D68" i="56" s="1"/>
  <c r="E61" i="56"/>
  <c r="E60" i="56" s="1"/>
  <c r="E66" i="56" s="1"/>
  <c r="E68" i="56" s="1"/>
  <c r="F61" i="56"/>
  <c r="F60" i="56" s="1"/>
  <c r="F66" i="56" s="1"/>
  <c r="F68" i="56" s="1"/>
  <c r="G61" i="56"/>
  <c r="G60" i="56" s="1"/>
  <c r="G66" i="56" s="1"/>
  <c r="G68" i="56" s="1"/>
  <c r="H61" i="56"/>
  <c r="H60" i="56" s="1"/>
  <c r="H66" i="56" s="1"/>
  <c r="H68" i="56" s="1"/>
  <c r="I61" i="56"/>
  <c r="I60" i="56" s="1"/>
  <c r="I66" i="56" s="1"/>
  <c r="I68"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AQ81" i="56"/>
  <c r="B30" i="53"/>
  <c r="B34" i="53"/>
  <c r="B47" i="53"/>
  <c r="B55" i="53"/>
  <c r="B72" i="53"/>
  <c r="B38" i="53"/>
  <c r="B43" i="53"/>
  <c r="B51" i="53"/>
  <c r="B68" i="53"/>
  <c r="I76" i="56" l="1"/>
  <c r="J67" i="56"/>
  <c r="C53" i="56"/>
  <c r="B66" i="56"/>
  <c r="B68" i="56" s="1"/>
  <c r="B70" i="56" s="1"/>
  <c r="B71" i="56" s="1"/>
  <c r="B82" i="56"/>
  <c r="F75" i="56"/>
  <c r="I75" i="56"/>
  <c r="E75" i="56"/>
  <c r="C55" i="56"/>
  <c r="C82" i="56" s="1"/>
  <c r="H75" i="56"/>
  <c r="D75" i="56"/>
  <c r="G75" i="56"/>
  <c r="C75" i="56"/>
  <c r="A15" i="12"/>
  <c r="K67" i="56" l="1"/>
  <c r="J76" i="56"/>
  <c r="J68" i="56"/>
  <c r="J75" i="56" s="1"/>
  <c r="B75" i="56"/>
  <c r="C56" i="56"/>
  <c r="C69" i="56" s="1"/>
  <c r="D53" i="56"/>
  <c r="D55" i="56" s="1"/>
  <c r="B72" i="56"/>
  <c r="B78" i="56"/>
  <c r="A8" i="17"/>
  <c r="E9" i="14"/>
  <c r="K68" i="56" l="1"/>
  <c r="K75" i="56" s="1"/>
  <c r="K76" i="56"/>
  <c r="L67" i="56"/>
  <c r="D82" i="56"/>
  <c r="D56" i="56"/>
  <c r="D69" i="56" s="1"/>
  <c r="D70" i="56" s="1"/>
  <c r="C77" i="56"/>
  <c r="C70" i="56"/>
  <c r="C71" i="56" s="1"/>
  <c r="C72" i="56" s="1"/>
  <c r="E53" i="56"/>
  <c r="A15" i="5"/>
  <c r="A12" i="5"/>
  <c r="A9" i="5"/>
  <c r="A5" i="5"/>
  <c r="A14" i="15"/>
  <c r="A11" i="15"/>
  <c r="A8" i="15"/>
  <c r="A4" i="1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L76" i="56" l="1"/>
  <c r="M67" i="56"/>
  <c r="L68" i="56"/>
  <c r="L75" i="56" s="1"/>
  <c r="C78" i="56"/>
  <c r="D77" i="56"/>
  <c r="D71" i="56"/>
  <c r="D72" i="56" s="1"/>
  <c r="E55" i="56"/>
  <c r="E56" i="56" s="1"/>
  <c r="E6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67" i="56" l="1"/>
  <c r="M76" i="56"/>
  <c r="M68" i="56"/>
  <c r="M75" i="56" s="1"/>
  <c r="E77" i="56"/>
  <c r="E70" i="56"/>
  <c r="D78" i="56"/>
  <c r="F53" i="56"/>
  <c r="E82" i="56"/>
  <c r="N76" i="56" l="1"/>
  <c r="O67" i="56"/>
  <c r="N68" i="56"/>
  <c r="N75" i="56" s="1"/>
  <c r="E71" i="56"/>
  <c r="F55" i="56"/>
  <c r="F82" i="56" s="1"/>
  <c r="O76" i="56" l="1"/>
  <c r="P67" i="56"/>
  <c r="O68" i="56"/>
  <c r="O75" i="56" s="1"/>
  <c r="E78" i="56"/>
  <c r="G53" i="56"/>
  <c r="F56" i="56"/>
  <c r="F69" i="56" s="1"/>
  <c r="E72" i="56"/>
  <c r="P76" i="56" l="1"/>
  <c r="Q67" i="56"/>
  <c r="P68" i="56"/>
  <c r="P75" i="56" s="1"/>
  <c r="G55" i="56"/>
  <c r="G82" i="56" s="1"/>
  <c r="F77" i="56"/>
  <c r="F70" i="56"/>
  <c r="F71" i="56" s="1"/>
  <c r="R67" i="56" l="1"/>
  <c r="Q76" i="56"/>
  <c r="Q68" i="56"/>
  <c r="Q75" i="56" s="1"/>
  <c r="G56" i="56"/>
  <c r="G69" i="56" s="1"/>
  <c r="H53" i="56"/>
  <c r="F72" i="56"/>
  <c r="F78" i="56"/>
  <c r="R76" i="56" l="1"/>
  <c r="S67" i="56"/>
  <c r="R68" i="56"/>
  <c r="R75" i="56" s="1"/>
  <c r="H55" i="56"/>
  <c r="H56" i="56" s="1"/>
  <c r="H69" i="56" s="1"/>
  <c r="G77" i="56"/>
  <c r="G70" i="56"/>
  <c r="G71" i="56" s="1"/>
  <c r="T67" i="56" l="1"/>
  <c r="S68" i="56"/>
  <c r="S75" i="56" s="1"/>
  <c r="S76" i="56"/>
  <c r="H77" i="56"/>
  <c r="H70" i="56"/>
  <c r="G72" i="56"/>
  <c r="G78" i="56"/>
  <c r="I53" i="56"/>
  <c r="H82" i="56"/>
  <c r="U67" i="56" l="1"/>
  <c r="T76" i="56"/>
  <c r="T68" i="56"/>
  <c r="T75" i="56" s="1"/>
  <c r="I55" i="56"/>
  <c r="I82" i="56" s="1"/>
  <c r="H71" i="56"/>
  <c r="H78" i="56" s="1"/>
  <c r="V67" i="56" l="1"/>
  <c r="U76" i="56"/>
  <c r="U68" i="56"/>
  <c r="U75" i="56" s="1"/>
  <c r="H72" i="56"/>
  <c r="J53" i="56"/>
  <c r="I56" i="56"/>
  <c r="I69" i="56" s="1"/>
  <c r="W67" i="56" l="1"/>
  <c r="V76" i="56"/>
  <c r="V68" i="56"/>
  <c r="V75" i="56" s="1"/>
  <c r="I77" i="56"/>
  <c r="I70" i="56"/>
  <c r="J55" i="56"/>
  <c r="X67" i="56" l="1"/>
  <c r="W76" i="56"/>
  <c r="W68" i="56"/>
  <c r="W75" i="56" s="1"/>
  <c r="K53" i="56"/>
  <c r="J82" i="56"/>
  <c r="I71" i="56"/>
  <c r="I78" i="56" s="1"/>
  <c r="J56" i="56"/>
  <c r="J69" i="56" s="1"/>
  <c r="Y67" i="56" l="1"/>
  <c r="X76" i="56"/>
  <c r="X68" i="56"/>
  <c r="X75" i="56" s="1"/>
  <c r="I72" i="56"/>
  <c r="J77" i="56"/>
  <c r="J70" i="56"/>
  <c r="K55" i="56"/>
  <c r="K56" i="56" s="1"/>
  <c r="K69" i="56" s="1"/>
  <c r="Y76" i="56" l="1"/>
  <c r="Z67" i="56"/>
  <c r="Y68" i="56"/>
  <c r="Y75" i="56" s="1"/>
  <c r="K77" i="56"/>
  <c r="K70" i="56"/>
  <c r="L53" i="56"/>
  <c r="K82" i="56"/>
  <c r="J71" i="56"/>
  <c r="J78" i="56" s="1"/>
  <c r="Z76" i="56" l="1"/>
  <c r="AA67" i="56"/>
  <c r="Z68" i="56"/>
  <c r="Z75" i="56" s="1"/>
  <c r="L55" i="56"/>
  <c r="L82" i="56" s="1"/>
  <c r="J72" i="56"/>
  <c r="K71" i="56"/>
  <c r="K78" i="56" s="1"/>
  <c r="AA76" i="56" l="1"/>
  <c r="AB67" i="56"/>
  <c r="AA68" i="56"/>
  <c r="AA75" i="56" s="1"/>
  <c r="AQ67" i="56"/>
  <c r="M53" i="56"/>
  <c r="L56" i="56"/>
  <c r="L69" i="56" s="1"/>
  <c r="K72" i="56"/>
  <c r="AB76" i="56" l="1"/>
  <c r="AC67" i="56"/>
  <c r="AB68" i="56"/>
  <c r="AB75" i="56" s="1"/>
  <c r="L77" i="56"/>
  <c r="L70" i="56"/>
  <c r="M55" i="56"/>
  <c r="M82" i="56" s="1"/>
  <c r="AC76" i="56" l="1"/>
  <c r="AD67" i="56"/>
  <c r="AC68" i="56"/>
  <c r="AC75" i="56" s="1"/>
  <c r="N53" i="56"/>
  <c r="N55" i="56" s="1"/>
  <c r="N56" i="56" s="1"/>
  <c r="N69" i="56" s="1"/>
  <c r="L71" i="56"/>
  <c r="L78" i="56" s="1"/>
  <c r="M56" i="56"/>
  <c r="M69" i="56" s="1"/>
  <c r="AD76" i="56" l="1"/>
  <c r="AE67" i="56"/>
  <c r="AD68" i="56"/>
  <c r="AD75" i="56" s="1"/>
  <c r="L72" i="56"/>
  <c r="N77" i="56"/>
  <c r="N70" i="56"/>
  <c r="M77" i="56"/>
  <c r="M70" i="56"/>
  <c r="O53" i="56"/>
  <c r="N82" i="56"/>
  <c r="AF67" i="56" l="1"/>
  <c r="AE76" i="56"/>
  <c r="AE68" i="56"/>
  <c r="AE75" i="56" s="1"/>
  <c r="O55" i="56"/>
  <c r="O56" i="56" s="1"/>
  <c r="O69" i="56" s="1"/>
  <c r="M71" i="56"/>
  <c r="M78" i="56" s="1"/>
  <c r="N71" i="56"/>
  <c r="N72" i="56" s="1"/>
  <c r="AF76" i="56" l="1"/>
  <c r="AF68" i="56"/>
  <c r="AF75" i="56" s="1"/>
  <c r="AR67" i="56"/>
  <c r="AG67" i="56"/>
  <c r="M72" i="56"/>
  <c r="O77" i="56"/>
  <c r="O70" i="56"/>
  <c r="N78" i="56"/>
  <c r="P53" i="56"/>
  <c r="O82" i="56"/>
  <c r="AH67" i="56" l="1"/>
  <c r="AG68" i="56"/>
  <c r="AG75" i="56" s="1"/>
  <c r="AG76" i="56"/>
  <c r="P55" i="56"/>
  <c r="P56" i="56" s="1"/>
  <c r="P69" i="56" s="1"/>
  <c r="O71" i="56"/>
  <c r="O78" i="56" s="1"/>
  <c r="AH76" i="56" l="1"/>
  <c r="AI67" i="56"/>
  <c r="AH68" i="56"/>
  <c r="AH75" i="56" s="1"/>
  <c r="O72" i="56"/>
  <c r="P77" i="56"/>
  <c r="P70" i="56"/>
  <c r="Q53" i="56"/>
  <c r="P82" i="56"/>
  <c r="AJ67" i="56" l="1"/>
  <c r="AI76" i="56"/>
  <c r="AI68" i="56"/>
  <c r="AI75" i="56" s="1"/>
  <c r="Q55" i="56"/>
  <c r="Q82" i="56" s="1"/>
  <c r="P71" i="56"/>
  <c r="P78" i="56" s="1"/>
  <c r="AK67" i="56" l="1"/>
  <c r="AJ76" i="56"/>
  <c r="AJ68" i="56"/>
  <c r="AJ75" i="56" s="1"/>
  <c r="Q56" i="56"/>
  <c r="Q69" i="56" s="1"/>
  <c r="Q70" i="56" s="1"/>
  <c r="R53" i="56"/>
  <c r="P72" i="56"/>
  <c r="AK76" i="56" l="1"/>
  <c r="AL67" i="56"/>
  <c r="AK68" i="56"/>
  <c r="AK75" i="56" s="1"/>
  <c r="Q77" i="56"/>
  <c r="R55" i="56"/>
  <c r="R56" i="56" s="1"/>
  <c r="R69" i="56" s="1"/>
  <c r="Q71" i="56"/>
  <c r="Q78" i="56" s="1"/>
  <c r="AL68" i="56" l="1"/>
  <c r="AL75" i="56" s="1"/>
  <c r="AL76" i="56"/>
  <c r="AM67" i="56"/>
  <c r="Q72" i="56"/>
  <c r="R77" i="56"/>
  <c r="R70" i="56"/>
  <c r="S53" i="56"/>
  <c r="R82" i="56"/>
  <c r="AN67" i="56" l="1"/>
  <c r="AM76" i="56"/>
  <c r="AM68" i="56"/>
  <c r="AM75" i="56" s="1"/>
  <c r="R71" i="56"/>
  <c r="R78" i="56" s="1"/>
  <c r="S55" i="56"/>
  <c r="AN76" i="56" l="1"/>
  <c r="AO67" i="56"/>
  <c r="AN68" i="56"/>
  <c r="AN75" i="56" s="1"/>
  <c r="R72" i="56"/>
  <c r="T53" i="56"/>
  <c r="S82" i="56"/>
  <c r="S56" i="56"/>
  <c r="S69" i="56" s="1"/>
  <c r="AP67" i="56" l="1"/>
  <c r="AO76" i="56"/>
  <c r="AO68" i="56"/>
  <c r="AO75" i="56" s="1"/>
  <c r="S77" i="56"/>
  <c r="S70" i="56"/>
  <c r="T55" i="56"/>
  <c r="T56" i="56" s="1"/>
  <c r="T69" i="56" s="1"/>
  <c r="AP76" i="56" l="1"/>
  <c r="AS67" i="56"/>
  <c r="AP68" i="56"/>
  <c r="AP75" i="56" s="1"/>
  <c r="T77" i="56"/>
  <c r="T70" i="56"/>
  <c r="S71" i="56"/>
  <c r="S78" i="56" s="1"/>
  <c r="U53" i="56"/>
  <c r="T82" i="56"/>
  <c r="S72" i="56" l="1"/>
  <c r="T71" i="56"/>
  <c r="T78" i="56" s="1"/>
  <c r="U55" i="56"/>
  <c r="U56" i="56" s="1"/>
  <c r="U69" i="56" s="1"/>
  <c r="V53" i="56" l="1"/>
  <c r="U82" i="56"/>
  <c r="U77" i="56"/>
  <c r="U70" i="56"/>
  <c r="T72" i="56"/>
  <c r="U71" i="56" l="1"/>
  <c r="U78" i="56" s="1"/>
  <c r="V55" i="56"/>
  <c r="V82" i="56" s="1"/>
  <c r="W53" i="56" l="1"/>
  <c r="W55" i="56" s="1"/>
  <c r="W56" i="56" s="1"/>
  <c r="W69" i="56" s="1"/>
  <c r="U72" i="56"/>
  <c r="V56" i="56"/>
  <c r="V69" i="56" s="1"/>
  <c r="V77" i="56" s="1"/>
  <c r="V70" i="56" l="1"/>
  <c r="V71" i="56" s="1"/>
  <c r="V78" i="56" s="1"/>
  <c r="X53" i="56"/>
  <c r="W82" i="56"/>
  <c r="W77" i="56"/>
  <c r="W70" i="56"/>
  <c r="W71" i="56" l="1"/>
  <c r="W78" i="56" s="1"/>
  <c r="V72" i="56"/>
  <c r="X55" i="56"/>
  <c r="X56" i="56" s="1"/>
  <c r="X69" i="56" s="1"/>
  <c r="W72" i="56" l="1"/>
  <c r="X77" i="56"/>
  <c r="X70" i="56"/>
  <c r="Y53" i="56"/>
  <c r="X82" i="56"/>
  <c r="Y55" i="56" l="1"/>
  <c r="Y82" i="56" s="1"/>
  <c r="X71" i="56"/>
  <c r="X78" i="56" s="1"/>
  <c r="Y56" i="56" l="1"/>
  <c r="Y69" i="56" s="1"/>
  <c r="Y77" i="56" s="1"/>
  <c r="Z53" i="56"/>
  <c r="X72" i="56"/>
  <c r="Y70" i="56" l="1"/>
  <c r="Y71" i="56" s="1"/>
  <c r="Y78" i="56" s="1"/>
  <c r="Z55" i="56"/>
  <c r="Z82" i="56" s="1"/>
  <c r="AA53" i="56" l="1"/>
  <c r="Z56" i="56"/>
  <c r="Z69" i="56" s="1"/>
  <c r="AA55" i="56"/>
  <c r="Z77" i="56"/>
  <c r="Z70" i="56"/>
  <c r="Y72" i="56"/>
  <c r="Z71" i="56" l="1"/>
  <c r="Z78" i="56" s="1"/>
  <c r="AB53" i="56"/>
  <c r="AA82" i="56"/>
  <c r="AA56" i="56"/>
  <c r="AA69" i="56" s="1"/>
  <c r="Z72" i="56" l="1"/>
  <c r="AA77" i="56"/>
  <c r="AA70" i="56"/>
  <c r="AB55" i="56"/>
  <c r="AB56" i="56" s="1"/>
  <c r="AB69" i="56" s="1"/>
  <c r="AC53" i="56" l="1"/>
  <c r="AB82" i="56"/>
  <c r="AA71" i="56"/>
  <c r="AA78" i="56" s="1"/>
  <c r="AB77" i="56"/>
  <c r="AB70" i="56"/>
  <c r="AA72" i="56" l="1"/>
  <c r="AB71" i="56"/>
  <c r="AB78" i="56" s="1"/>
  <c r="AC55" i="56"/>
  <c r="AC82" i="56" s="1"/>
  <c r="AD53" i="56" l="1"/>
  <c r="AD55" i="56" s="1"/>
  <c r="AD56" i="56" s="1"/>
  <c r="AD69" i="56" s="1"/>
  <c r="AC56" i="56"/>
  <c r="AC69" i="56" s="1"/>
  <c r="AC77" i="56" s="1"/>
  <c r="AB72" i="56"/>
  <c r="AC70" i="56" l="1"/>
  <c r="AC71" i="56" s="1"/>
  <c r="AC78" i="56" s="1"/>
  <c r="AD77" i="56"/>
  <c r="AD70" i="56"/>
  <c r="AE53" i="56"/>
  <c r="AD82" i="56"/>
  <c r="AC72" i="56" l="1"/>
  <c r="AE55" i="56"/>
  <c r="AE82" i="56" s="1"/>
  <c r="AD71" i="56"/>
  <c r="AD78" i="56" s="1"/>
  <c r="AF53" i="56" l="1"/>
  <c r="AE56" i="56"/>
  <c r="AE69" i="56" s="1"/>
  <c r="AD72" i="56"/>
  <c r="AF55" i="56" l="1"/>
  <c r="AF56" i="56" s="1"/>
  <c r="AF69" i="56" s="1"/>
  <c r="AE77" i="56"/>
  <c r="AE70" i="56"/>
  <c r="AF77" i="56" l="1"/>
  <c r="AF70" i="56"/>
  <c r="AE71" i="56"/>
  <c r="AE78" i="56" s="1"/>
  <c r="AG53" i="56"/>
  <c r="AF82" i="56"/>
  <c r="AE72" i="56" l="1"/>
  <c r="AF71" i="56"/>
  <c r="AF78" i="56" s="1"/>
  <c r="AG55" i="56"/>
  <c r="AG56" i="56" s="1"/>
  <c r="AG69" i="56" s="1"/>
  <c r="AG77" i="56" l="1"/>
  <c r="AG70" i="56"/>
  <c r="AH53" i="56"/>
  <c r="AG82" i="56"/>
  <c r="AF72" i="56"/>
  <c r="AH55" i="56" l="1"/>
  <c r="AH82" i="56" s="1"/>
  <c r="AG71" i="56"/>
  <c r="AG78" i="56" s="1"/>
  <c r="AG72" i="56" l="1"/>
  <c r="AI53" i="56"/>
  <c r="AH56" i="56"/>
  <c r="AH69" i="56" s="1"/>
  <c r="AI55" i="56" l="1"/>
  <c r="AI56" i="56" s="1"/>
  <c r="AI69" i="56" s="1"/>
  <c r="AH77" i="56"/>
  <c r="AH70" i="56"/>
  <c r="AI77" i="56" l="1"/>
  <c r="AI70" i="56"/>
  <c r="AH71" i="56"/>
  <c r="AH78" i="56" s="1"/>
  <c r="AJ53" i="56"/>
  <c r="AI82" i="56"/>
  <c r="AH72" i="56" l="1"/>
  <c r="AI71" i="56"/>
  <c r="AI78" i="56" s="1"/>
  <c r="AJ55" i="56"/>
  <c r="AJ56" i="56" s="1"/>
  <c r="AJ69" i="56" s="1"/>
  <c r="AJ77" i="56" l="1"/>
  <c r="AJ70" i="56"/>
  <c r="AK53" i="56"/>
  <c r="AJ82" i="56"/>
  <c r="AI72" i="56"/>
  <c r="AK55" i="56" l="1"/>
  <c r="AK56" i="56" s="1"/>
  <c r="AK69" i="56" s="1"/>
  <c r="AJ71" i="56"/>
  <c r="AJ78" i="56" s="1"/>
  <c r="AJ72" i="56" l="1"/>
  <c r="AK77" i="56"/>
  <c r="AK70" i="56"/>
  <c r="AL53" i="56"/>
  <c r="AK82" i="56"/>
  <c r="AL55" i="56" l="1"/>
  <c r="AL56" i="56" s="1"/>
  <c r="AL69" i="56" s="1"/>
  <c r="AK71" i="56"/>
  <c r="AK78" i="56" s="1"/>
  <c r="AK72" i="56" l="1"/>
  <c r="AL77" i="56"/>
  <c r="AL70" i="56"/>
  <c r="AM53" i="56"/>
  <c r="AL82" i="56"/>
  <c r="AL71" i="56" l="1"/>
  <c r="AL78" i="56" s="1"/>
  <c r="AM55" i="56"/>
  <c r="AM82" i="56" s="1"/>
  <c r="AL72" i="56" l="1"/>
  <c r="AM56" i="56"/>
  <c r="AM69" i="56" s="1"/>
  <c r="AN53" i="56"/>
  <c r="AN55" i="56" l="1"/>
  <c r="AN56" i="56" s="1"/>
  <c r="AN69" i="56" s="1"/>
  <c r="AM77" i="56"/>
  <c r="AM70" i="56"/>
  <c r="AN77" i="56" l="1"/>
  <c r="AN70" i="56"/>
  <c r="AM71" i="56"/>
  <c r="AM78" i="56" s="1"/>
  <c r="AO53" i="56"/>
  <c r="AN82" i="56"/>
  <c r="AM72" i="56" l="1"/>
  <c r="AN71" i="56"/>
  <c r="AN78" i="56" s="1"/>
  <c r="AO55" i="56"/>
  <c r="AO82" i="56" s="1"/>
  <c r="AN72" i="56" l="1"/>
  <c r="AO56" i="56"/>
  <c r="AO69" i="56" s="1"/>
  <c r="AP53" i="56"/>
  <c r="AP55" i="56" l="1"/>
  <c r="AP82" i="56" s="1"/>
  <c r="AO77" i="56"/>
  <c r="AO70" i="56"/>
  <c r="AP56" i="56" l="1"/>
  <c r="AP69" i="56" s="1"/>
  <c r="AP77" i="56" s="1"/>
  <c r="AO71" i="56"/>
  <c r="AO78" i="56" s="1"/>
  <c r="AP70" i="56" l="1"/>
  <c r="AP71" i="56" s="1"/>
  <c r="AP78" i="56" s="1"/>
  <c r="AO72" i="56"/>
  <c r="AP72" i="56" l="1"/>
  <c r="S83" i="56" l="1"/>
  <c r="S86" i="56" s="1"/>
  <c r="F83" i="56"/>
  <c r="F86" i="56" s="1"/>
  <c r="R83" i="56"/>
  <c r="R86" i="56" s="1"/>
  <c r="W83" i="56"/>
  <c r="W86" i="56" s="1"/>
  <c r="U83" i="56"/>
  <c r="U86" i="56" s="1"/>
  <c r="Z83" i="56"/>
  <c r="Z86" i="56" s="1"/>
  <c r="D83" i="56"/>
  <c r="D86" i="56" s="1"/>
  <c r="M83" i="56"/>
  <c r="M86" i="56" s="1"/>
  <c r="AB83" i="56"/>
  <c r="AB86" i="56" s="1"/>
  <c r="E83" i="56"/>
  <c r="AP83" i="56"/>
  <c r="AP86" i="56" s="1"/>
  <c r="H83" i="56"/>
  <c r="P83" i="56"/>
  <c r="P86" i="56" s="1"/>
  <c r="I83" i="56"/>
  <c r="I86" i="56" s="1"/>
  <c r="O83" i="56"/>
  <c r="O86" i="56" s="1"/>
  <c r="AD83" i="56"/>
  <c r="AD86" i="56" s="1"/>
  <c r="AA83" i="56"/>
  <c r="AA86" i="56" s="1"/>
  <c r="AG83" i="56"/>
  <c r="AG86" i="56" s="1"/>
  <c r="AJ83" i="56"/>
  <c r="AJ86" i="56" s="1"/>
  <c r="AE83" i="56"/>
  <c r="AE86" i="56" s="1"/>
  <c r="AO83" i="56"/>
  <c r="AO86" i="56" s="1"/>
  <c r="X83" i="56"/>
  <c r="X86" i="56" s="1"/>
  <c r="C83" i="56"/>
  <c r="C86" i="56" s="1"/>
  <c r="V83" i="56"/>
  <c r="V86" i="56" s="1"/>
  <c r="AI83" i="56"/>
  <c r="AI86" i="56" s="1"/>
  <c r="AC83" i="56"/>
  <c r="AC86" i="56" s="1"/>
  <c r="AK83" i="56"/>
  <c r="AK86" i="56" s="1"/>
  <c r="T83" i="56"/>
  <c r="T86" i="56" s="1"/>
  <c r="Q83" i="56"/>
  <c r="Q86" i="56" s="1"/>
  <c r="AH83" i="56"/>
  <c r="AH86" i="56" s="1"/>
  <c r="Y83" i="56"/>
  <c r="Y86" i="56" s="1"/>
  <c r="N83" i="56"/>
  <c r="N86" i="56" s="1"/>
  <c r="G83" i="56"/>
  <c r="G86" i="56" s="1"/>
  <c r="AF83" i="56"/>
  <c r="AF86" i="56" s="1"/>
  <c r="AN83" i="56"/>
  <c r="AN86" i="56" s="1"/>
  <c r="K83" i="56"/>
  <c r="K86" i="56" s="1"/>
  <c r="AL83" i="56"/>
  <c r="AL86" i="56" s="1"/>
  <c r="AM83" i="56"/>
  <c r="AM86" i="56" s="1"/>
  <c r="L83" i="56"/>
  <c r="L86" i="56" s="1"/>
  <c r="B83" i="56"/>
  <c r="B84" i="56" s="1"/>
  <c r="B89" i="56" s="1"/>
  <c r="J83" i="56"/>
  <c r="J86" i="56" s="1"/>
  <c r="E84" i="56" l="1"/>
  <c r="AC84" i="56"/>
  <c r="AL84" i="56"/>
  <c r="AO84" i="56"/>
  <c r="AF84" i="56"/>
  <c r="K84" i="56"/>
  <c r="F88" i="56"/>
  <c r="AP84" i="56"/>
  <c r="Q88" i="56"/>
  <c r="S84" i="56"/>
  <c r="K88" i="56"/>
  <c r="H86" i="56"/>
  <c r="N88" i="56"/>
  <c r="Z84" i="56"/>
  <c r="AP88" i="56"/>
  <c r="I84" i="56"/>
  <c r="E86" i="56"/>
  <c r="O88" i="56"/>
  <c r="J88" i="56"/>
  <c r="D84" i="56"/>
  <c r="AB88" i="56"/>
  <c r="D88" i="56"/>
  <c r="AM84" i="56"/>
  <c r="AM89" i="56" s="1"/>
  <c r="AF88" i="56"/>
  <c r="I88" i="56"/>
  <c r="AI88" i="56"/>
  <c r="Y88" i="56"/>
  <c r="C88" i="56"/>
  <c r="AL88" i="56"/>
  <c r="G84" i="56"/>
  <c r="U84" i="56"/>
  <c r="AA88" i="56"/>
  <c r="AG88" i="56"/>
  <c r="B86" i="56"/>
  <c r="H88" i="56"/>
  <c r="AK88" i="56"/>
  <c r="N84" i="56"/>
  <c r="N89" i="56" s="1"/>
  <c r="AD88" i="56"/>
  <c r="AJ84" i="56"/>
  <c r="B88" i="56"/>
  <c r="AI84" i="56"/>
  <c r="X88" i="56"/>
  <c r="Y84" i="56"/>
  <c r="AH84" i="56"/>
  <c r="AH89" i="56" s="1"/>
  <c r="T84" i="56"/>
  <c r="T89" i="56" s="1"/>
  <c r="M88" i="56"/>
  <c r="T88" i="56"/>
  <c r="W84" i="56"/>
  <c r="W89" i="56" s="1"/>
  <c r="AB84" i="56"/>
  <c r="AB89" i="56" s="1"/>
  <c r="AH88" i="56"/>
  <c r="R88" i="56"/>
  <c r="AC88" i="56"/>
  <c r="AM88" i="56"/>
  <c r="AN84" i="56"/>
  <c r="AN89" i="56" s="1"/>
  <c r="Z88" i="56"/>
  <c r="AE88" i="56"/>
  <c r="H84" i="56"/>
  <c r="H89" i="56" s="1"/>
  <c r="AJ88" i="56"/>
  <c r="P88" i="56"/>
  <c r="AD84" i="56"/>
  <c r="AD89" i="56" s="1"/>
  <c r="E88" i="56"/>
  <c r="X84" i="56"/>
  <c r="F84" i="56"/>
  <c r="F89" i="56" s="1"/>
  <c r="AO88" i="56"/>
  <c r="W88" i="56"/>
  <c r="L88" i="56"/>
  <c r="B105" i="56" s="1"/>
  <c r="G88" i="56"/>
  <c r="L84" i="56"/>
  <c r="O84" i="56"/>
  <c r="Q84" i="56"/>
  <c r="V88" i="56"/>
  <c r="C84" i="56"/>
  <c r="C89" i="56" s="1"/>
  <c r="U88" i="56"/>
  <c r="AE84" i="56"/>
  <c r="P84" i="56"/>
  <c r="P89" i="56" s="1"/>
  <c r="R84" i="56"/>
  <c r="R89" i="56" s="1"/>
  <c r="AG84" i="56"/>
  <c r="AG89" i="56" s="1"/>
  <c r="AN88" i="56"/>
  <c r="J84" i="56"/>
  <c r="S88" i="56"/>
  <c r="M84" i="56"/>
  <c r="AK84" i="56"/>
  <c r="V84" i="56"/>
  <c r="AA84" i="56"/>
  <c r="M89" i="56" l="1"/>
  <c r="AP89" i="56"/>
  <c r="X89" i="56"/>
  <c r="AL89" i="56"/>
  <c r="AA89" i="56"/>
  <c r="L89" i="56"/>
  <c r="U89" i="56"/>
  <c r="Y89" i="56"/>
  <c r="AI89" i="56"/>
  <c r="AJ89" i="56"/>
  <c r="B87" i="56"/>
  <c r="B90" i="56" s="1"/>
  <c r="AF87" i="56"/>
  <c r="AM87" i="56"/>
  <c r="AP87" i="56"/>
  <c r="N87" i="56"/>
  <c r="F87" i="56"/>
  <c r="U87" i="56"/>
  <c r="AG87" i="56"/>
  <c r="AG90" i="56" s="1"/>
  <c r="R87" i="56"/>
  <c r="P87" i="56"/>
  <c r="H87" i="56"/>
  <c r="AL87" i="56"/>
  <c r="AI87" i="56"/>
  <c r="K87" i="56"/>
  <c r="D87" i="56"/>
  <c r="C87" i="56"/>
  <c r="C90" i="56" s="1"/>
  <c r="X87" i="56"/>
  <c r="O87" i="56"/>
  <c r="O90" i="56" s="1"/>
  <c r="L87" i="56"/>
  <c r="W87" i="56"/>
  <c r="AB87" i="56"/>
  <c r="AJ87" i="56"/>
  <c r="AJ90" i="56" s="1"/>
  <c r="Y87" i="56"/>
  <c r="I87" i="56"/>
  <c r="I90" i="56" s="1"/>
  <c r="M87" i="56"/>
  <c r="M90" i="56" s="1"/>
  <c r="AC87" i="56"/>
  <c r="AC90" i="56" s="1"/>
  <c r="T87" i="56"/>
  <c r="AN87" i="56"/>
  <c r="AN90" i="56" s="1"/>
  <c r="Z87" i="56"/>
  <c r="Q87" i="56"/>
  <c r="Q90" i="56" s="1"/>
  <c r="AA87" i="56"/>
  <c r="S87" i="56"/>
  <c r="S90" i="56" s="1"/>
  <c r="AO87" i="56"/>
  <c r="AK87" i="56"/>
  <c r="AK90" i="56" s="1"/>
  <c r="J87" i="56"/>
  <c r="J90" i="56" s="1"/>
  <c r="V87" i="56"/>
  <c r="V90" i="56" s="1"/>
  <c r="AH87" i="56"/>
  <c r="AH90" i="56" s="1"/>
  <c r="G87" i="56"/>
  <c r="G90" i="56" s="1"/>
  <c r="AD87" i="56"/>
  <c r="AD90" i="56" s="1"/>
  <c r="AE87" i="56"/>
  <c r="E87" i="56"/>
  <c r="E90" i="56" s="1"/>
  <c r="G89" i="56"/>
  <c r="I89" i="56"/>
  <c r="J89" i="56"/>
  <c r="Z89" i="56"/>
  <c r="S89" i="56"/>
  <c r="AE89" i="56"/>
  <c r="O89" i="56"/>
  <c r="Q89" i="56"/>
  <c r="K89" i="56"/>
  <c r="AF89" i="56"/>
  <c r="E89" i="56"/>
  <c r="D89" i="56"/>
  <c r="V89" i="56"/>
  <c r="AK89" i="56"/>
  <c r="AO89" i="56"/>
  <c r="AC89" i="56"/>
  <c r="Y90" i="56" l="1"/>
  <c r="AO90" i="56"/>
  <c r="AA90" i="56"/>
  <c r="G28" i="56"/>
  <c r="C105" i="56" s="1"/>
  <c r="Z90" i="56"/>
  <c r="AE90" i="56"/>
  <c r="P90" i="56"/>
  <c r="K90" i="56"/>
  <c r="AI90" i="56"/>
  <c r="U90" i="56"/>
  <c r="AP90" i="56"/>
  <c r="A101" i="56"/>
  <c r="B102" i="56" s="1"/>
  <c r="W90" i="56"/>
  <c r="G30" i="56"/>
  <c r="A105" i="56" s="1"/>
  <c r="L90" i="56"/>
  <c r="D90" i="56"/>
  <c r="H90" i="56"/>
  <c r="R90" i="56"/>
  <c r="F90" i="56"/>
  <c r="AF90" i="56"/>
  <c r="T90" i="56"/>
  <c r="AB90" i="56"/>
  <c r="X90" i="56"/>
  <c r="AL90" i="56"/>
  <c r="N90" i="56"/>
  <c r="AM90" i="56"/>
  <c r="G29" i="56" l="1"/>
  <c r="D105" i="56" s="1"/>
</calcChain>
</file>

<file path=xl/sharedStrings.xml><?xml version="1.0" encoding="utf-8"?>
<sst xmlns="http://schemas.openxmlformats.org/spreadsheetml/2006/main" count="1091" uniqueCount="633">
  <si>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</si>
  <si>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</si>
  <si>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</si>
  <si>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</si>
  <si>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</si>
  <si>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</si>
  <si>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</si>
  <si>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</si>
  <si>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</si>
  <si>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</si>
  <si>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</si>
  <si>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</si>
  <si>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</si>
  <si>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</si>
  <si>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</si>
  <si>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</si>
  <si>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</si>
  <si>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</si>
  <si>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</si>
  <si>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</si>
  <si>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</si>
  <si>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</si>
  <si>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</si>
  <si>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</si>
  <si>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</si>
  <si>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</si>
  <si>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</si>
  <si>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</si>
  <si>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</si>
  <si>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</si>
  <si>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</si>
  <si>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</si>
  <si>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</si>
  <si>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</si>
  <si>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</si>
  <si>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</si>
  <si>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</si>
  <si>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</si>
  <si>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</si>
  <si>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</si>
  <si>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</si>
  <si>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</si>
  <si>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</si>
  <si>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</si>
  <si>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</si>
  <si>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</si>
  <si>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</si>
  <si>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</si>
  <si>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</si>
  <si>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</si>
  <si>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</si>
  <si>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</si>
  <si>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</si>
  <si>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</si>
  <si>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</si>
  <si>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</si>
  <si>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</si>
  <si>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</si>
  <si>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</si>
  <si>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</si>
  <si>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</si>
  <si>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</si>
  <si>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</si>
  <si>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</si>
  <si>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</si>
  <si>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</si>
  <si>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</si>
  <si>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</si>
  <si>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</si>
  <si>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</si>
  <si>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</si>
  <si>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</si>
  <si>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</si>
  <si>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</si>
  <si>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</si>
  <si>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</si>
  <si>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</si>
  <si>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</si>
  <si>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</si>
  <si>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</si>
  <si>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</si>
  <si>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</si>
  <si>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</si>
  <si>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</si>
  <si>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</si>
  <si>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</si>
  <si>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</si>
  <si>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</si>
  <si>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</si>
  <si>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</si>
  <si>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</si>
  <si>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</si>
  <si>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</si>
  <si>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</si>
  <si>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</si>
  <si>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</si>
  <si>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</si>
  <si>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</si>
  <si>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</si>
  <si>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</si>
  <si>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</si>
  <si>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</si>
  <si>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</si>
  <si>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</si>
  <si>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</si>
  <si>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</si>
  <si>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</si>
  <si>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</si>
  <si>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</si>
  <si>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</si>
  <si>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</si>
  <si>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</si>
  <si>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</si>
  <si>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</si>
  <si>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</si>
  <si>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</si>
  <si>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</si>
  <si>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</si>
  <si>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</si>
  <si>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</si>
  <si>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</si>
  <si>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</si>
  <si>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</si>
  <si>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</si>
  <si>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</si>
  <si>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</si>
  <si>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</si>
  <si>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</si>
  <si>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</si>
  <si>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</si>
  <si>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</si>
  <si>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</si>
  <si>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</si>
  <si>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</si>
  <si>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</si>
  <si>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</si>
  <si>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</si>
  <si>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</si>
  <si>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</si>
  <si>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</si>
  <si>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</si>
  <si>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</si>
  <si>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</si>
  <si>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</si>
  <si>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</si>
  <si>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</si>
  <si>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</si>
  <si>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</si>
  <si>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</si>
  <si>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</si>
  <si>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</si>
  <si>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</si>
  <si>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</si>
  <si>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</si>
  <si>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</si>
  <si>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</si>
  <si>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</si>
  <si>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</si>
  <si>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</si>
  <si>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</si>
  <si>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</si>
  <si>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</si>
  <si>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</si>
  <si>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</si>
  <si>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</si>
  <si>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</si>
  <si>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</si>
  <si>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</si>
  <si>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</si>
  <si>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</si>
  <si>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</si>
  <si>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</si>
  <si>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</si>
  <si>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</si>
  <si>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</si>
  <si>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</si>
  <si>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</si>
  <si>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</si>
  <si>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</si>
  <si>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</si>
  <si>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</si>
  <si>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</si>
  <si>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</si>
  <si>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</si>
  <si>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</si>
  <si>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</si>
  <si>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</si>
  <si>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</si>
  <si>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</si>
  <si>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</si>
  <si>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</si>
  <si>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</si>
  <si>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</si>
  <si>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</si>
  <si>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</si>
  <si>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</si>
  <si>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</si>
  <si>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</si>
  <si>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</si>
  <si>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</si>
  <si>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</si>
  <si>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</si>
  <si>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</si>
  <si>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</si>
  <si>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</si>
  <si>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</si>
  <si>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</si>
  <si>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</si>
  <si>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</si>
  <si>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</si>
  <si>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</si>
  <si>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</si>
  <si>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</si>
  <si>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</si>
  <si>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</si>
  <si>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</si>
  <si>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</si>
  <si>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</si>
  <si>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</si>
  <si>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</si>
  <si>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</si>
  <si>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</si>
  <si>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</si>
  <si>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</si>
  <si>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</si>
  <si>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</si>
  <si>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</si>
  <si>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</si>
  <si>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</si>
  <si>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</si>
  <si>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</si>
  <si>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</si>
  <si>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</si>
  <si>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</si>
  <si>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</si>
  <si>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</si>
  <si>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</si>
  <si>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</si>
  <si>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</si>
  <si>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</si>
  <si>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</si>
  <si>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</si>
  <si>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</si>
  <si>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</si>
  <si>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</si>
  <si>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</si>
  <si>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</si>
  <si>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</si>
  <si>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</si>
  <si>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</si>
  <si>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</si>
  <si>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</si>
  <si>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</si>
  <si>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</si>
  <si>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</si>
  <si>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</si>
  <si>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</si>
  <si>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</si>
  <si>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</si>
  <si>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</si>
  <si>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</si>
  <si>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</si>
  <si>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</si>
  <si>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</si>
  <si>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</si>
  <si>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</si>
  <si>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</si>
  <si>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</si>
  <si>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</si>
  <si>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</si>
  <si>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</si>
  <si>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</si>
  <si>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</si>
  <si>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</si>
  <si>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</si>
  <si>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</si>
  <si>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</si>
  <si>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</si>
  <si>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</si>
  <si>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</si>
  <si>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</si>
  <si>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</si>
  <si>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</si>
  <si>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</si>
  <si>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</si>
  <si>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</si>
  <si>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</si>
  <si>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</si>
  <si>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</si>
  <si>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</si>
  <si>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</si>
  <si>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</si>
  <si>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</si>
  <si>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</si>
  <si>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</si>
  <si>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</si>
  <si>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</si>
  <si>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</si>
  <si>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</si>
  <si>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</si>
  <si>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</si>
  <si>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</si>
  <si>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</si>
  <si>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</si>
  <si>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</si>
  <si>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</si>
  <si>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</si>
  <si>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</si>
  <si>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</si>
  <si>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</si>
  <si>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</si>
  <si>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</si>
  <si>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</si>
  <si>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</si>
  <si>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</si>
  <si>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</si>
  <si>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</si>
  <si>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</si>
  <si>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</si>
  <si>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</si>
  <si>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</si>
  <si>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</si>
  <si>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</si>
  <si>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</si>
  <si>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</si>
  <si>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</si>
  <si>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</si>
  <si>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</si>
  <si>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</si>
  <si>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</si>
  <si>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</si>
  <si>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</si>
  <si>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</si>
  <si>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</si>
  <si>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</si>
  <si>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</si>
  <si>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</si>
  <si>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</si>
  <si>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</si>
  <si>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</si>
  <si>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</si>
  <si>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</si>
  <si>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</si>
  <si>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</si>
  <si>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</si>
  <si>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</si>
  <si>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</si>
  <si>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</si>
  <si>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</si>
  <si>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</si>
  <si>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</si>
  <si>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</si>
  <si>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</si>
  <si>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</si>
  <si>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</si>
  <si>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</si>
  <si>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</si>
  <si>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</si>
  <si>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</si>
  <si>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</si>
  <si>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</si>
  <si>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</si>
  <si>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</si>
  <si>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</si>
  <si>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</si>
  <si>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</si>
  <si>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</si>
  <si>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</si>
  <si>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</si>
  <si>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</si>
  <si>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</si>
  <si>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</si>
  <si>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</si>
  <si>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</si>
  <si>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</si>
  <si>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</si>
  <si>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</si>
  <si>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</si>
  <si>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</si>
  <si>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</si>
  <si>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</si>
  <si>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</si>
  <si>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</si>
  <si>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</si>
  <si>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</si>
  <si>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</si>
  <si>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</si>
  <si>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</si>
  <si>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</si>
  <si>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</si>
  <si>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</si>
  <si>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</si>
  <si>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</si>
  <si>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</si>
  <si>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</si>
  <si>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</si>
  <si>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</si>
  <si>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</si>
  <si>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</si>
  <si>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</si>
  <si>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</si>
  <si>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</si>
  <si>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</si>
  <si>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</si>
  <si>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</si>
  <si>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</si>
  <si>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</si>
  <si>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</si>
  <si>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</si>
  <si>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</si>
  <si>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</si>
  <si>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</si>
  <si>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</si>
  <si>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</si>
  <si>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</si>
  <si>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</si>
  <si>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</si>
  <si>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</si>
  <si>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</si>
  <si>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</si>
  <si>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</si>
  <si>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</si>
  <si>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</si>
  <si>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</si>
  <si>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</si>
  <si>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</si>
  <si>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</si>
  <si>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</si>
  <si>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</si>
  <si>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</si>
  <si>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</si>
  <si>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</si>
  <si>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</si>
  <si>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</si>
  <si>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</si>
  <si>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</si>
  <si>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</si>
  <si>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</si>
  <si>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</si>
  <si>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</si>
  <si>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</si>
  <si>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</si>
  <si>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</si>
  <si>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</si>
  <si>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</si>
  <si>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</si>
  <si>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</si>
  <si>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</si>
  <si>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</si>
  <si>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</si>
  <si>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</si>
  <si>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</si>
  <si>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</si>
  <si>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</si>
  <si>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</si>
  <si>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</si>
  <si>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</si>
  <si>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</si>
  <si>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</si>
  <si>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</si>
  <si>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</si>
  <si>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</si>
  <si>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</si>
  <si>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</si>
  <si>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</si>
  <si>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</si>
  <si>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</si>
  <si>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</si>
  <si>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</si>
  <si>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</si>
  <si>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</si>
  <si>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</si>
  <si>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</si>
  <si>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</si>
  <si>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</si>
  <si>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</si>
  <si>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</si>
  <si>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</si>
  <si>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</si>
  <si>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</si>
  <si>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</si>
  <si>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</si>
  <si>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</si>
  <si>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</si>
  <si>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</si>
  <si>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</si>
  <si>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</si>
  <si>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</si>
  <si>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</si>
  <si>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</si>
  <si>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</si>
  <si>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</si>
  <si>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</si>
  <si>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</si>
  <si>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</si>
  <si>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</si>
  <si>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</si>
  <si>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</si>
  <si>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</si>
  <si>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</si>
  <si>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</si>
  <si>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</si>
  <si>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</si>
  <si>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</si>
  <si>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</si>
  <si>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</si>
  <si>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</si>
  <si>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</si>
  <si>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</si>
  <si>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</si>
  <si>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</si>
  <si>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</si>
  <si>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</si>
  <si>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</si>
  <si>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</si>
  <si>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</si>
  <si>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</si>
  <si>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</si>
  <si>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</si>
  <si>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</si>
  <si>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</si>
  <si>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</si>
  <si>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</si>
  <si>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</si>
  <si>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</si>
  <si>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</si>
  <si>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</si>
  <si>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</si>
  <si>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</si>
  <si>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</si>
  <si>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</si>
  <si>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</si>
  <si>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</si>
  <si>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</si>
  <si>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</si>
  <si>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</si>
  <si>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</si>
  <si>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</si>
  <si>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</si>
  <si>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</si>
  <si>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</si>
  <si>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</si>
  <si>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</si>
  <si>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</si>
  <si>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</si>
  <si>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</si>
  <si>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</si>
  <si>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</si>
  <si>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</si>
  <si>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</si>
  <si>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</si>
  <si>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</si>
  <si>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</si>
  <si>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</si>
  <si>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</si>
  <si>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</si>
  <si>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</si>
  <si>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</si>
  <si>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</si>
  <si>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</si>
  <si>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</si>
  <si>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</si>
  <si>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</si>
  <si>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</si>
  <si>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</si>
  <si>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</si>
  <si>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</si>
  <si>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</si>
  <si>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</si>
  <si>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</si>
  <si>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</si>
  <si>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</si>
  <si>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</si>
  <si>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</si>
  <si>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</si>
  <si>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</si>
  <si>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</si>
  <si>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 xml:space="preserve">Факт </t>
  </si>
  <si>
    <t>нд</t>
  </si>
  <si>
    <t>КЛ</t>
  </si>
  <si>
    <t>предложения по корректировке плана</t>
  </si>
  <si>
    <t>отсутствуют</t>
  </si>
  <si>
    <t>Гурьевский  городской округ</t>
  </si>
  <si>
    <t>ВЛ</t>
  </si>
  <si>
    <t>Согласну Приказа АО ЯЭ от 26.01.2018 № 25</t>
  </si>
  <si>
    <t>ВКЛ</t>
  </si>
  <si>
    <t>ПС (ПС + ВЛ, ПС + КЛ, ПС + ВКЛ)</t>
  </si>
  <si>
    <t>не требуется
Хоз.способ</t>
  </si>
  <si>
    <t>ж/б</t>
  </si>
  <si>
    <t>реконструкция</t>
  </si>
  <si>
    <t>не относится</t>
  </si>
  <si>
    <t>Вынос (переустройство) участков ВЛ 15 кВ с участка застройки</t>
  </si>
  <si>
    <t>Вынос (переустройство) ВЛ 15-47 (инв.5114664) п. Малое Исаково Гурьевский ГО</t>
  </si>
  <si>
    <t>ВЛ 15 кВ 15-47</t>
  </si>
  <si>
    <t>оп.5-оп.12</t>
  </si>
  <si>
    <t>оп.5-оп.9</t>
  </si>
  <si>
    <t>ПСД, утв. Приказом № 437 от 03.06.2020</t>
  </si>
  <si>
    <t>Вынос (переустройство) участков ВЛ 15 кВ с участка застройки 0,056 км</t>
  </si>
  <si>
    <t xml:space="preserve">факт 2020 года </t>
  </si>
  <si>
    <t>ООО "ЦИИ" договор № 2019/05/01 от 04.06.2019 в ценах 2019 года без НДС, млн. руб.</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</si>
  <si>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</si>
  <si>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</si>
  <si>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</si>
  <si>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(ф-л Энергоремонт) в ценах 2020 года с НДС, млн рублей</t>
  </si>
  <si>
    <t>ООО "ЦИИ" договор № 2021/07/01 от 30.07.2021 в ценах 2021 года без НДС, млн. руб.</t>
  </si>
  <si>
    <t>ИП Савин Евгений Валерьевич договор № 2021/04/02 от 12.04.2021 в ценах 2021 года без НДС, млн. руб.</t>
  </si>
  <si>
    <t>Работы выполненные хоз.способом (ф-л Энергоремонт) в ценах 2022 года с НДС, млн рублей</t>
  </si>
  <si>
    <t xml:space="preserve">факт 2019 года </t>
  </si>
  <si>
    <t>хоз.способ</t>
  </si>
  <si>
    <t>J_19-0403</t>
  </si>
  <si>
    <t>Год раскрытия информации: 2025 год</t>
  </si>
  <si>
    <t>Акционерное общество "Россети Янтарь" ДЗО  ПАО "Россети"</t>
  </si>
  <si>
    <t>З</t>
  </si>
  <si>
    <t>2025</t>
  </si>
  <si>
    <t xml:space="preserve">факт 2022 года </t>
  </si>
  <si>
    <t xml:space="preserve">факт 2023 года </t>
  </si>
  <si>
    <t>2024 год</t>
  </si>
  <si>
    <t xml:space="preserve"> по состоянию на 01.01.2023</t>
  </si>
  <si>
    <t xml:space="preserve"> по состоянию на 01.01.2025</t>
  </si>
  <si>
    <t>2025 год</t>
  </si>
  <si>
    <t>2026 год</t>
  </si>
  <si>
    <t>2027 год</t>
  </si>
  <si>
    <t>2028 год</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</si>
  <si>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</si>
  <si>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</si>
  <si>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ВЛ 15 кВ 4,51 млн рублей/км</t>
  </si>
  <si>
    <t>Соглашение о выполнении мероприятий по выносу (переустройству) объектов АО "Россети Янтарь" № 14/115/19 от 22.05.2019</t>
  </si>
  <si>
    <t>Сметная стоимость проекта в ценах 2025 года с НДС, млн. руб.</t>
  </si>
  <si>
    <t>Развитие электрической сети/усиление существующей электрической сети, не связанное с подключением новых потребителей</t>
  </si>
  <si>
    <t xml:space="preserve">Инвестиции </t>
  </si>
  <si>
    <t>среднеотпускной тариф на услуги по передаче руб/тыс.кВтч</t>
  </si>
  <si>
    <t>АО "Россети Янтарь"</t>
  </si>
  <si>
    <t>ПИР - АО "Россети Янтарь" "Энергоремонт"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</si>
</sst>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000000"/>
      <name val="Times New Roman"/>
      <family val="1"/>
      <charset val="204"/>
    </font>
    <font>
      <sz val="10"/>
      <color rgb="FF000000"/>
      <name val="Arial Cyr"/>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
      <patternFill patternType="solid">
        <fgColor theme="8" tint="0.79998168889431442"/>
        <bgColor indexed="64"/>
      </patternFill>
    </fill>
    <fill>
      <patternFill patternType="solid">
        <fgColor rgb="FFE6B8B7"/>
        <bgColor rgb="FF000000"/>
      </patternFill>
    </fill>
    <fill>
      <patternFill patternType="solid">
        <fgColor rgb="FFE4DFEC"/>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6" fontId="11" fillId="0" borderId="0" xfId="2"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42" fillId="0" borderId="55" xfId="2" applyFont="1" applyFill="1" applyBorder="1" applyAlignment="1">
      <alignment horizontal="center"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39" fillId="0" borderId="55" xfId="1" applyFont="1" applyBorder="1" applyAlignment="1">
      <alignment horizontal="center" vertical="center" wrapText="1"/>
    </xf>
    <xf numFmtId="0" fontId="40" fillId="30" borderId="31" xfId="2" applyFont="1" applyFill="1" applyBorder="1" applyAlignment="1">
      <alignment horizontal="justify" vertical="top" wrapText="1"/>
    </xf>
    <xf numFmtId="4" fontId="40" fillId="31" borderId="31" xfId="2" applyNumberFormat="1" applyFont="1" applyFill="1" applyBorder="1" applyAlignment="1">
      <alignment horizontal="justify" vertical="top" wrapText="1"/>
    </xf>
    <xf numFmtId="0" fontId="40" fillId="31" borderId="31" xfId="2" applyFont="1" applyFill="1" applyBorder="1" applyAlignment="1">
      <alignment horizontal="justify" vertical="top" wrapText="1"/>
    </xf>
    <xf numFmtId="0" fontId="40" fillId="0" borderId="35" xfId="2" applyFont="1" applyBorder="1" applyAlignment="1">
      <alignment vertical="top" wrapText="1"/>
    </xf>
    <xf numFmtId="0" fontId="47" fillId="0" borderId="48" xfId="67" applyFont="1" applyFill="1" applyBorder="1" applyAlignment="1">
      <alignment vertical="center" wrapText="1"/>
    </xf>
    <xf numFmtId="3" fontId="83" fillId="0" borderId="48" xfId="67" applyNumberFormat="1" applyFont="1" applyFill="1" applyBorder="1" applyAlignment="1">
      <alignment horizontal="center" vertical="center"/>
    </xf>
    <xf numFmtId="0" fontId="84" fillId="32" borderId="55" xfId="62" applyFont="1" applyFill="1" applyBorder="1" applyAlignment="1">
      <alignment horizontal="left" vertical="center" wrapText="1"/>
    </xf>
    <xf numFmtId="0" fontId="84" fillId="32" borderId="55" xfId="62" applyFont="1" applyFill="1" applyBorder="1" applyAlignment="1">
      <alignment horizontal="center" wrapText="1"/>
    </xf>
    <xf numFmtId="10" fontId="83" fillId="32" borderId="55" xfId="67" applyNumberFormat="1" applyFont="1" applyFill="1" applyBorder="1" applyAlignment="1">
      <alignment vertical="center"/>
    </xf>
    <xf numFmtId="10" fontId="84" fillId="32" borderId="55" xfId="62" applyNumberFormat="1" applyFont="1" applyFill="1" applyBorder="1"/>
    <xf numFmtId="10" fontId="84" fillId="33" borderId="55"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5"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E8A0-43FD-8555-24E320E47CC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E8A0-43FD-8555-24E320E47CC7}"/>
            </c:ext>
          </c:extLst>
        </c:ser>
        <c:dLbls>
          <c:showLegendKey val="0"/>
          <c:showVal val="0"/>
          <c:showCatName val="0"/>
          <c:showSerName val="0"/>
          <c:showPercent val="0"/>
          <c:showBubbleSize val="0"/>
        </c:dLbls>
        <c:smooth val="0"/>
        <c:axId val="662245064"/>
        <c:axId val="662241536"/>
      </c:lineChart>
      <c:catAx>
        <c:axId val="66224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эфф'!$B$86:$Q$86</c:f>
              <c:numCache>
                <c:formatCode>#,##0</c:formatCode>
                <c:ptCount val="16"/>
                <c:pt idx="0">
                  <c:v>207492.57369393355</c:v>
                </c:pt>
                <c:pt idx="1">
                  <c:v>-47561.107843769227</c:v>
                </c:pt>
                <c:pt idx="2">
                  <c:v>0</c:v>
                </c:pt>
                <c:pt idx="3">
                  <c:v>-120282.30107987097</c:v>
                </c:pt>
                <c:pt idx="4">
                  <c:v>13469.664965689035</c:v>
                </c:pt>
                <c:pt idx="5">
                  <c:v>0</c:v>
                </c:pt>
                <c:pt idx="6">
                  <c:v>0</c:v>
                </c:pt>
                <c:pt idx="7">
                  <c:v>551.19708674493222</c:v>
                </c:pt>
                <c:pt idx="8">
                  <c:v>484.7393252527765</c:v>
                </c:pt>
                <c:pt idx="9">
                  <c:v>426.29436747232137</c:v>
                </c:pt>
                <c:pt idx="10">
                  <c:v>374.89611069591177</c:v>
                </c:pt>
                <c:pt idx="11">
                  <c:v>329.69493509446119</c:v>
                </c:pt>
                <c:pt idx="12">
                  <c:v>-2480.571086388341</c:v>
                </c:pt>
                <c:pt idx="13">
                  <c:v>-2289.2029874935274</c:v>
                </c:pt>
                <c:pt idx="14">
                  <c:v>-2112.1088307723512</c:v>
                </c:pt>
                <c:pt idx="15">
                  <c:v>-1948.2864326583374</c:v>
                </c:pt>
              </c:numCache>
            </c:numRef>
          </c:val>
          <c:smooth val="0"/>
          <c:extLst>
            <c:ext xmlns:c16="http://schemas.microsoft.com/office/drawing/2014/chart" uri="{C3380CC4-5D6E-409C-BE32-E72D297353CC}">
              <c16:uniqueId val="{00000000-4DA7-4B67-9DF4-E7F1DD89469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эфф'!$B$87:$Q$87</c:f>
              <c:numCache>
                <c:formatCode>#,##0</c:formatCode>
                <c:ptCount val="16"/>
                <c:pt idx="0">
                  <c:v>207492.57369393355</c:v>
                </c:pt>
                <c:pt idx="1">
                  <c:v>159931.46585016433</c:v>
                </c:pt>
                <c:pt idx="2">
                  <c:v>159931.46585016433</c:v>
                </c:pt>
                <c:pt idx="3">
                  <c:v>39649.164770293355</c:v>
                </c:pt>
                <c:pt idx="4">
                  <c:v>53118.829735982392</c:v>
                </c:pt>
                <c:pt idx="5">
                  <c:v>53118.829735982392</c:v>
                </c:pt>
                <c:pt idx="6">
                  <c:v>53118.829735982392</c:v>
                </c:pt>
                <c:pt idx="7">
                  <c:v>53670.026822727326</c:v>
                </c:pt>
                <c:pt idx="8">
                  <c:v>54154.766147980103</c:v>
                </c:pt>
                <c:pt idx="9">
                  <c:v>54581.060515452424</c:v>
                </c:pt>
                <c:pt idx="10">
                  <c:v>54955.956626148334</c:v>
                </c:pt>
                <c:pt idx="11">
                  <c:v>55285.651561242797</c:v>
                </c:pt>
                <c:pt idx="12">
                  <c:v>52805.080474854454</c:v>
                </c:pt>
                <c:pt idx="13">
                  <c:v>50515.877487360929</c:v>
                </c:pt>
                <c:pt idx="14">
                  <c:v>48403.768656588582</c:v>
                </c:pt>
                <c:pt idx="15">
                  <c:v>46455.482223930245</c:v>
                </c:pt>
              </c:numCache>
            </c:numRef>
          </c:val>
          <c:smooth val="0"/>
          <c:extLst>
            <c:ext xmlns:c16="http://schemas.microsoft.com/office/drawing/2014/chart" uri="{C3380CC4-5D6E-409C-BE32-E72D297353CC}">
              <c16:uniqueId val="{00000001-4DA7-4B67-9DF4-E7F1DD894699}"/>
            </c:ext>
          </c:extLst>
        </c:ser>
        <c:dLbls>
          <c:showLegendKey val="0"/>
          <c:showVal val="0"/>
          <c:showCatName val="0"/>
          <c:showSerName val="0"/>
          <c:showPercent val="0"/>
          <c:showBubbleSize val="0"/>
        </c:dLbls>
        <c:smooth val="0"/>
        <c:axId val="662241928"/>
        <c:axId val="662242320"/>
      </c:lineChart>
      <c:catAx>
        <c:axId val="662241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2320"/>
        <c:crosses val="autoZero"/>
        <c:auto val="1"/>
        <c:lblAlgn val="ctr"/>
        <c:lblOffset val="100"/>
        <c:noMultiLvlLbl val="0"/>
      </c:catAx>
      <c:valAx>
        <c:axId val="6622423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C1" zoomScaleSheetLayoutView="10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hidden="1"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6" customFormat="1" ht="18.75" customHeight="1" x14ac:dyDescent="0.2">
      <c r="A1" s="273"/>
      <c r="C1" s="274" t="s">
        <v>66</v>
      </c>
    </row>
    <row r="2" spans="1:22" s="16" customFormat="1" ht="18.75" customHeight="1" x14ac:dyDescent="0.3">
      <c r="A2" s="273"/>
      <c r="C2" s="275" t="s">
        <v>8</v>
      </c>
    </row>
    <row r="3" spans="1:22" s="16" customFormat="1" ht="18.75" x14ac:dyDescent="0.3">
      <c r="A3" s="276"/>
      <c r="C3" s="275" t="s">
        <v>65</v>
      </c>
    </row>
    <row r="4" spans="1:22" s="16" customFormat="1" ht="18.75" x14ac:dyDescent="0.3">
      <c r="A4" s="276"/>
      <c r="H4" s="275"/>
    </row>
    <row r="5" spans="1:22" s="16" customFormat="1" ht="15.75" x14ac:dyDescent="0.25">
      <c r="A5" s="399" t="s">
        <v>610</v>
      </c>
      <c r="B5" s="399"/>
      <c r="C5" s="399"/>
      <c r="D5" s="160"/>
      <c r="E5" s="160"/>
      <c r="F5" s="160"/>
      <c r="G5" s="160"/>
      <c r="H5" s="160"/>
      <c r="I5" s="160"/>
      <c r="J5" s="160"/>
    </row>
    <row r="6" spans="1:22" s="16" customFormat="1" ht="18.75" x14ac:dyDescent="0.3">
      <c r="A6" s="276"/>
      <c r="H6" s="275"/>
    </row>
    <row r="7" spans="1:22" s="16" customFormat="1" ht="18.75" x14ac:dyDescent="0.2">
      <c r="A7" s="403" t="s">
        <v>7</v>
      </c>
      <c r="B7" s="403"/>
      <c r="C7" s="403"/>
      <c r="D7" s="277"/>
      <c r="E7" s="277"/>
      <c r="F7" s="277"/>
      <c r="G7" s="277"/>
      <c r="H7" s="277"/>
      <c r="I7" s="277"/>
      <c r="J7" s="277"/>
      <c r="K7" s="277"/>
      <c r="L7" s="277"/>
      <c r="M7" s="277"/>
      <c r="N7" s="277"/>
      <c r="O7" s="277"/>
      <c r="P7" s="277"/>
      <c r="Q7" s="277"/>
      <c r="R7" s="277"/>
      <c r="S7" s="277"/>
      <c r="T7" s="277"/>
      <c r="U7" s="277"/>
      <c r="V7" s="277"/>
    </row>
    <row r="8" spans="1:22" s="16" customFormat="1" ht="18.75" x14ac:dyDescent="0.2">
      <c r="A8" s="381"/>
      <c r="B8" s="381"/>
      <c r="C8" s="381"/>
      <c r="D8" s="278"/>
      <c r="E8" s="278"/>
      <c r="F8" s="278"/>
      <c r="G8" s="278"/>
      <c r="H8" s="278"/>
      <c r="I8" s="277"/>
      <c r="J8" s="277"/>
      <c r="K8" s="277"/>
      <c r="L8" s="277"/>
      <c r="M8" s="277"/>
      <c r="N8" s="277"/>
      <c r="O8" s="277"/>
      <c r="P8" s="277"/>
      <c r="Q8" s="277"/>
      <c r="R8" s="277"/>
      <c r="S8" s="277"/>
      <c r="T8" s="277"/>
      <c r="U8" s="277"/>
      <c r="V8" s="277"/>
    </row>
    <row r="9" spans="1:22" s="16" customFormat="1" ht="18.75" x14ac:dyDescent="0.2">
      <c r="A9" s="404" t="s">
        <v>611</v>
      </c>
      <c r="B9" s="404"/>
      <c r="C9" s="404"/>
      <c r="D9" s="279"/>
      <c r="E9" s="279"/>
      <c r="F9" s="279"/>
      <c r="G9" s="279"/>
      <c r="H9" s="279"/>
      <c r="I9" s="277"/>
      <c r="J9" s="277"/>
      <c r="K9" s="277"/>
      <c r="L9" s="277"/>
      <c r="M9" s="277"/>
      <c r="N9" s="277"/>
      <c r="O9" s="277"/>
      <c r="P9" s="277"/>
      <c r="Q9" s="277"/>
      <c r="R9" s="277"/>
      <c r="S9" s="277"/>
      <c r="T9" s="277"/>
      <c r="U9" s="277"/>
      <c r="V9" s="277"/>
    </row>
    <row r="10" spans="1:22" s="16" customFormat="1" ht="18.75" x14ac:dyDescent="0.2">
      <c r="A10" s="400" t="s">
        <v>6</v>
      </c>
      <c r="B10" s="400"/>
      <c r="C10" s="400"/>
      <c r="D10" s="280"/>
      <c r="E10" s="280"/>
      <c r="F10" s="280"/>
      <c r="G10" s="280"/>
      <c r="H10" s="280"/>
      <c r="I10" s="277"/>
      <c r="J10" s="277"/>
      <c r="K10" s="277"/>
      <c r="L10" s="277"/>
      <c r="M10" s="277"/>
      <c r="N10" s="277"/>
      <c r="O10" s="277"/>
      <c r="P10" s="277"/>
      <c r="Q10" s="277"/>
      <c r="R10" s="277"/>
      <c r="S10" s="277"/>
      <c r="T10" s="277"/>
      <c r="U10" s="277"/>
      <c r="V10" s="277"/>
    </row>
    <row r="11" spans="1:22" s="16" customFormat="1" ht="18.75" x14ac:dyDescent="0.2">
      <c r="A11" s="278"/>
      <c r="B11" s="278"/>
      <c r="C11" s="278"/>
      <c r="D11" s="278"/>
      <c r="E11" s="278"/>
      <c r="F11" s="278"/>
      <c r="G11" s="278"/>
      <c r="H11" s="278"/>
      <c r="I11" s="277"/>
      <c r="J11" s="277"/>
      <c r="K11" s="277"/>
      <c r="L11" s="277"/>
      <c r="M11" s="277"/>
      <c r="N11" s="277"/>
      <c r="O11" s="277"/>
      <c r="P11" s="277"/>
      <c r="Q11" s="277"/>
      <c r="R11" s="277"/>
      <c r="S11" s="277"/>
      <c r="T11" s="277"/>
      <c r="U11" s="277"/>
      <c r="V11" s="277"/>
    </row>
    <row r="12" spans="1:22" s="16" customFormat="1" ht="18.75" x14ac:dyDescent="0.2">
      <c r="A12" s="402" t="s">
        <v>609</v>
      </c>
      <c r="B12" s="402"/>
      <c r="C12" s="402"/>
      <c r="D12" s="279"/>
      <c r="E12" s="279"/>
      <c r="F12" s="279"/>
      <c r="G12" s="279"/>
      <c r="H12" s="279"/>
      <c r="I12" s="277"/>
      <c r="J12" s="277"/>
      <c r="K12" s="277"/>
      <c r="L12" s="277"/>
      <c r="M12" s="277"/>
      <c r="N12" s="277"/>
      <c r="O12" s="277"/>
      <c r="P12" s="277"/>
      <c r="Q12" s="277"/>
      <c r="R12" s="277"/>
      <c r="S12" s="277"/>
      <c r="T12" s="277"/>
      <c r="U12" s="277"/>
      <c r="V12" s="277"/>
    </row>
    <row r="13" spans="1:22" s="16" customFormat="1" ht="18.75" x14ac:dyDescent="0.2">
      <c r="A13" s="400" t="s">
        <v>5</v>
      </c>
      <c r="B13" s="400"/>
      <c r="C13" s="400"/>
      <c r="D13" s="280"/>
      <c r="E13" s="280"/>
      <c r="F13" s="280"/>
      <c r="G13" s="280"/>
      <c r="H13" s="280"/>
      <c r="I13" s="277"/>
      <c r="J13" s="277"/>
      <c r="K13" s="277"/>
      <c r="L13" s="277"/>
      <c r="M13" s="277"/>
      <c r="N13" s="277"/>
      <c r="O13" s="277"/>
      <c r="P13" s="277"/>
      <c r="Q13" s="277"/>
      <c r="R13" s="277"/>
      <c r="S13" s="277"/>
      <c r="T13" s="277"/>
      <c r="U13" s="277"/>
      <c r="V13" s="277"/>
    </row>
    <row r="14" spans="1:22" s="281"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2" customFormat="1" ht="39" customHeight="1" x14ac:dyDescent="0.2">
      <c r="A15" s="405" t="s">
        <v>592</v>
      </c>
      <c r="B15" s="406"/>
      <c r="C15" s="406"/>
      <c r="D15" s="279"/>
      <c r="E15" s="279"/>
      <c r="F15" s="279"/>
      <c r="G15" s="279"/>
      <c r="H15" s="279"/>
      <c r="I15" s="279"/>
      <c r="J15" s="279"/>
      <c r="K15" s="279"/>
      <c r="L15" s="279"/>
      <c r="M15" s="279"/>
      <c r="N15" s="279"/>
      <c r="O15" s="279"/>
      <c r="P15" s="279"/>
      <c r="Q15" s="279"/>
      <c r="R15" s="279"/>
      <c r="S15" s="279"/>
      <c r="T15" s="279"/>
      <c r="U15" s="279"/>
      <c r="V15" s="279"/>
    </row>
    <row r="16" spans="1:22" s="282" customFormat="1" ht="15" customHeight="1" x14ac:dyDescent="0.2">
      <c r="A16" s="400" t="s">
        <v>4</v>
      </c>
      <c r="B16" s="400"/>
      <c r="C16" s="400"/>
      <c r="D16" s="280"/>
      <c r="E16" s="280"/>
      <c r="F16" s="280"/>
      <c r="G16" s="280"/>
      <c r="H16" s="280"/>
      <c r="I16" s="280"/>
      <c r="J16" s="280"/>
      <c r="K16" s="280"/>
      <c r="L16" s="280"/>
      <c r="M16" s="280"/>
      <c r="N16" s="280"/>
      <c r="O16" s="280"/>
      <c r="P16" s="280"/>
      <c r="Q16" s="280"/>
      <c r="R16" s="280"/>
      <c r="S16" s="280"/>
      <c r="T16" s="280"/>
      <c r="U16" s="280"/>
      <c r="V16" s="280"/>
    </row>
    <row r="17" spans="1:22" s="282" customFormat="1" ht="15" customHeight="1" x14ac:dyDescent="0.2">
      <c r="A17" s="283"/>
      <c r="B17" s="283"/>
      <c r="C17" s="283"/>
      <c r="D17" s="283"/>
      <c r="E17" s="283"/>
      <c r="F17" s="283"/>
      <c r="G17" s="283"/>
      <c r="H17" s="283"/>
      <c r="I17" s="283"/>
      <c r="J17" s="283"/>
      <c r="K17" s="283"/>
      <c r="L17" s="283"/>
      <c r="M17" s="283"/>
      <c r="N17" s="283"/>
      <c r="O17" s="283"/>
      <c r="P17" s="283"/>
      <c r="Q17" s="283"/>
      <c r="R17" s="283"/>
      <c r="S17" s="283"/>
    </row>
    <row r="18" spans="1:22" s="282" customFormat="1" ht="15" customHeight="1" x14ac:dyDescent="0.2">
      <c r="A18" s="401" t="s">
        <v>511</v>
      </c>
      <c r="B18" s="402"/>
      <c r="C18" s="402"/>
      <c r="D18" s="284"/>
      <c r="E18" s="284"/>
      <c r="F18" s="284"/>
      <c r="G18" s="284"/>
      <c r="H18" s="284"/>
      <c r="I18" s="284"/>
      <c r="J18" s="284"/>
      <c r="K18" s="284"/>
      <c r="L18" s="284"/>
      <c r="M18" s="284"/>
      <c r="N18" s="284"/>
      <c r="O18" s="284"/>
      <c r="P18" s="284"/>
      <c r="Q18" s="284"/>
      <c r="R18" s="284"/>
      <c r="S18" s="284"/>
      <c r="T18" s="284"/>
      <c r="U18" s="284"/>
      <c r="V18" s="284"/>
    </row>
    <row r="19" spans="1:22" s="282" customFormat="1" ht="15" customHeight="1" x14ac:dyDescent="0.2">
      <c r="A19" s="280"/>
      <c r="B19" s="280"/>
      <c r="C19" s="280"/>
      <c r="D19" s="280"/>
      <c r="E19" s="280"/>
      <c r="F19" s="280"/>
      <c r="G19" s="280"/>
      <c r="H19" s="280"/>
      <c r="I19" s="283"/>
      <c r="J19" s="283"/>
      <c r="K19" s="283"/>
      <c r="L19" s="283"/>
      <c r="M19" s="283"/>
      <c r="N19" s="283"/>
      <c r="O19" s="283"/>
      <c r="P19" s="283"/>
      <c r="Q19" s="283"/>
      <c r="R19" s="283"/>
      <c r="S19" s="283"/>
    </row>
    <row r="20" spans="1:22" s="282" customFormat="1" ht="39.75" customHeight="1" x14ac:dyDescent="0.2">
      <c r="A20" s="35" t="s">
        <v>3</v>
      </c>
      <c r="B20" s="285" t="s">
        <v>64</v>
      </c>
      <c r="C20" s="286" t="s">
        <v>63</v>
      </c>
      <c r="D20" s="287"/>
      <c r="E20" s="287"/>
      <c r="F20" s="287"/>
      <c r="G20" s="287"/>
      <c r="H20" s="287"/>
      <c r="I20" s="271"/>
      <c r="J20" s="271"/>
      <c r="K20" s="271"/>
      <c r="L20" s="271"/>
      <c r="M20" s="271"/>
      <c r="N20" s="271"/>
      <c r="O20" s="271"/>
      <c r="P20" s="271"/>
      <c r="Q20" s="271"/>
      <c r="R20" s="271"/>
      <c r="S20" s="271"/>
      <c r="T20" s="288"/>
      <c r="U20" s="288"/>
      <c r="V20" s="288"/>
    </row>
    <row r="21" spans="1:22" s="282" customFormat="1" ht="16.5" customHeight="1" x14ac:dyDescent="0.2">
      <c r="A21" s="286">
        <v>1</v>
      </c>
      <c r="B21" s="285">
        <v>2</v>
      </c>
      <c r="C21" s="286">
        <v>3</v>
      </c>
      <c r="D21" s="287"/>
      <c r="E21" s="287"/>
      <c r="F21" s="287"/>
      <c r="G21" s="287"/>
      <c r="H21" s="287"/>
      <c r="I21" s="271"/>
      <c r="J21" s="271"/>
      <c r="K21" s="271"/>
      <c r="L21" s="271"/>
      <c r="M21" s="271"/>
      <c r="N21" s="271"/>
      <c r="O21" s="271"/>
      <c r="P21" s="271"/>
      <c r="Q21" s="271"/>
      <c r="R21" s="271"/>
      <c r="S21" s="271"/>
      <c r="T21" s="288"/>
      <c r="U21" s="288"/>
      <c r="V21" s="288"/>
    </row>
    <row r="22" spans="1:22" s="282" customFormat="1" ht="39" customHeight="1" x14ac:dyDescent="0.2">
      <c r="A22" s="28" t="s">
        <v>62</v>
      </c>
      <c r="B22" s="289" t="s">
        <v>347</v>
      </c>
      <c r="C22" s="157" t="s">
        <v>572</v>
      </c>
      <c r="D22" s="287" t="s">
        <v>571</v>
      </c>
      <c r="E22" s="287"/>
      <c r="F22" s="287"/>
      <c r="G22" s="287"/>
      <c r="H22" s="287"/>
      <c r="I22" s="271"/>
      <c r="J22" s="271"/>
      <c r="K22" s="271"/>
      <c r="L22" s="271"/>
      <c r="M22" s="271"/>
      <c r="N22" s="271"/>
      <c r="O22" s="271"/>
      <c r="P22" s="271"/>
      <c r="Q22" s="271"/>
      <c r="R22" s="271"/>
      <c r="S22" s="271"/>
      <c r="T22" s="288"/>
      <c r="U22" s="288"/>
      <c r="V22" s="288"/>
    </row>
    <row r="23" spans="1:22" s="282" customFormat="1" ht="31.5" x14ac:dyDescent="0.2">
      <c r="A23" s="28" t="s">
        <v>61</v>
      </c>
      <c r="B23" s="36" t="s">
        <v>573</v>
      </c>
      <c r="C23" s="157" t="s">
        <v>628</v>
      </c>
      <c r="D23" s="287" t="s">
        <v>570</v>
      </c>
      <c r="E23" s="287"/>
      <c r="F23" s="287"/>
      <c r="G23" s="287"/>
      <c r="H23" s="287"/>
      <c r="I23" s="271"/>
      <c r="J23" s="271"/>
      <c r="K23" s="271"/>
      <c r="L23" s="271"/>
      <c r="M23" s="271"/>
      <c r="N23" s="271"/>
      <c r="O23" s="271"/>
      <c r="P23" s="271"/>
      <c r="Q23" s="271"/>
      <c r="R23" s="271"/>
      <c r="S23" s="271"/>
      <c r="T23" s="288"/>
      <c r="U23" s="288"/>
      <c r="V23" s="288"/>
    </row>
    <row r="24" spans="1:22" s="282" customFormat="1" ht="22.5" customHeight="1" x14ac:dyDescent="0.2">
      <c r="A24" s="396"/>
      <c r="B24" s="397"/>
      <c r="C24" s="398"/>
      <c r="D24" s="287"/>
      <c r="E24" s="287"/>
      <c r="F24" s="287"/>
      <c r="G24" s="287"/>
      <c r="H24" s="287"/>
      <c r="I24" s="271"/>
      <c r="J24" s="271"/>
      <c r="K24" s="271"/>
      <c r="L24" s="271"/>
      <c r="M24" s="271"/>
      <c r="N24" s="271"/>
      <c r="O24" s="271"/>
      <c r="P24" s="271"/>
      <c r="Q24" s="271"/>
      <c r="R24" s="271"/>
      <c r="S24" s="271"/>
      <c r="T24" s="288"/>
      <c r="U24" s="288"/>
      <c r="V24" s="288"/>
    </row>
    <row r="25" spans="1:22" s="282" customFormat="1" ht="58.5" customHeight="1" x14ac:dyDescent="0.2">
      <c r="A25" s="28" t="s">
        <v>60</v>
      </c>
      <c r="B25" s="157" t="s">
        <v>460</v>
      </c>
      <c r="C25" s="35" t="s">
        <v>578</v>
      </c>
      <c r="D25" s="287"/>
      <c r="E25" s="287"/>
      <c r="F25" s="287"/>
      <c r="G25" s="287"/>
      <c r="H25" s="271"/>
      <c r="I25" s="271"/>
      <c r="J25" s="271"/>
      <c r="K25" s="271"/>
      <c r="L25" s="271"/>
      <c r="M25" s="271"/>
      <c r="N25" s="271"/>
      <c r="O25" s="271"/>
      <c r="P25" s="271"/>
      <c r="Q25" s="271"/>
      <c r="R25" s="271"/>
      <c r="S25" s="288"/>
      <c r="T25" s="288"/>
      <c r="U25" s="288"/>
      <c r="V25" s="288"/>
    </row>
    <row r="26" spans="1:22" s="282" customFormat="1" ht="42.75" customHeight="1" x14ac:dyDescent="0.2">
      <c r="A26" s="28" t="s">
        <v>59</v>
      </c>
      <c r="B26" s="157" t="s">
        <v>72</v>
      </c>
      <c r="C26" s="35" t="s">
        <v>529</v>
      </c>
      <c r="D26" s="287"/>
      <c r="E26" s="287"/>
      <c r="F26" s="287"/>
      <c r="G26" s="287"/>
      <c r="H26" s="271"/>
      <c r="I26" s="271"/>
      <c r="J26" s="271"/>
      <c r="K26" s="271"/>
      <c r="L26" s="271"/>
      <c r="M26" s="271"/>
      <c r="N26" s="271"/>
      <c r="O26" s="271"/>
      <c r="P26" s="271"/>
      <c r="Q26" s="271"/>
      <c r="R26" s="271"/>
      <c r="S26" s="288"/>
      <c r="T26" s="288"/>
      <c r="U26" s="288"/>
      <c r="V26" s="288"/>
    </row>
    <row r="27" spans="1:22" s="282" customFormat="1" ht="51.75" customHeight="1" x14ac:dyDescent="0.2">
      <c r="A27" s="28" t="s">
        <v>57</v>
      </c>
      <c r="B27" s="157" t="s">
        <v>71</v>
      </c>
      <c r="C27" s="290" t="s">
        <v>582</v>
      </c>
      <c r="D27" s="287"/>
      <c r="E27" s="287"/>
      <c r="F27" s="287"/>
      <c r="G27" s="287"/>
      <c r="H27" s="271"/>
      <c r="I27" s="271"/>
      <c r="J27" s="271"/>
      <c r="K27" s="271"/>
      <c r="L27" s="271"/>
      <c r="M27" s="271"/>
      <c r="N27" s="271"/>
      <c r="O27" s="271"/>
      <c r="P27" s="271"/>
      <c r="Q27" s="271"/>
      <c r="R27" s="271"/>
      <c r="S27" s="288"/>
      <c r="T27" s="288"/>
      <c r="U27" s="288"/>
      <c r="V27" s="288"/>
    </row>
    <row r="28" spans="1:22" s="282" customFormat="1" ht="42.75" customHeight="1" x14ac:dyDescent="0.2">
      <c r="A28" s="28" t="s">
        <v>56</v>
      </c>
      <c r="B28" s="157" t="s">
        <v>461</v>
      </c>
      <c r="C28" s="35" t="s">
        <v>530</v>
      </c>
      <c r="D28" s="287"/>
      <c r="E28" s="287"/>
      <c r="F28" s="287"/>
      <c r="G28" s="287"/>
      <c r="H28" s="271"/>
      <c r="I28" s="271"/>
      <c r="J28" s="271"/>
      <c r="K28" s="271"/>
      <c r="L28" s="271"/>
      <c r="M28" s="271"/>
      <c r="N28" s="271"/>
      <c r="O28" s="271"/>
      <c r="P28" s="271"/>
      <c r="Q28" s="271"/>
      <c r="R28" s="271"/>
      <c r="S28" s="288"/>
      <c r="T28" s="288"/>
      <c r="U28" s="288"/>
      <c r="V28" s="288"/>
    </row>
    <row r="29" spans="1:22" s="282" customFormat="1" ht="51.75" customHeight="1" x14ac:dyDescent="0.2">
      <c r="A29" s="28" t="s">
        <v>54</v>
      </c>
      <c r="B29" s="157" t="s">
        <v>462</v>
      </c>
      <c r="C29" s="35" t="s">
        <v>530</v>
      </c>
      <c r="D29" s="287"/>
      <c r="E29" s="287"/>
      <c r="F29" s="287"/>
      <c r="G29" s="287"/>
      <c r="H29" s="271"/>
      <c r="I29" s="271"/>
      <c r="J29" s="271"/>
      <c r="K29" s="271"/>
      <c r="L29" s="271"/>
      <c r="M29" s="271"/>
      <c r="N29" s="271"/>
      <c r="O29" s="271"/>
      <c r="P29" s="271"/>
      <c r="Q29" s="271"/>
      <c r="R29" s="271"/>
      <c r="S29" s="288"/>
      <c r="T29" s="288"/>
      <c r="U29" s="288"/>
      <c r="V29" s="288"/>
    </row>
    <row r="30" spans="1:22" s="282" customFormat="1" ht="51.75" customHeight="1" x14ac:dyDescent="0.2">
      <c r="A30" s="28" t="s">
        <v>52</v>
      </c>
      <c r="B30" s="157" t="s">
        <v>463</v>
      </c>
      <c r="C30" s="35" t="s">
        <v>530</v>
      </c>
      <c r="D30" s="287"/>
      <c r="E30" s="287"/>
      <c r="F30" s="287"/>
      <c r="G30" s="287"/>
      <c r="H30" s="271"/>
      <c r="I30" s="271"/>
      <c r="J30" s="271"/>
      <c r="K30" s="271"/>
      <c r="L30" s="271"/>
      <c r="M30" s="271"/>
      <c r="N30" s="271"/>
      <c r="O30" s="271"/>
      <c r="P30" s="271"/>
      <c r="Q30" s="271"/>
      <c r="R30" s="271"/>
      <c r="S30" s="288"/>
      <c r="T30" s="288"/>
      <c r="U30" s="288"/>
      <c r="V30" s="288"/>
    </row>
    <row r="31" spans="1:22" s="282" customFormat="1" ht="51.75" customHeight="1" x14ac:dyDescent="0.2">
      <c r="A31" s="28" t="s">
        <v>70</v>
      </c>
      <c r="B31" s="157" t="s">
        <v>464</v>
      </c>
      <c r="C31" s="35" t="s">
        <v>530</v>
      </c>
      <c r="D31" s="287"/>
      <c r="E31" s="287"/>
      <c r="F31" s="287"/>
      <c r="G31" s="287"/>
      <c r="H31" s="271"/>
      <c r="I31" s="271"/>
      <c r="J31" s="271"/>
      <c r="K31" s="271"/>
      <c r="L31" s="271"/>
      <c r="M31" s="271"/>
      <c r="N31" s="271"/>
      <c r="O31" s="271"/>
      <c r="P31" s="271"/>
      <c r="Q31" s="271"/>
      <c r="R31" s="271"/>
      <c r="S31" s="288"/>
      <c r="T31" s="288"/>
      <c r="U31" s="288"/>
      <c r="V31" s="288"/>
    </row>
    <row r="32" spans="1:22" s="282" customFormat="1" ht="51.75" customHeight="1" x14ac:dyDescent="0.2">
      <c r="A32" s="28" t="s">
        <v>68</v>
      </c>
      <c r="B32" s="157" t="s">
        <v>465</v>
      </c>
      <c r="C32" s="35" t="s">
        <v>530</v>
      </c>
      <c r="D32" s="287"/>
      <c r="E32" s="287"/>
      <c r="F32" s="287"/>
      <c r="G32" s="287"/>
      <c r="H32" s="271"/>
      <c r="I32" s="271"/>
      <c r="J32" s="271"/>
      <c r="K32" s="271"/>
      <c r="L32" s="271"/>
      <c r="M32" s="271"/>
      <c r="N32" s="271"/>
      <c r="O32" s="271"/>
      <c r="P32" s="271"/>
      <c r="Q32" s="271"/>
      <c r="R32" s="271"/>
      <c r="S32" s="288"/>
      <c r="T32" s="288"/>
      <c r="U32" s="288"/>
      <c r="V32" s="288"/>
    </row>
    <row r="33" spans="1:22" s="282" customFormat="1" ht="101.25" customHeight="1" x14ac:dyDescent="0.2">
      <c r="A33" s="28" t="s">
        <v>67</v>
      </c>
      <c r="B33" s="157" t="s">
        <v>466</v>
      </c>
      <c r="C33" s="331" t="s">
        <v>590</v>
      </c>
      <c r="D33" s="287"/>
      <c r="E33" s="287"/>
      <c r="F33" s="287"/>
      <c r="G33" s="287"/>
      <c r="H33" s="271"/>
      <c r="I33" s="271"/>
      <c r="J33" s="271"/>
      <c r="K33" s="271"/>
      <c r="L33" s="271"/>
      <c r="M33" s="271"/>
      <c r="N33" s="271"/>
      <c r="O33" s="271"/>
      <c r="P33" s="271"/>
      <c r="Q33" s="271"/>
      <c r="R33" s="271"/>
      <c r="S33" s="288"/>
      <c r="T33" s="288"/>
      <c r="U33" s="288"/>
      <c r="V33" s="288"/>
    </row>
    <row r="34" spans="1:22" ht="111" customHeight="1" x14ac:dyDescent="0.25">
      <c r="A34" s="28" t="s">
        <v>480</v>
      </c>
      <c r="B34" s="157" t="s">
        <v>467</v>
      </c>
      <c r="C34" s="332" t="s">
        <v>530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8" t="s">
        <v>470</v>
      </c>
      <c r="B35" s="157" t="s">
        <v>69</v>
      </c>
      <c r="C35" s="35" t="s">
        <v>574</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8" t="s">
        <v>481</v>
      </c>
      <c r="B36" s="157" t="s">
        <v>468</v>
      </c>
      <c r="C36" s="35" t="s">
        <v>530</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8" t="s">
        <v>471</v>
      </c>
      <c r="B37" s="157" t="s">
        <v>469</v>
      </c>
      <c r="C37" s="35" t="s">
        <v>531</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8" t="s">
        <v>482</v>
      </c>
      <c r="B38" s="157" t="s">
        <v>228</v>
      </c>
      <c r="C38" s="35" t="s">
        <v>574</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96"/>
      <c r="B39" s="397"/>
      <c r="C39" s="398"/>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8" t="s">
        <v>472</v>
      </c>
      <c r="B40" s="157" t="s">
        <v>524</v>
      </c>
      <c r="C40" s="35" t="str">
        <f>CONCATENATE("∆L15лэп = ",'3.2 паспорт Техсостояние ЛЭП'!S26," км")</f>
        <v>∆L15лэп = -0,14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8" t="s">
        <v>483</v>
      </c>
      <c r="B41" s="157" t="s">
        <v>506</v>
      </c>
      <c r="C41" s="293" t="s">
        <v>575</v>
      </c>
      <c r="D41" s="291" t="s">
        <v>576</v>
      </c>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8" t="s">
        <v>473</v>
      </c>
      <c r="B42" s="157" t="s">
        <v>521</v>
      </c>
      <c r="C42" s="293" t="s">
        <v>575</v>
      </c>
      <c r="D42" s="291" t="s">
        <v>576</v>
      </c>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8" t="s">
        <v>486</v>
      </c>
      <c r="B43" s="157" t="s">
        <v>487</v>
      </c>
      <c r="C43" s="293" t="s">
        <v>578</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8" t="s">
        <v>474</v>
      </c>
      <c r="B44" s="157" t="s">
        <v>512</v>
      </c>
      <c r="C44" s="293" t="s">
        <v>578</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8" t="s">
        <v>507</v>
      </c>
      <c r="B45" s="157" t="s">
        <v>513</v>
      </c>
      <c r="C45" s="293" t="s">
        <v>578</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8" t="s">
        <v>475</v>
      </c>
      <c r="B46" s="157" t="s">
        <v>514</v>
      </c>
      <c r="C46" s="293" t="s">
        <v>578</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96"/>
      <c r="B47" s="397"/>
      <c r="C47" s="398"/>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8" t="s">
        <v>508</v>
      </c>
      <c r="B48" s="157" t="s">
        <v>522</v>
      </c>
      <c r="C48" s="35" t="str">
        <f>CONCATENATE(ROUND('6.2. Паспорт фин осв ввод'!AF24,2)," млн.руб.")</f>
        <v>0,02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8" t="s">
        <v>476</v>
      </c>
      <c r="B49" s="157" t="s">
        <v>523</v>
      </c>
      <c r="C49" s="35" t="str">
        <f>CONCATENATE(ROUND('6.2. Паспорт фин осв ввод'!AF30,2)," млн.руб.")</f>
        <v>0,01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92"/>
  <sheetViews>
    <sheetView tabSelected="1" view="pageBreakPreview" topLeftCell="A20" zoomScale="70" zoomScaleNormal="70" zoomScaleSheetLayoutView="70" workbookViewId="0">
      <pane xSplit="2" ySplit="4" topLeftCell="C24" activePane="bottomRight" state="frozen"/>
      <selection pane="topRight"/>
      <selection pane="bottomLeft"/>
      <selection pane="bottomRight" activeCell="G20" sqref="G1:J1048576"/>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5.5703125" style="60" customWidth="1"/>
    <col min="7" max="7" width="11.85546875" style="60" hidden="1" customWidth="1"/>
    <col min="8" max="9" width="11.85546875" style="61" hidden="1" customWidth="1"/>
    <col min="10" max="10" width="12.85546875" style="61" hidden="1" customWidth="1"/>
    <col min="11" max="14" width="8.5703125" style="61" customWidth="1"/>
    <col min="15" max="30" width="8.5703125" style="60" customWidth="1"/>
    <col min="31" max="31" width="13.140625" style="60" customWidth="1"/>
    <col min="32" max="32" width="15.85546875" style="60" customWidth="1"/>
    <col min="33" max="33" width="9.140625" style="60"/>
    <col min="34" max="34" width="11" style="60" bestFit="1" customWidth="1"/>
    <col min="35" max="16384" width="9.140625" style="60"/>
  </cols>
  <sheetData>
    <row r="1" spans="1:32" ht="18.75" x14ac:dyDescent="0.25">
      <c r="A1" s="61"/>
      <c r="B1" s="61"/>
      <c r="C1" s="61"/>
      <c r="D1" s="61"/>
      <c r="E1" s="61"/>
      <c r="F1" s="61"/>
      <c r="G1" s="61"/>
      <c r="O1" s="61"/>
      <c r="P1" s="61"/>
      <c r="AF1" s="39" t="s">
        <v>66</v>
      </c>
    </row>
    <row r="2" spans="1:32" ht="18.75" x14ac:dyDescent="0.3">
      <c r="A2" s="61"/>
      <c r="B2" s="61"/>
      <c r="C2" s="61"/>
      <c r="D2" s="61"/>
      <c r="E2" s="61"/>
      <c r="F2" s="61"/>
      <c r="G2" s="61"/>
      <c r="O2" s="61"/>
      <c r="P2" s="61"/>
      <c r="AF2" s="15" t="s">
        <v>8</v>
      </c>
    </row>
    <row r="3" spans="1:32" ht="18.75" x14ac:dyDescent="0.3">
      <c r="A3" s="61"/>
      <c r="B3" s="61"/>
      <c r="C3" s="61"/>
      <c r="D3" s="61"/>
      <c r="E3" s="61"/>
      <c r="F3" s="61"/>
      <c r="G3" s="61"/>
      <c r="O3" s="61"/>
      <c r="P3" s="61"/>
      <c r="AF3" s="15" t="s">
        <v>65</v>
      </c>
    </row>
    <row r="4" spans="1:32" ht="18.75" customHeight="1" x14ac:dyDescent="0.25">
      <c r="A4" s="399" t="str">
        <f>'1. паспорт местоположение'!A5:C5</f>
        <v>Год раскрытия информации: 2025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row>
    <row r="5" spans="1:32" ht="18.75" x14ac:dyDescent="0.3">
      <c r="A5" s="61"/>
      <c r="B5" s="61"/>
      <c r="C5" s="61"/>
      <c r="D5" s="61"/>
      <c r="E5" s="61"/>
      <c r="F5" s="61"/>
      <c r="G5" s="61"/>
      <c r="O5" s="61"/>
      <c r="P5" s="61"/>
      <c r="AF5" s="15"/>
    </row>
    <row r="6" spans="1:32" ht="18.75" x14ac:dyDescent="0.25">
      <c r="A6" s="408" t="s">
        <v>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c r="AD6" s="408"/>
      <c r="AE6" s="408"/>
      <c r="AF6" s="408"/>
    </row>
    <row r="7" spans="1:32" ht="18.75" x14ac:dyDescent="0.25">
      <c r="A7" s="13"/>
      <c r="B7" s="13"/>
      <c r="C7" s="13"/>
      <c r="D7" s="13"/>
      <c r="E7" s="13"/>
      <c r="F7" s="13"/>
      <c r="G7" s="153"/>
      <c r="H7" s="13"/>
      <c r="I7" s="153"/>
      <c r="J7" s="153"/>
      <c r="K7" s="13"/>
      <c r="L7" s="13"/>
      <c r="M7" s="84"/>
      <c r="N7" s="84"/>
      <c r="O7" s="84"/>
      <c r="P7" s="84"/>
      <c r="Q7" s="84"/>
      <c r="R7" s="84"/>
      <c r="S7" s="84"/>
      <c r="T7" s="84"/>
      <c r="U7" s="84"/>
      <c r="V7" s="84"/>
      <c r="W7" s="84"/>
      <c r="X7" s="84"/>
      <c r="Y7" s="84"/>
      <c r="Z7" s="84"/>
      <c r="AA7" s="84"/>
      <c r="AB7" s="84"/>
      <c r="AC7" s="84"/>
      <c r="AD7" s="84"/>
      <c r="AE7" s="84"/>
      <c r="AF7" s="84"/>
    </row>
    <row r="8" spans="1:32" x14ac:dyDescent="0.25">
      <c r="A8" s="409" t="str">
        <f>'1. паспорт местоположение'!A9:C9</f>
        <v>Акционерное общество "Россети Янтарь"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row>
    <row r="9" spans="1:32"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row>
    <row r="10" spans="1:32" ht="18.75" x14ac:dyDescent="0.25">
      <c r="A10" s="13"/>
      <c r="B10" s="13"/>
      <c r="C10" s="13"/>
      <c r="D10" s="13"/>
      <c r="E10" s="13"/>
      <c r="F10" s="13"/>
      <c r="G10" s="153"/>
      <c r="H10" s="13"/>
      <c r="I10" s="153"/>
      <c r="J10" s="153"/>
      <c r="K10" s="13"/>
      <c r="L10" s="13"/>
      <c r="M10" s="84"/>
      <c r="N10" s="84"/>
      <c r="O10" s="84"/>
      <c r="P10" s="84"/>
      <c r="Q10" s="84"/>
      <c r="R10" s="84"/>
      <c r="S10" s="84"/>
      <c r="T10" s="84"/>
      <c r="U10" s="84"/>
      <c r="V10" s="84"/>
      <c r="W10" s="84"/>
      <c r="X10" s="84"/>
      <c r="Y10" s="84"/>
      <c r="Z10" s="84"/>
      <c r="AA10" s="84"/>
      <c r="AB10" s="84"/>
      <c r="AC10" s="84"/>
      <c r="AD10" s="84"/>
      <c r="AE10" s="84"/>
      <c r="AF10" s="84"/>
    </row>
    <row r="11" spans="1:32" x14ac:dyDescent="0.25">
      <c r="A11" s="409" t="str">
        <f>'1. паспорт местоположение'!A12:C12</f>
        <v>J_19-0403</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row>
    <row r="12" spans="1:32"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row>
    <row r="13" spans="1:32" ht="16.5" customHeight="1" x14ac:dyDescent="0.3">
      <c r="A13" s="11"/>
      <c r="B13" s="11"/>
      <c r="C13" s="11"/>
      <c r="D13" s="11"/>
      <c r="E13" s="11"/>
      <c r="F13" s="11"/>
      <c r="G13" s="11"/>
      <c r="H13" s="11"/>
      <c r="I13" s="11"/>
      <c r="J13" s="11"/>
      <c r="K13" s="11"/>
      <c r="L13" s="11"/>
      <c r="M13" s="83"/>
      <c r="N13" s="83"/>
      <c r="O13" s="83"/>
      <c r="P13" s="83"/>
      <c r="Q13" s="83"/>
      <c r="R13" s="83"/>
      <c r="S13" s="83"/>
      <c r="T13" s="83"/>
      <c r="U13" s="83"/>
      <c r="V13" s="83"/>
      <c r="W13" s="83"/>
      <c r="X13" s="83"/>
      <c r="Y13" s="83"/>
      <c r="Z13" s="83"/>
      <c r="AA13" s="83"/>
      <c r="AB13" s="83"/>
      <c r="AC13" s="83"/>
      <c r="AD13" s="83"/>
      <c r="AE13" s="83"/>
      <c r="AF13" s="83"/>
    </row>
    <row r="14" spans="1:32" x14ac:dyDescent="0.25">
      <c r="A14" s="409" t="str">
        <f>'1. паспорт местоположение'!A15</f>
        <v>Вынос (переустройство) ВЛ 15-47 (инв.5114664) п. Малое Исаково Гурьевский ГО</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row>
    <row r="15" spans="1:32"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row>
    <row r="16" spans="1:32" x14ac:dyDescent="0.25">
      <c r="A16" s="490"/>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row>
    <row r="17" spans="1:35" x14ac:dyDescent="0.25">
      <c r="A17" s="61"/>
      <c r="O17" s="61"/>
      <c r="P17" s="61"/>
      <c r="Q17" s="61"/>
      <c r="R17" s="61"/>
      <c r="S17" s="61"/>
      <c r="T17" s="61"/>
      <c r="U17" s="61"/>
      <c r="V17" s="61"/>
      <c r="W17" s="61"/>
      <c r="X17" s="61"/>
      <c r="Y17" s="61"/>
      <c r="Z17" s="61"/>
      <c r="AA17" s="61"/>
      <c r="AB17" s="61"/>
      <c r="AC17" s="61"/>
      <c r="AD17" s="61"/>
      <c r="AE17" s="61"/>
    </row>
    <row r="18" spans="1:35"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row>
    <row r="19" spans="1:35" x14ac:dyDescent="0.25">
      <c r="A19" s="61"/>
      <c r="B19" s="61"/>
      <c r="C19" s="61"/>
      <c r="D19" s="61"/>
      <c r="E19" s="61"/>
      <c r="F19" s="61"/>
      <c r="G19" s="61"/>
      <c r="O19" s="61"/>
      <c r="P19" s="61"/>
      <c r="Q19" s="61"/>
      <c r="R19" s="61"/>
      <c r="S19" s="61"/>
      <c r="T19" s="61"/>
      <c r="U19" s="61"/>
      <c r="V19" s="61"/>
      <c r="W19" s="61"/>
      <c r="X19" s="61"/>
      <c r="Y19" s="61"/>
      <c r="Z19" s="61"/>
      <c r="AA19" s="61"/>
      <c r="AB19" s="61"/>
      <c r="AC19" s="61"/>
      <c r="AD19" s="61"/>
      <c r="AE19" s="61"/>
    </row>
    <row r="20" spans="1:35" ht="33" customHeight="1" x14ac:dyDescent="0.25">
      <c r="A20" s="488" t="s">
        <v>184</v>
      </c>
      <c r="B20" s="488" t="s">
        <v>183</v>
      </c>
      <c r="C20" s="471" t="s">
        <v>182</v>
      </c>
      <c r="D20" s="471"/>
      <c r="E20" s="491" t="s">
        <v>181</v>
      </c>
      <c r="F20" s="491"/>
      <c r="G20" s="488" t="s">
        <v>607</v>
      </c>
      <c r="H20" s="488" t="s">
        <v>598</v>
      </c>
      <c r="I20" s="488" t="s">
        <v>614</v>
      </c>
      <c r="J20" s="488" t="s">
        <v>615</v>
      </c>
      <c r="K20" s="486" t="s">
        <v>616</v>
      </c>
      <c r="L20" s="487"/>
      <c r="M20" s="487"/>
      <c r="N20" s="487"/>
      <c r="O20" s="486" t="s">
        <v>619</v>
      </c>
      <c r="P20" s="487"/>
      <c r="Q20" s="487"/>
      <c r="R20" s="487"/>
      <c r="S20" s="486" t="s">
        <v>620</v>
      </c>
      <c r="T20" s="487"/>
      <c r="U20" s="487"/>
      <c r="V20" s="487"/>
      <c r="W20" s="486" t="s">
        <v>621</v>
      </c>
      <c r="X20" s="487"/>
      <c r="Y20" s="487"/>
      <c r="Z20" s="487"/>
      <c r="AA20" s="486" t="s">
        <v>622</v>
      </c>
      <c r="AB20" s="487"/>
      <c r="AC20" s="487"/>
      <c r="AD20" s="487"/>
      <c r="AE20" s="493" t="s">
        <v>180</v>
      </c>
      <c r="AF20" s="494"/>
      <c r="AG20" s="82"/>
      <c r="AH20" s="82"/>
      <c r="AI20" s="82"/>
    </row>
    <row r="21" spans="1:35" ht="99.75" customHeight="1" x14ac:dyDescent="0.25">
      <c r="A21" s="489"/>
      <c r="B21" s="489"/>
      <c r="C21" s="471"/>
      <c r="D21" s="471"/>
      <c r="E21" s="491"/>
      <c r="F21" s="491"/>
      <c r="G21" s="489"/>
      <c r="H21" s="489"/>
      <c r="I21" s="489"/>
      <c r="J21" s="489"/>
      <c r="K21" s="471" t="s">
        <v>2</v>
      </c>
      <c r="L21" s="471"/>
      <c r="M21" s="471" t="s">
        <v>577</v>
      </c>
      <c r="N21" s="471"/>
      <c r="O21" s="471" t="s">
        <v>2</v>
      </c>
      <c r="P21" s="471"/>
      <c r="Q21" s="471" t="s">
        <v>577</v>
      </c>
      <c r="R21" s="471"/>
      <c r="S21" s="471" t="s">
        <v>2</v>
      </c>
      <c r="T21" s="471"/>
      <c r="U21" s="471" t="s">
        <v>577</v>
      </c>
      <c r="V21" s="471"/>
      <c r="W21" s="471" t="s">
        <v>2</v>
      </c>
      <c r="X21" s="471"/>
      <c r="Y21" s="471" t="s">
        <v>577</v>
      </c>
      <c r="Z21" s="471"/>
      <c r="AA21" s="471" t="s">
        <v>2</v>
      </c>
      <c r="AB21" s="471"/>
      <c r="AC21" s="471" t="s">
        <v>577</v>
      </c>
      <c r="AD21" s="471"/>
      <c r="AE21" s="495"/>
      <c r="AF21" s="496"/>
    </row>
    <row r="22" spans="1:35" ht="89.25" customHeight="1" x14ac:dyDescent="0.25">
      <c r="A22" s="478"/>
      <c r="B22" s="478"/>
      <c r="C22" s="79" t="s">
        <v>2</v>
      </c>
      <c r="D22" s="79" t="s">
        <v>179</v>
      </c>
      <c r="E22" s="81" t="s">
        <v>617</v>
      </c>
      <c r="F22" s="81" t="s">
        <v>618</v>
      </c>
      <c r="G22" s="478"/>
      <c r="H22" s="478"/>
      <c r="I22" s="478"/>
      <c r="J22" s="478"/>
      <c r="K22" s="80" t="s">
        <v>477</v>
      </c>
      <c r="L22" s="80" t="s">
        <v>478</v>
      </c>
      <c r="M22" s="80" t="s">
        <v>477</v>
      </c>
      <c r="N22" s="80" t="s">
        <v>478</v>
      </c>
      <c r="O22" s="80" t="s">
        <v>477</v>
      </c>
      <c r="P22" s="80" t="s">
        <v>478</v>
      </c>
      <c r="Q22" s="80" t="s">
        <v>477</v>
      </c>
      <c r="R22" s="80" t="s">
        <v>478</v>
      </c>
      <c r="S22" s="80" t="s">
        <v>477</v>
      </c>
      <c r="T22" s="80" t="s">
        <v>478</v>
      </c>
      <c r="U22" s="80" t="s">
        <v>477</v>
      </c>
      <c r="V22" s="80" t="s">
        <v>478</v>
      </c>
      <c r="W22" s="80" t="s">
        <v>477</v>
      </c>
      <c r="X22" s="80" t="s">
        <v>478</v>
      </c>
      <c r="Y22" s="80" t="s">
        <v>477</v>
      </c>
      <c r="Z22" s="80" t="s">
        <v>478</v>
      </c>
      <c r="AA22" s="80" t="s">
        <v>477</v>
      </c>
      <c r="AB22" s="80" t="s">
        <v>478</v>
      </c>
      <c r="AC22" s="80" t="s">
        <v>477</v>
      </c>
      <c r="AD22" s="80" t="s">
        <v>478</v>
      </c>
      <c r="AE22" s="79" t="s">
        <v>2</v>
      </c>
      <c r="AF22" s="262" t="s">
        <v>9</v>
      </c>
    </row>
    <row r="23" spans="1:35" ht="19.5" customHeight="1" x14ac:dyDescent="0.25">
      <c r="A23" s="72">
        <v>1</v>
      </c>
      <c r="B23" s="72">
        <v>2</v>
      </c>
      <c r="C23" s="72">
        <v>3</v>
      </c>
      <c r="D23" s="72">
        <v>4</v>
      </c>
      <c r="E23" s="72">
        <v>5</v>
      </c>
      <c r="F23" s="72">
        <v>6</v>
      </c>
      <c r="G23" s="380">
        <v>7</v>
      </c>
      <c r="H23" s="152">
        <v>7</v>
      </c>
      <c r="I23" s="380">
        <v>7</v>
      </c>
      <c r="J23" s="383">
        <v>7</v>
      </c>
      <c r="K23" s="152">
        <v>8</v>
      </c>
      <c r="L23" s="152">
        <v>9</v>
      </c>
      <c r="M23" s="152">
        <v>10</v>
      </c>
      <c r="N23" s="152">
        <v>11</v>
      </c>
      <c r="O23" s="383">
        <v>12</v>
      </c>
      <c r="P23" s="383">
        <v>13</v>
      </c>
      <c r="Q23" s="383">
        <v>14</v>
      </c>
      <c r="R23" s="383">
        <v>15</v>
      </c>
      <c r="S23" s="383">
        <v>16</v>
      </c>
      <c r="T23" s="383">
        <v>17</v>
      </c>
      <c r="U23" s="383">
        <v>18</v>
      </c>
      <c r="V23" s="383">
        <v>19</v>
      </c>
      <c r="W23" s="383">
        <v>20</v>
      </c>
      <c r="X23" s="383">
        <v>21</v>
      </c>
      <c r="Y23" s="383">
        <v>22</v>
      </c>
      <c r="Z23" s="383">
        <v>23</v>
      </c>
      <c r="AA23" s="383">
        <v>24</v>
      </c>
      <c r="AB23" s="383">
        <v>25</v>
      </c>
      <c r="AC23" s="383">
        <v>26</v>
      </c>
      <c r="AD23" s="383">
        <v>27</v>
      </c>
      <c r="AE23" s="383">
        <v>28</v>
      </c>
      <c r="AF23" s="383">
        <v>29</v>
      </c>
    </row>
    <row r="24" spans="1:35" ht="47.25" customHeight="1" x14ac:dyDescent="0.25">
      <c r="A24" s="77">
        <v>1</v>
      </c>
      <c r="B24" s="76" t="s">
        <v>178</v>
      </c>
      <c r="C24" s="263">
        <f>SUM(C25:C29)</f>
        <v>0</v>
      </c>
      <c r="D24" s="263">
        <f t="shared" ref="D24:P24" si="0">SUM(D25:D29)</f>
        <v>0</v>
      </c>
      <c r="E24" s="263">
        <f t="shared" si="0"/>
        <v>0</v>
      </c>
      <c r="F24" s="263">
        <f t="shared" si="0"/>
        <v>0</v>
      </c>
      <c r="G24" s="263">
        <f t="shared" ref="G24" si="1">SUM(G25:G29)</f>
        <v>1.5959999999999998E-2</v>
      </c>
      <c r="H24" s="263">
        <f t="shared" ref="H24:J24" si="2">SUM(H25:H29)</f>
        <v>6.9204000000000002E-2</v>
      </c>
      <c r="I24" s="263">
        <f t="shared" si="2"/>
        <v>0.22261273000000001</v>
      </c>
      <c r="J24" s="263">
        <f t="shared" si="2"/>
        <v>-2.881589E-2</v>
      </c>
      <c r="K24" s="263">
        <f t="shared" si="0"/>
        <v>0</v>
      </c>
      <c r="L24" s="263">
        <f t="shared" si="0"/>
        <v>0</v>
      </c>
      <c r="M24" s="263">
        <f t="shared" ref="M24" si="3">SUM(M25:M29)</f>
        <v>0</v>
      </c>
      <c r="N24" s="263">
        <f t="shared" si="0"/>
        <v>0</v>
      </c>
      <c r="O24" s="263">
        <f t="shared" si="0"/>
        <v>0</v>
      </c>
      <c r="P24" s="263">
        <f t="shared" si="0"/>
        <v>0</v>
      </c>
      <c r="Q24" s="263">
        <f t="shared" ref="Q24:AD24" si="4">SUM(Q25:Q29)</f>
        <v>1.7563560000000002E-2</v>
      </c>
      <c r="R24" s="263">
        <f t="shared" si="4"/>
        <v>0</v>
      </c>
      <c r="S24" s="263">
        <f t="shared" ref="S24:Z24" si="5">SUM(S25:S29)</f>
        <v>0</v>
      </c>
      <c r="T24" s="263">
        <f t="shared" si="5"/>
        <v>0</v>
      </c>
      <c r="U24" s="263">
        <f t="shared" si="5"/>
        <v>0</v>
      </c>
      <c r="V24" s="263">
        <f t="shared" si="5"/>
        <v>0</v>
      </c>
      <c r="W24" s="263">
        <f t="shared" si="5"/>
        <v>0</v>
      </c>
      <c r="X24" s="263">
        <f t="shared" si="5"/>
        <v>0</v>
      </c>
      <c r="Y24" s="263">
        <f t="shared" si="5"/>
        <v>0</v>
      </c>
      <c r="Z24" s="263">
        <f t="shared" si="5"/>
        <v>0</v>
      </c>
      <c r="AA24" s="263">
        <f t="shared" si="4"/>
        <v>0</v>
      </c>
      <c r="AB24" s="263">
        <f t="shared" si="4"/>
        <v>0</v>
      </c>
      <c r="AC24" s="263">
        <f t="shared" si="4"/>
        <v>0</v>
      </c>
      <c r="AD24" s="263">
        <f t="shared" si="4"/>
        <v>0</v>
      </c>
      <c r="AE24" s="263">
        <f>K24+O24+S24+W24+AA24</f>
        <v>0</v>
      </c>
      <c r="AF24" s="269">
        <f>M24+Q24+U24+Y24+AC24</f>
        <v>1.7563560000000002E-2</v>
      </c>
      <c r="AH24" s="377">
        <f>G24+H24+I24+J24+AF24</f>
        <v>0.29652439999999997</v>
      </c>
    </row>
    <row r="25" spans="1:35" ht="24" customHeight="1" x14ac:dyDescent="0.25">
      <c r="A25" s="74" t="s">
        <v>177</v>
      </c>
      <c r="B25" s="48" t="s">
        <v>176</v>
      </c>
      <c r="C25" s="263">
        <v>0</v>
      </c>
      <c r="D25" s="263">
        <v>0</v>
      </c>
      <c r="E25" s="265">
        <v>0</v>
      </c>
      <c r="F25" s="265">
        <v>0</v>
      </c>
      <c r="G25" s="264">
        <v>0</v>
      </c>
      <c r="H25" s="264">
        <v>0</v>
      </c>
      <c r="I25" s="264">
        <v>0</v>
      </c>
      <c r="J25" s="264">
        <v>0</v>
      </c>
      <c r="K25" s="264">
        <v>0</v>
      </c>
      <c r="L25" s="264">
        <v>0</v>
      </c>
      <c r="M25" s="264">
        <v>0</v>
      </c>
      <c r="N25" s="264">
        <v>0</v>
      </c>
      <c r="O25" s="264">
        <v>0</v>
      </c>
      <c r="P25" s="264">
        <v>0</v>
      </c>
      <c r="Q25" s="264">
        <v>0</v>
      </c>
      <c r="R25" s="264">
        <v>0</v>
      </c>
      <c r="S25" s="264">
        <v>0</v>
      </c>
      <c r="T25" s="264">
        <v>0</v>
      </c>
      <c r="U25" s="264">
        <v>0</v>
      </c>
      <c r="V25" s="264">
        <v>0</v>
      </c>
      <c r="W25" s="264">
        <v>0</v>
      </c>
      <c r="X25" s="264">
        <v>0</v>
      </c>
      <c r="Y25" s="264">
        <v>0</v>
      </c>
      <c r="Z25" s="264">
        <v>0</v>
      </c>
      <c r="AA25" s="264">
        <v>0</v>
      </c>
      <c r="AB25" s="264">
        <v>0</v>
      </c>
      <c r="AC25" s="264">
        <v>0</v>
      </c>
      <c r="AD25" s="264">
        <v>0</v>
      </c>
      <c r="AE25" s="263">
        <f t="shared" ref="AE25:AE64" si="6">K25+O25+S25+W25+AA25</f>
        <v>0</v>
      </c>
      <c r="AF25" s="269">
        <f t="shared" ref="AF25:AF64" si="7">M25+Q25+U25+Y25+AC25</f>
        <v>0</v>
      </c>
    </row>
    <row r="26" spans="1:35" x14ac:dyDescent="0.25">
      <c r="A26" s="74" t="s">
        <v>175</v>
      </c>
      <c r="B26" s="48" t="s">
        <v>174</v>
      </c>
      <c r="C26" s="263">
        <v>0</v>
      </c>
      <c r="D26" s="263">
        <v>0</v>
      </c>
      <c r="E26" s="264">
        <v>0</v>
      </c>
      <c r="F26" s="264">
        <v>0</v>
      </c>
      <c r="G26" s="264">
        <v>0</v>
      </c>
      <c r="H26" s="264">
        <v>0</v>
      </c>
      <c r="I26" s="264">
        <v>0</v>
      </c>
      <c r="J26" s="264">
        <v>0</v>
      </c>
      <c r="K26" s="264">
        <v>0</v>
      </c>
      <c r="L26" s="264">
        <v>0</v>
      </c>
      <c r="M26" s="264">
        <v>0</v>
      </c>
      <c r="N26" s="264">
        <v>0</v>
      </c>
      <c r="O26" s="264">
        <v>0</v>
      </c>
      <c r="P26" s="264">
        <v>0</v>
      </c>
      <c r="Q26" s="264">
        <v>0</v>
      </c>
      <c r="R26" s="264">
        <v>0</v>
      </c>
      <c r="S26" s="264">
        <v>0</v>
      </c>
      <c r="T26" s="264">
        <v>0</v>
      </c>
      <c r="U26" s="264">
        <v>0</v>
      </c>
      <c r="V26" s="264">
        <v>0</v>
      </c>
      <c r="W26" s="264">
        <v>0</v>
      </c>
      <c r="X26" s="264">
        <v>0</v>
      </c>
      <c r="Y26" s="264">
        <v>0</v>
      </c>
      <c r="Z26" s="264">
        <v>0</v>
      </c>
      <c r="AA26" s="264">
        <v>0</v>
      </c>
      <c r="AB26" s="264">
        <v>0</v>
      </c>
      <c r="AC26" s="264">
        <v>0</v>
      </c>
      <c r="AD26" s="264">
        <v>0</v>
      </c>
      <c r="AE26" s="263">
        <f t="shared" si="6"/>
        <v>0</v>
      </c>
      <c r="AF26" s="269">
        <f t="shared" si="7"/>
        <v>0</v>
      </c>
    </row>
    <row r="27" spans="1:35" ht="31.5" x14ac:dyDescent="0.25">
      <c r="A27" s="74" t="s">
        <v>173</v>
      </c>
      <c r="B27" s="48" t="s">
        <v>433</v>
      </c>
      <c r="C27" s="263">
        <v>0</v>
      </c>
      <c r="D27" s="263">
        <v>0</v>
      </c>
      <c r="E27" s="264">
        <v>0</v>
      </c>
      <c r="F27" s="264">
        <v>0</v>
      </c>
      <c r="G27" s="264">
        <v>0</v>
      </c>
      <c r="H27" s="264">
        <v>0</v>
      </c>
      <c r="I27" s="264">
        <v>0</v>
      </c>
      <c r="J27" s="264">
        <v>0</v>
      </c>
      <c r="K27" s="264">
        <v>0</v>
      </c>
      <c r="L27" s="264">
        <v>0</v>
      </c>
      <c r="M27" s="264">
        <v>0</v>
      </c>
      <c r="N27" s="264">
        <v>0</v>
      </c>
      <c r="O27" s="264">
        <v>0</v>
      </c>
      <c r="P27" s="264">
        <v>0</v>
      </c>
      <c r="Q27" s="264">
        <v>0</v>
      </c>
      <c r="R27" s="264">
        <v>0</v>
      </c>
      <c r="S27" s="264">
        <v>0</v>
      </c>
      <c r="T27" s="264">
        <v>0</v>
      </c>
      <c r="U27" s="264">
        <v>0</v>
      </c>
      <c r="V27" s="264">
        <v>0</v>
      </c>
      <c r="W27" s="264">
        <v>0</v>
      </c>
      <c r="X27" s="264">
        <v>0</v>
      </c>
      <c r="Y27" s="264">
        <v>0</v>
      </c>
      <c r="Z27" s="264">
        <v>0</v>
      </c>
      <c r="AA27" s="264">
        <v>0</v>
      </c>
      <c r="AB27" s="264">
        <v>0</v>
      </c>
      <c r="AC27" s="264">
        <v>0</v>
      </c>
      <c r="AD27" s="264">
        <v>0</v>
      </c>
      <c r="AE27" s="263">
        <f t="shared" si="6"/>
        <v>0</v>
      </c>
      <c r="AF27" s="269">
        <f t="shared" si="7"/>
        <v>0</v>
      </c>
    </row>
    <row r="28" spans="1:35" x14ac:dyDescent="0.25">
      <c r="A28" s="74" t="s">
        <v>172</v>
      </c>
      <c r="B28" s="48" t="s">
        <v>171</v>
      </c>
      <c r="C28" s="263">
        <v>0</v>
      </c>
      <c r="D28" s="263">
        <v>0</v>
      </c>
      <c r="E28" s="264">
        <v>0</v>
      </c>
      <c r="F28" s="264">
        <v>0</v>
      </c>
      <c r="G28" s="264">
        <v>0</v>
      </c>
      <c r="H28" s="264">
        <v>0</v>
      </c>
      <c r="I28" s="264">
        <v>0</v>
      </c>
      <c r="J28" s="264">
        <v>0</v>
      </c>
      <c r="K28" s="264">
        <v>0</v>
      </c>
      <c r="L28" s="264">
        <v>0</v>
      </c>
      <c r="M28" s="264">
        <v>0</v>
      </c>
      <c r="N28" s="264">
        <v>0</v>
      </c>
      <c r="O28" s="264">
        <v>0</v>
      </c>
      <c r="P28" s="264">
        <v>0</v>
      </c>
      <c r="Q28" s="264">
        <v>0</v>
      </c>
      <c r="R28" s="264">
        <v>0</v>
      </c>
      <c r="S28" s="264">
        <v>0</v>
      </c>
      <c r="T28" s="264">
        <v>0</v>
      </c>
      <c r="U28" s="264">
        <v>0</v>
      </c>
      <c r="V28" s="264">
        <v>0</v>
      </c>
      <c r="W28" s="264">
        <v>0</v>
      </c>
      <c r="X28" s="264">
        <v>0</v>
      </c>
      <c r="Y28" s="264">
        <v>0</v>
      </c>
      <c r="Z28" s="264">
        <v>0</v>
      </c>
      <c r="AA28" s="264">
        <v>0</v>
      </c>
      <c r="AB28" s="264">
        <v>0</v>
      </c>
      <c r="AC28" s="264">
        <v>0</v>
      </c>
      <c r="AD28" s="264">
        <v>0</v>
      </c>
      <c r="AE28" s="263">
        <f t="shared" si="6"/>
        <v>0</v>
      </c>
      <c r="AF28" s="269">
        <f t="shared" si="7"/>
        <v>0</v>
      </c>
    </row>
    <row r="29" spans="1:35" x14ac:dyDescent="0.25">
      <c r="A29" s="74" t="s">
        <v>170</v>
      </c>
      <c r="B29" s="78" t="s">
        <v>169</v>
      </c>
      <c r="C29" s="263">
        <v>0</v>
      </c>
      <c r="D29" s="263">
        <v>0</v>
      </c>
      <c r="E29" s="264">
        <v>0</v>
      </c>
      <c r="F29" s="264">
        <v>0</v>
      </c>
      <c r="G29" s="264">
        <v>1.5959999999999998E-2</v>
      </c>
      <c r="H29" s="264">
        <v>6.9204000000000002E-2</v>
      </c>
      <c r="I29" s="264">
        <v>0.22261273000000001</v>
      </c>
      <c r="J29" s="264">
        <v>-2.881589E-2</v>
      </c>
      <c r="K29" s="264">
        <v>0</v>
      </c>
      <c r="L29" s="264">
        <v>0</v>
      </c>
      <c r="M29" s="264">
        <v>0</v>
      </c>
      <c r="N29" s="264">
        <v>0</v>
      </c>
      <c r="O29" s="264">
        <v>0</v>
      </c>
      <c r="P29" s="264">
        <v>0</v>
      </c>
      <c r="Q29" s="264">
        <v>1.7563560000000002E-2</v>
      </c>
      <c r="R29" s="264">
        <v>0</v>
      </c>
      <c r="S29" s="264">
        <v>0</v>
      </c>
      <c r="T29" s="264">
        <v>0</v>
      </c>
      <c r="U29" s="264">
        <v>0</v>
      </c>
      <c r="V29" s="264">
        <v>0</v>
      </c>
      <c r="W29" s="264">
        <v>0</v>
      </c>
      <c r="X29" s="264">
        <v>0</v>
      </c>
      <c r="Y29" s="264">
        <v>0</v>
      </c>
      <c r="Z29" s="264">
        <v>0</v>
      </c>
      <c r="AA29" s="264">
        <v>0</v>
      </c>
      <c r="AB29" s="264">
        <v>0</v>
      </c>
      <c r="AC29" s="264">
        <v>0</v>
      </c>
      <c r="AD29" s="264">
        <v>0</v>
      </c>
      <c r="AE29" s="263">
        <f t="shared" si="6"/>
        <v>0</v>
      </c>
      <c r="AF29" s="269">
        <f t="shared" si="7"/>
        <v>1.7563560000000002E-2</v>
      </c>
    </row>
    <row r="30" spans="1:35" ht="47.25" x14ac:dyDescent="0.25">
      <c r="A30" s="77" t="s">
        <v>61</v>
      </c>
      <c r="B30" s="76" t="s">
        <v>168</v>
      </c>
      <c r="C30" s="263">
        <v>0</v>
      </c>
      <c r="D30" s="263">
        <v>0</v>
      </c>
      <c r="E30" s="266">
        <v>0</v>
      </c>
      <c r="F30" s="266">
        <v>0</v>
      </c>
      <c r="G30" s="263">
        <f>SUM(G31:G34)</f>
        <v>1.5959999999999998E-2</v>
      </c>
      <c r="H30" s="263">
        <f t="shared" ref="H30:J30" si="8">SUM(H31:H34)</f>
        <v>5.7669999999999999E-2</v>
      </c>
      <c r="I30" s="263">
        <f t="shared" si="8"/>
        <v>0.18858060999999998</v>
      </c>
      <c r="J30" s="263">
        <f t="shared" si="8"/>
        <v>-2.4013240000000002E-2</v>
      </c>
      <c r="K30" s="263">
        <f>SUM(K31:K34)</f>
        <v>0</v>
      </c>
      <c r="L30" s="263">
        <f t="shared" ref="L30:P30" si="9">SUM(L31:L34)</f>
        <v>0</v>
      </c>
      <c r="M30" s="263">
        <f t="shared" si="9"/>
        <v>0</v>
      </c>
      <c r="N30" s="263">
        <f t="shared" si="9"/>
        <v>0</v>
      </c>
      <c r="O30" s="263">
        <f t="shared" si="9"/>
        <v>0</v>
      </c>
      <c r="P30" s="263">
        <f t="shared" si="9"/>
        <v>0</v>
      </c>
      <c r="Q30" s="263">
        <f t="shared" ref="Q30:AD30" si="10">SUM(Q31:Q34)</f>
        <v>1.46363E-2</v>
      </c>
      <c r="R30" s="263">
        <f t="shared" si="10"/>
        <v>0</v>
      </c>
      <c r="S30" s="263">
        <f t="shared" ref="S30:Z30" si="11">SUM(S31:S34)</f>
        <v>0</v>
      </c>
      <c r="T30" s="263">
        <f t="shared" si="11"/>
        <v>0</v>
      </c>
      <c r="U30" s="263">
        <f t="shared" si="11"/>
        <v>0</v>
      </c>
      <c r="V30" s="263">
        <f t="shared" si="11"/>
        <v>0</v>
      </c>
      <c r="W30" s="263">
        <f t="shared" si="11"/>
        <v>0</v>
      </c>
      <c r="X30" s="263">
        <f t="shared" si="11"/>
        <v>0</v>
      </c>
      <c r="Y30" s="263">
        <f t="shared" si="11"/>
        <v>0</v>
      </c>
      <c r="Z30" s="263">
        <f t="shared" si="11"/>
        <v>0</v>
      </c>
      <c r="AA30" s="263">
        <f t="shared" si="10"/>
        <v>0</v>
      </c>
      <c r="AB30" s="263">
        <f t="shared" si="10"/>
        <v>0</v>
      </c>
      <c r="AC30" s="263">
        <f t="shared" si="10"/>
        <v>0</v>
      </c>
      <c r="AD30" s="263">
        <f t="shared" si="10"/>
        <v>0</v>
      </c>
      <c r="AE30" s="263">
        <f t="shared" si="6"/>
        <v>0</v>
      </c>
      <c r="AF30" s="269">
        <f t="shared" si="7"/>
        <v>1.46363E-2</v>
      </c>
      <c r="AH30" s="377">
        <f>G30+H30+I30+J30+AF30</f>
        <v>0.25283367000000001</v>
      </c>
    </row>
    <row r="31" spans="1:35" x14ac:dyDescent="0.25">
      <c r="A31" s="77" t="s">
        <v>167</v>
      </c>
      <c r="B31" s="48" t="s">
        <v>166</v>
      </c>
      <c r="C31" s="263">
        <v>0</v>
      </c>
      <c r="D31" s="263">
        <v>0</v>
      </c>
      <c r="E31" s="264">
        <v>0</v>
      </c>
      <c r="F31" s="264">
        <v>0</v>
      </c>
      <c r="G31" s="264">
        <v>0</v>
      </c>
      <c r="H31" s="264">
        <v>5.7669999999999999E-2</v>
      </c>
      <c r="I31" s="264">
        <v>0</v>
      </c>
      <c r="J31" s="264">
        <v>0</v>
      </c>
      <c r="K31" s="264">
        <v>0</v>
      </c>
      <c r="L31" s="264">
        <v>0</v>
      </c>
      <c r="M31" s="264">
        <v>0</v>
      </c>
      <c r="N31" s="264">
        <v>0</v>
      </c>
      <c r="O31" s="264">
        <v>0</v>
      </c>
      <c r="P31" s="264">
        <v>0</v>
      </c>
      <c r="Q31" s="264">
        <v>0</v>
      </c>
      <c r="R31" s="264">
        <v>0</v>
      </c>
      <c r="S31" s="264">
        <v>0</v>
      </c>
      <c r="T31" s="264">
        <v>0</v>
      </c>
      <c r="U31" s="264">
        <v>0</v>
      </c>
      <c r="V31" s="264">
        <v>0</v>
      </c>
      <c r="W31" s="264">
        <v>0</v>
      </c>
      <c r="X31" s="264">
        <v>0</v>
      </c>
      <c r="Y31" s="264">
        <v>0</v>
      </c>
      <c r="Z31" s="264">
        <v>0</v>
      </c>
      <c r="AA31" s="264">
        <v>0</v>
      </c>
      <c r="AB31" s="264">
        <v>0</v>
      </c>
      <c r="AC31" s="264">
        <v>0</v>
      </c>
      <c r="AD31" s="264">
        <v>0</v>
      </c>
      <c r="AE31" s="263">
        <f t="shared" si="6"/>
        <v>0</v>
      </c>
      <c r="AF31" s="269">
        <f t="shared" si="7"/>
        <v>0</v>
      </c>
      <c r="AH31" s="377">
        <v>5.7669999999999999E-2</v>
      </c>
    </row>
    <row r="32" spans="1:35" ht="31.5" x14ac:dyDescent="0.25">
      <c r="A32" s="77" t="s">
        <v>165</v>
      </c>
      <c r="B32" s="48" t="s">
        <v>164</v>
      </c>
      <c r="C32" s="263">
        <v>0</v>
      </c>
      <c r="D32" s="263">
        <v>0</v>
      </c>
      <c r="E32" s="264">
        <v>0</v>
      </c>
      <c r="F32" s="264">
        <v>0</v>
      </c>
      <c r="G32" s="264">
        <v>0</v>
      </c>
      <c r="H32" s="264">
        <v>0</v>
      </c>
      <c r="I32" s="264">
        <v>0.17016060999999999</v>
      </c>
      <c r="J32" s="264">
        <v>-2.4013240000000002E-2</v>
      </c>
      <c r="K32" s="264">
        <v>0</v>
      </c>
      <c r="L32" s="264">
        <v>0</v>
      </c>
      <c r="M32" s="264">
        <v>0</v>
      </c>
      <c r="N32" s="264">
        <v>0</v>
      </c>
      <c r="O32" s="264">
        <v>0</v>
      </c>
      <c r="P32" s="264">
        <v>0</v>
      </c>
      <c r="Q32" s="264">
        <v>0</v>
      </c>
      <c r="R32" s="264">
        <v>0</v>
      </c>
      <c r="S32" s="264">
        <v>0</v>
      </c>
      <c r="T32" s="264">
        <v>0</v>
      </c>
      <c r="U32" s="264">
        <v>0</v>
      </c>
      <c r="V32" s="264">
        <v>0</v>
      </c>
      <c r="W32" s="264">
        <v>0</v>
      </c>
      <c r="X32" s="264">
        <v>0</v>
      </c>
      <c r="Y32" s="264">
        <v>0</v>
      </c>
      <c r="Z32" s="264">
        <v>0</v>
      </c>
      <c r="AA32" s="264">
        <v>0</v>
      </c>
      <c r="AB32" s="264">
        <v>0</v>
      </c>
      <c r="AC32" s="264">
        <v>0</v>
      </c>
      <c r="AD32" s="264">
        <v>0</v>
      </c>
      <c r="AE32" s="263">
        <f t="shared" si="6"/>
        <v>0</v>
      </c>
      <c r="AF32" s="269">
        <f t="shared" si="7"/>
        <v>0</v>
      </c>
      <c r="AH32" s="377">
        <v>0.14614737</v>
      </c>
    </row>
    <row r="33" spans="1:34" x14ac:dyDescent="0.25">
      <c r="A33" s="77" t="s">
        <v>163</v>
      </c>
      <c r="B33" s="48" t="s">
        <v>162</v>
      </c>
      <c r="C33" s="263">
        <v>0</v>
      </c>
      <c r="D33" s="263">
        <v>0</v>
      </c>
      <c r="E33" s="264">
        <v>0</v>
      </c>
      <c r="F33" s="264">
        <v>0</v>
      </c>
      <c r="G33" s="264">
        <v>0</v>
      </c>
      <c r="H33" s="264">
        <v>0</v>
      </c>
      <c r="I33" s="264">
        <v>0</v>
      </c>
      <c r="J33" s="264">
        <v>0</v>
      </c>
      <c r="K33" s="264">
        <v>0</v>
      </c>
      <c r="L33" s="264">
        <v>0</v>
      </c>
      <c r="M33" s="264">
        <v>0</v>
      </c>
      <c r="N33" s="264">
        <v>0</v>
      </c>
      <c r="O33" s="264">
        <v>0</v>
      </c>
      <c r="P33" s="264">
        <v>0</v>
      </c>
      <c r="Q33" s="264">
        <v>0</v>
      </c>
      <c r="R33" s="264">
        <v>0</v>
      </c>
      <c r="S33" s="264">
        <v>0</v>
      </c>
      <c r="T33" s="264">
        <v>0</v>
      </c>
      <c r="U33" s="264">
        <v>0</v>
      </c>
      <c r="V33" s="264">
        <v>0</v>
      </c>
      <c r="W33" s="264">
        <v>0</v>
      </c>
      <c r="X33" s="264">
        <v>0</v>
      </c>
      <c r="Y33" s="264">
        <v>0</v>
      </c>
      <c r="Z33" s="264">
        <v>0</v>
      </c>
      <c r="AA33" s="264">
        <v>0</v>
      </c>
      <c r="AB33" s="264">
        <v>0</v>
      </c>
      <c r="AC33" s="264">
        <v>0</v>
      </c>
      <c r="AD33" s="264">
        <v>0</v>
      </c>
      <c r="AE33" s="263">
        <f t="shared" si="6"/>
        <v>0</v>
      </c>
      <c r="AF33" s="269">
        <f t="shared" si="7"/>
        <v>0</v>
      </c>
      <c r="AH33" s="377">
        <v>0</v>
      </c>
    </row>
    <row r="34" spans="1:34" x14ac:dyDescent="0.25">
      <c r="A34" s="77" t="s">
        <v>161</v>
      </c>
      <c r="B34" s="48" t="s">
        <v>160</v>
      </c>
      <c r="C34" s="263">
        <v>0</v>
      </c>
      <c r="D34" s="263">
        <v>0</v>
      </c>
      <c r="E34" s="264">
        <v>0</v>
      </c>
      <c r="F34" s="264">
        <v>0</v>
      </c>
      <c r="G34" s="264">
        <v>1.5959999999999998E-2</v>
      </c>
      <c r="H34" s="264">
        <v>0</v>
      </c>
      <c r="I34" s="264">
        <v>1.8419999999999999E-2</v>
      </c>
      <c r="J34" s="264">
        <v>0</v>
      </c>
      <c r="K34" s="264">
        <v>0</v>
      </c>
      <c r="L34" s="264">
        <v>0</v>
      </c>
      <c r="M34" s="264">
        <v>0</v>
      </c>
      <c r="N34" s="264">
        <v>0</v>
      </c>
      <c r="O34" s="264">
        <v>0</v>
      </c>
      <c r="P34" s="264">
        <v>0</v>
      </c>
      <c r="Q34" s="264">
        <v>1.46363E-2</v>
      </c>
      <c r="R34" s="264">
        <v>0</v>
      </c>
      <c r="S34" s="264">
        <v>0</v>
      </c>
      <c r="T34" s="264">
        <v>0</v>
      </c>
      <c r="U34" s="264">
        <v>0</v>
      </c>
      <c r="V34" s="264">
        <v>0</v>
      </c>
      <c r="W34" s="264">
        <v>0</v>
      </c>
      <c r="X34" s="264">
        <v>0</v>
      </c>
      <c r="Y34" s="264">
        <v>0</v>
      </c>
      <c r="Z34" s="264">
        <v>0</v>
      </c>
      <c r="AA34" s="264">
        <v>0</v>
      </c>
      <c r="AB34" s="264">
        <v>0</v>
      </c>
      <c r="AC34" s="264">
        <v>0</v>
      </c>
      <c r="AD34" s="264">
        <v>0</v>
      </c>
      <c r="AE34" s="263">
        <f t="shared" si="6"/>
        <v>0</v>
      </c>
      <c r="AF34" s="269">
        <f t="shared" si="7"/>
        <v>1.46363E-2</v>
      </c>
      <c r="AH34" s="377">
        <v>4.9016299999999992E-2</v>
      </c>
    </row>
    <row r="35" spans="1:34" ht="31.5" x14ac:dyDescent="0.25">
      <c r="A35" s="77" t="s">
        <v>60</v>
      </c>
      <c r="B35" s="76" t="s">
        <v>159</v>
      </c>
      <c r="C35" s="263">
        <v>0</v>
      </c>
      <c r="D35" s="263">
        <v>0</v>
      </c>
      <c r="E35" s="266">
        <v>0</v>
      </c>
      <c r="F35" s="266">
        <v>0</v>
      </c>
      <c r="G35" s="263">
        <v>0</v>
      </c>
      <c r="H35" s="263">
        <v>0</v>
      </c>
      <c r="I35" s="263">
        <v>0</v>
      </c>
      <c r="J35" s="263">
        <v>0</v>
      </c>
      <c r="K35" s="263">
        <v>0</v>
      </c>
      <c r="L35" s="263">
        <v>0</v>
      </c>
      <c r="M35" s="263">
        <v>0</v>
      </c>
      <c r="N35" s="263">
        <v>0</v>
      </c>
      <c r="O35" s="263">
        <v>0</v>
      </c>
      <c r="P35" s="263">
        <v>0</v>
      </c>
      <c r="Q35" s="263">
        <v>0</v>
      </c>
      <c r="R35" s="263">
        <v>0</v>
      </c>
      <c r="S35" s="263">
        <v>0</v>
      </c>
      <c r="T35" s="263">
        <v>0</v>
      </c>
      <c r="U35" s="263">
        <v>0</v>
      </c>
      <c r="V35" s="263">
        <v>0</v>
      </c>
      <c r="W35" s="263">
        <v>0</v>
      </c>
      <c r="X35" s="263">
        <v>0</v>
      </c>
      <c r="Y35" s="263">
        <v>0</v>
      </c>
      <c r="Z35" s="263">
        <v>0</v>
      </c>
      <c r="AA35" s="263">
        <v>0</v>
      </c>
      <c r="AB35" s="263">
        <v>0</v>
      </c>
      <c r="AC35" s="263">
        <v>0</v>
      </c>
      <c r="AD35" s="263">
        <v>0</v>
      </c>
      <c r="AE35" s="263">
        <f t="shared" si="6"/>
        <v>0</v>
      </c>
      <c r="AF35" s="269">
        <f t="shared" si="7"/>
        <v>0</v>
      </c>
    </row>
    <row r="36" spans="1:34" ht="31.5" x14ac:dyDescent="0.25">
      <c r="A36" s="74" t="s">
        <v>158</v>
      </c>
      <c r="B36" s="73" t="s">
        <v>157</v>
      </c>
      <c r="C36" s="267">
        <v>0</v>
      </c>
      <c r="D36" s="263">
        <v>0</v>
      </c>
      <c r="E36" s="264">
        <v>0</v>
      </c>
      <c r="F36" s="264">
        <v>0</v>
      </c>
      <c r="G36" s="264">
        <v>0</v>
      </c>
      <c r="H36" s="264">
        <v>0</v>
      </c>
      <c r="I36" s="264">
        <v>0</v>
      </c>
      <c r="J36" s="264">
        <v>0</v>
      </c>
      <c r="K36" s="264">
        <v>0</v>
      </c>
      <c r="L36" s="264">
        <v>0</v>
      </c>
      <c r="M36" s="264">
        <v>0</v>
      </c>
      <c r="N36" s="264">
        <v>0</v>
      </c>
      <c r="O36" s="264">
        <v>0</v>
      </c>
      <c r="P36" s="264">
        <v>0</v>
      </c>
      <c r="Q36" s="264">
        <v>0</v>
      </c>
      <c r="R36" s="264">
        <v>0</v>
      </c>
      <c r="S36" s="264">
        <v>0</v>
      </c>
      <c r="T36" s="264">
        <v>0</v>
      </c>
      <c r="U36" s="264">
        <v>0</v>
      </c>
      <c r="V36" s="264">
        <v>0</v>
      </c>
      <c r="W36" s="264">
        <v>0</v>
      </c>
      <c r="X36" s="264">
        <v>0</v>
      </c>
      <c r="Y36" s="264">
        <v>0</v>
      </c>
      <c r="Z36" s="264">
        <v>0</v>
      </c>
      <c r="AA36" s="264">
        <v>0</v>
      </c>
      <c r="AB36" s="264">
        <v>0</v>
      </c>
      <c r="AC36" s="264">
        <v>0</v>
      </c>
      <c r="AD36" s="264">
        <v>0</v>
      </c>
      <c r="AE36" s="263">
        <f t="shared" si="6"/>
        <v>0</v>
      </c>
      <c r="AF36" s="269">
        <f t="shared" si="7"/>
        <v>0</v>
      </c>
    </row>
    <row r="37" spans="1:34" x14ac:dyDescent="0.25">
      <c r="A37" s="74" t="s">
        <v>156</v>
      </c>
      <c r="B37" s="73" t="s">
        <v>146</v>
      </c>
      <c r="C37" s="267">
        <v>0</v>
      </c>
      <c r="D37" s="263">
        <v>0</v>
      </c>
      <c r="E37" s="264">
        <v>0</v>
      </c>
      <c r="F37" s="264">
        <v>0</v>
      </c>
      <c r="G37" s="264">
        <v>0</v>
      </c>
      <c r="H37" s="264">
        <v>0</v>
      </c>
      <c r="I37" s="264">
        <v>0</v>
      </c>
      <c r="J37" s="264">
        <v>0</v>
      </c>
      <c r="K37" s="264">
        <v>0</v>
      </c>
      <c r="L37" s="264">
        <v>0</v>
      </c>
      <c r="M37" s="264">
        <v>0</v>
      </c>
      <c r="N37" s="264">
        <v>0</v>
      </c>
      <c r="O37" s="264">
        <v>0</v>
      </c>
      <c r="P37" s="264">
        <v>0</v>
      </c>
      <c r="Q37" s="264">
        <v>0</v>
      </c>
      <c r="R37" s="264">
        <v>0</v>
      </c>
      <c r="S37" s="264">
        <v>0</v>
      </c>
      <c r="T37" s="264">
        <v>0</v>
      </c>
      <c r="U37" s="264">
        <v>0</v>
      </c>
      <c r="V37" s="264">
        <v>0</v>
      </c>
      <c r="W37" s="264">
        <v>0</v>
      </c>
      <c r="X37" s="264">
        <v>0</v>
      </c>
      <c r="Y37" s="264">
        <v>0</v>
      </c>
      <c r="Z37" s="264">
        <v>0</v>
      </c>
      <c r="AA37" s="264">
        <v>0</v>
      </c>
      <c r="AB37" s="264">
        <v>0</v>
      </c>
      <c r="AC37" s="264">
        <v>0</v>
      </c>
      <c r="AD37" s="264">
        <v>0</v>
      </c>
      <c r="AE37" s="263">
        <f t="shared" si="6"/>
        <v>0</v>
      </c>
      <c r="AF37" s="269">
        <f t="shared" si="7"/>
        <v>0</v>
      </c>
    </row>
    <row r="38" spans="1:34" x14ac:dyDescent="0.25">
      <c r="A38" s="74" t="s">
        <v>155</v>
      </c>
      <c r="B38" s="73" t="s">
        <v>144</v>
      </c>
      <c r="C38" s="267">
        <v>0</v>
      </c>
      <c r="D38" s="263">
        <v>0</v>
      </c>
      <c r="E38" s="264">
        <v>0</v>
      </c>
      <c r="F38" s="264">
        <v>0</v>
      </c>
      <c r="G38" s="264">
        <v>0</v>
      </c>
      <c r="H38" s="264">
        <v>0</v>
      </c>
      <c r="I38" s="264">
        <v>0</v>
      </c>
      <c r="J38" s="264">
        <v>0</v>
      </c>
      <c r="K38" s="264">
        <v>0</v>
      </c>
      <c r="L38" s="264">
        <v>0</v>
      </c>
      <c r="M38" s="264">
        <v>0</v>
      </c>
      <c r="N38" s="264">
        <v>0</v>
      </c>
      <c r="O38" s="264">
        <v>0</v>
      </c>
      <c r="P38" s="264">
        <v>0</v>
      </c>
      <c r="Q38" s="264">
        <v>0</v>
      </c>
      <c r="R38" s="264">
        <v>0</v>
      </c>
      <c r="S38" s="264">
        <v>0</v>
      </c>
      <c r="T38" s="264">
        <v>0</v>
      </c>
      <c r="U38" s="264">
        <v>0</v>
      </c>
      <c r="V38" s="264">
        <v>0</v>
      </c>
      <c r="W38" s="264">
        <v>0</v>
      </c>
      <c r="X38" s="264">
        <v>0</v>
      </c>
      <c r="Y38" s="264">
        <v>0</v>
      </c>
      <c r="Z38" s="264">
        <v>0</v>
      </c>
      <c r="AA38" s="264">
        <v>0</v>
      </c>
      <c r="AB38" s="264">
        <v>0</v>
      </c>
      <c r="AC38" s="264">
        <v>0</v>
      </c>
      <c r="AD38" s="264">
        <v>0</v>
      </c>
      <c r="AE38" s="263">
        <f t="shared" si="6"/>
        <v>0</v>
      </c>
      <c r="AF38" s="269">
        <f t="shared" si="7"/>
        <v>0</v>
      </c>
    </row>
    <row r="39" spans="1:34" ht="31.5" x14ac:dyDescent="0.25">
      <c r="A39" s="74" t="s">
        <v>154</v>
      </c>
      <c r="B39" s="48" t="s">
        <v>142</v>
      </c>
      <c r="C39" s="263">
        <v>0</v>
      </c>
      <c r="D39" s="263">
        <v>0</v>
      </c>
      <c r="E39" s="264">
        <v>0</v>
      </c>
      <c r="F39" s="264">
        <v>0</v>
      </c>
      <c r="G39" s="264">
        <v>0</v>
      </c>
      <c r="H39" s="264">
        <v>0</v>
      </c>
      <c r="I39" s="264">
        <v>0</v>
      </c>
      <c r="J39" s="264">
        <v>0</v>
      </c>
      <c r="K39" s="264">
        <v>0</v>
      </c>
      <c r="L39" s="264">
        <v>0</v>
      </c>
      <c r="M39" s="264">
        <v>0</v>
      </c>
      <c r="N39" s="264">
        <v>0</v>
      </c>
      <c r="O39" s="264">
        <v>0</v>
      </c>
      <c r="P39" s="264">
        <v>0</v>
      </c>
      <c r="Q39" s="264">
        <v>5.6000000000000001E-2</v>
      </c>
      <c r="R39" s="264">
        <v>0</v>
      </c>
      <c r="S39" s="264">
        <v>0</v>
      </c>
      <c r="T39" s="264">
        <v>0</v>
      </c>
      <c r="U39" s="264">
        <v>0</v>
      </c>
      <c r="V39" s="264">
        <v>0</v>
      </c>
      <c r="W39" s="264">
        <v>0</v>
      </c>
      <c r="X39" s="264">
        <v>0</v>
      </c>
      <c r="Y39" s="264">
        <v>0</v>
      </c>
      <c r="Z39" s="264">
        <v>0</v>
      </c>
      <c r="AA39" s="264">
        <v>0</v>
      </c>
      <c r="AB39" s="264">
        <v>0</v>
      </c>
      <c r="AC39" s="264">
        <v>0</v>
      </c>
      <c r="AD39" s="264">
        <v>0</v>
      </c>
      <c r="AE39" s="263">
        <f t="shared" si="6"/>
        <v>0</v>
      </c>
      <c r="AF39" s="269">
        <f t="shared" si="7"/>
        <v>5.6000000000000001E-2</v>
      </c>
    </row>
    <row r="40" spans="1:34" ht="31.5" x14ac:dyDescent="0.25">
      <c r="A40" s="74" t="s">
        <v>153</v>
      </c>
      <c r="B40" s="48" t="s">
        <v>140</v>
      </c>
      <c r="C40" s="263">
        <v>0</v>
      </c>
      <c r="D40" s="263">
        <v>0</v>
      </c>
      <c r="E40" s="264">
        <v>0</v>
      </c>
      <c r="F40" s="264">
        <v>0</v>
      </c>
      <c r="G40" s="264">
        <v>0</v>
      </c>
      <c r="H40" s="264">
        <v>0</v>
      </c>
      <c r="I40" s="264">
        <v>0</v>
      </c>
      <c r="J40" s="264">
        <v>0</v>
      </c>
      <c r="K40" s="264">
        <v>0</v>
      </c>
      <c r="L40" s="264">
        <v>0</v>
      </c>
      <c r="M40" s="264">
        <v>0</v>
      </c>
      <c r="N40" s="264">
        <v>0</v>
      </c>
      <c r="O40" s="264">
        <v>0</v>
      </c>
      <c r="P40" s="264">
        <v>0</v>
      </c>
      <c r="Q40" s="264">
        <v>0</v>
      </c>
      <c r="R40" s="264">
        <v>0</v>
      </c>
      <c r="S40" s="264">
        <v>0</v>
      </c>
      <c r="T40" s="264">
        <v>0</v>
      </c>
      <c r="U40" s="264">
        <v>0</v>
      </c>
      <c r="V40" s="264">
        <v>0</v>
      </c>
      <c r="W40" s="264">
        <v>0</v>
      </c>
      <c r="X40" s="264">
        <v>0</v>
      </c>
      <c r="Y40" s="264">
        <v>0</v>
      </c>
      <c r="Z40" s="264">
        <v>0</v>
      </c>
      <c r="AA40" s="264">
        <v>0</v>
      </c>
      <c r="AB40" s="264">
        <v>0</v>
      </c>
      <c r="AC40" s="264">
        <v>0</v>
      </c>
      <c r="AD40" s="264">
        <v>0</v>
      </c>
      <c r="AE40" s="263">
        <f t="shared" si="6"/>
        <v>0</v>
      </c>
      <c r="AF40" s="269">
        <f t="shared" si="7"/>
        <v>0</v>
      </c>
    </row>
    <row r="41" spans="1:34" x14ac:dyDescent="0.25">
      <c r="A41" s="74" t="s">
        <v>152</v>
      </c>
      <c r="B41" s="48" t="s">
        <v>138</v>
      </c>
      <c r="C41" s="263">
        <v>0</v>
      </c>
      <c r="D41" s="263">
        <v>0</v>
      </c>
      <c r="E41" s="264">
        <v>0</v>
      </c>
      <c r="F41" s="264">
        <v>0</v>
      </c>
      <c r="G41" s="264">
        <v>0</v>
      </c>
      <c r="H41" s="264">
        <v>0</v>
      </c>
      <c r="I41" s="264">
        <v>0</v>
      </c>
      <c r="J41" s="264">
        <v>0</v>
      </c>
      <c r="K41" s="264">
        <v>0</v>
      </c>
      <c r="L41" s="264">
        <v>0</v>
      </c>
      <c r="M41" s="264">
        <v>0</v>
      </c>
      <c r="N41" s="264">
        <v>0</v>
      </c>
      <c r="O41" s="264">
        <v>0</v>
      </c>
      <c r="P41" s="264">
        <v>0</v>
      </c>
      <c r="Q41" s="264">
        <v>0</v>
      </c>
      <c r="R41" s="264">
        <v>0</v>
      </c>
      <c r="S41" s="264">
        <v>0</v>
      </c>
      <c r="T41" s="264">
        <v>0</v>
      </c>
      <c r="U41" s="264">
        <v>0</v>
      </c>
      <c r="V41" s="264">
        <v>0</v>
      </c>
      <c r="W41" s="264">
        <v>0</v>
      </c>
      <c r="X41" s="264">
        <v>0</v>
      </c>
      <c r="Y41" s="264">
        <v>0</v>
      </c>
      <c r="Z41" s="264">
        <v>0</v>
      </c>
      <c r="AA41" s="264">
        <v>0</v>
      </c>
      <c r="AB41" s="264">
        <v>0</v>
      </c>
      <c r="AC41" s="264">
        <v>0</v>
      </c>
      <c r="AD41" s="264">
        <v>0</v>
      </c>
      <c r="AE41" s="263">
        <f t="shared" si="6"/>
        <v>0</v>
      </c>
      <c r="AF41" s="269">
        <f t="shared" si="7"/>
        <v>0</v>
      </c>
    </row>
    <row r="42" spans="1:34" ht="18.75" x14ac:dyDescent="0.25">
      <c r="A42" s="74" t="s">
        <v>151</v>
      </c>
      <c r="B42" s="73" t="s">
        <v>136</v>
      </c>
      <c r="C42" s="267">
        <v>0</v>
      </c>
      <c r="D42" s="263">
        <v>0</v>
      </c>
      <c r="E42" s="264">
        <v>0</v>
      </c>
      <c r="F42" s="264">
        <v>0</v>
      </c>
      <c r="G42" s="264">
        <v>0</v>
      </c>
      <c r="H42" s="264">
        <v>0</v>
      </c>
      <c r="I42" s="264">
        <v>0</v>
      </c>
      <c r="J42" s="264">
        <v>0</v>
      </c>
      <c r="K42" s="264">
        <v>0</v>
      </c>
      <c r="L42" s="264">
        <v>0</v>
      </c>
      <c r="M42" s="264">
        <v>0</v>
      </c>
      <c r="N42" s="264">
        <v>0</v>
      </c>
      <c r="O42" s="264">
        <v>0</v>
      </c>
      <c r="P42" s="264">
        <v>0</v>
      </c>
      <c r="Q42" s="264">
        <v>0</v>
      </c>
      <c r="R42" s="264">
        <v>0</v>
      </c>
      <c r="S42" s="264">
        <v>0</v>
      </c>
      <c r="T42" s="264">
        <v>0</v>
      </c>
      <c r="U42" s="264">
        <v>0</v>
      </c>
      <c r="V42" s="264">
        <v>0</v>
      </c>
      <c r="W42" s="264">
        <v>0</v>
      </c>
      <c r="X42" s="264">
        <v>0</v>
      </c>
      <c r="Y42" s="264">
        <v>0</v>
      </c>
      <c r="Z42" s="264">
        <v>0</v>
      </c>
      <c r="AA42" s="264">
        <v>0</v>
      </c>
      <c r="AB42" s="264">
        <v>0</v>
      </c>
      <c r="AC42" s="264">
        <v>0</v>
      </c>
      <c r="AD42" s="264">
        <v>0</v>
      </c>
      <c r="AE42" s="263">
        <f t="shared" si="6"/>
        <v>0</v>
      </c>
      <c r="AF42" s="269">
        <f t="shared" si="7"/>
        <v>0</v>
      </c>
    </row>
    <row r="43" spans="1:34" x14ac:dyDescent="0.25">
      <c r="A43" s="77" t="s">
        <v>59</v>
      </c>
      <c r="B43" s="76" t="s">
        <v>150</v>
      </c>
      <c r="C43" s="263">
        <v>0</v>
      </c>
      <c r="D43" s="263">
        <v>0</v>
      </c>
      <c r="E43" s="266">
        <v>0</v>
      </c>
      <c r="F43" s="266">
        <v>0</v>
      </c>
      <c r="G43" s="263">
        <v>0</v>
      </c>
      <c r="H43" s="263">
        <v>0</v>
      </c>
      <c r="I43" s="263">
        <v>0</v>
      </c>
      <c r="J43" s="263">
        <v>0</v>
      </c>
      <c r="K43" s="263">
        <v>0</v>
      </c>
      <c r="L43" s="263">
        <v>0</v>
      </c>
      <c r="M43" s="263">
        <v>0</v>
      </c>
      <c r="N43" s="263">
        <v>0</v>
      </c>
      <c r="O43" s="263">
        <v>0</v>
      </c>
      <c r="P43" s="263">
        <v>0</v>
      </c>
      <c r="Q43" s="263">
        <v>0</v>
      </c>
      <c r="R43" s="263">
        <v>0</v>
      </c>
      <c r="S43" s="263">
        <v>0</v>
      </c>
      <c r="T43" s="263">
        <v>0</v>
      </c>
      <c r="U43" s="263">
        <v>0</v>
      </c>
      <c r="V43" s="263">
        <v>0</v>
      </c>
      <c r="W43" s="263">
        <v>0</v>
      </c>
      <c r="X43" s="263">
        <v>0</v>
      </c>
      <c r="Y43" s="263">
        <v>0</v>
      </c>
      <c r="Z43" s="263">
        <v>0</v>
      </c>
      <c r="AA43" s="263">
        <v>0</v>
      </c>
      <c r="AB43" s="263">
        <v>0</v>
      </c>
      <c r="AC43" s="263">
        <v>0</v>
      </c>
      <c r="AD43" s="263">
        <v>0</v>
      </c>
      <c r="AE43" s="263">
        <f t="shared" si="6"/>
        <v>0</v>
      </c>
      <c r="AF43" s="269">
        <f t="shared" si="7"/>
        <v>0</v>
      </c>
    </row>
    <row r="44" spans="1:34" x14ac:dyDescent="0.25">
      <c r="A44" s="74" t="s">
        <v>149</v>
      </c>
      <c r="B44" s="48" t="s">
        <v>148</v>
      </c>
      <c r="C44" s="263">
        <v>0</v>
      </c>
      <c r="D44" s="263">
        <v>0</v>
      </c>
      <c r="E44" s="264">
        <v>0</v>
      </c>
      <c r="F44" s="264">
        <v>0</v>
      </c>
      <c r="G44" s="264">
        <v>0</v>
      </c>
      <c r="H44" s="264">
        <v>0</v>
      </c>
      <c r="I44" s="264">
        <v>0</v>
      </c>
      <c r="J44" s="264">
        <v>0</v>
      </c>
      <c r="K44" s="264">
        <v>0</v>
      </c>
      <c r="L44" s="264">
        <v>0</v>
      </c>
      <c r="M44" s="264">
        <v>0</v>
      </c>
      <c r="N44" s="264">
        <v>0</v>
      </c>
      <c r="O44" s="264">
        <v>0</v>
      </c>
      <c r="P44" s="264">
        <v>0</v>
      </c>
      <c r="Q44" s="264">
        <v>0</v>
      </c>
      <c r="R44" s="264">
        <v>0</v>
      </c>
      <c r="S44" s="264">
        <v>0</v>
      </c>
      <c r="T44" s="264">
        <v>0</v>
      </c>
      <c r="U44" s="264">
        <v>0</v>
      </c>
      <c r="V44" s="264">
        <v>0</v>
      </c>
      <c r="W44" s="264">
        <v>0</v>
      </c>
      <c r="X44" s="264">
        <v>0</v>
      </c>
      <c r="Y44" s="264">
        <v>0</v>
      </c>
      <c r="Z44" s="264">
        <v>0</v>
      </c>
      <c r="AA44" s="264">
        <v>0</v>
      </c>
      <c r="AB44" s="264">
        <v>0</v>
      </c>
      <c r="AC44" s="264">
        <v>0</v>
      </c>
      <c r="AD44" s="264">
        <v>0</v>
      </c>
      <c r="AE44" s="263">
        <f t="shared" si="6"/>
        <v>0</v>
      </c>
      <c r="AF44" s="269">
        <f t="shared" si="7"/>
        <v>0</v>
      </c>
    </row>
    <row r="45" spans="1:34" x14ac:dyDescent="0.25">
      <c r="A45" s="74" t="s">
        <v>147</v>
      </c>
      <c r="B45" s="48" t="s">
        <v>146</v>
      </c>
      <c r="C45" s="263">
        <v>0</v>
      </c>
      <c r="D45" s="263">
        <v>0</v>
      </c>
      <c r="E45" s="264">
        <v>0</v>
      </c>
      <c r="F45" s="264">
        <v>0</v>
      </c>
      <c r="G45" s="264">
        <v>0</v>
      </c>
      <c r="H45" s="264">
        <v>0</v>
      </c>
      <c r="I45" s="264">
        <v>0</v>
      </c>
      <c r="J45" s="264">
        <v>0</v>
      </c>
      <c r="K45" s="264">
        <v>0</v>
      </c>
      <c r="L45" s="264">
        <v>0</v>
      </c>
      <c r="M45" s="264">
        <v>0</v>
      </c>
      <c r="N45" s="264">
        <v>0</v>
      </c>
      <c r="O45" s="264">
        <v>0</v>
      </c>
      <c r="P45" s="264">
        <v>0</v>
      </c>
      <c r="Q45" s="264">
        <v>0</v>
      </c>
      <c r="R45" s="264">
        <v>0</v>
      </c>
      <c r="S45" s="264">
        <v>0</v>
      </c>
      <c r="T45" s="264">
        <v>0</v>
      </c>
      <c r="U45" s="264">
        <v>0</v>
      </c>
      <c r="V45" s="264">
        <v>0</v>
      </c>
      <c r="W45" s="264">
        <v>0</v>
      </c>
      <c r="X45" s="264">
        <v>0</v>
      </c>
      <c r="Y45" s="264">
        <v>0</v>
      </c>
      <c r="Z45" s="264">
        <v>0</v>
      </c>
      <c r="AA45" s="264">
        <v>0</v>
      </c>
      <c r="AB45" s="264">
        <v>0</v>
      </c>
      <c r="AC45" s="264">
        <v>0</v>
      </c>
      <c r="AD45" s="264">
        <v>0</v>
      </c>
      <c r="AE45" s="263">
        <f t="shared" si="6"/>
        <v>0</v>
      </c>
      <c r="AF45" s="269">
        <f t="shared" si="7"/>
        <v>0</v>
      </c>
    </row>
    <row r="46" spans="1:34" x14ac:dyDescent="0.25">
      <c r="A46" s="74" t="s">
        <v>145</v>
      </c>
      <c r="B46" s="48" t="s">
        <v>144</v>
      </c>
      <c r="C46" s="263">
        <v>0</v>
      </c>
      <c r="D46" s="263">
        <v>0</v>
      </c>
      <c r="E46" s="264">
        <v>0</v>
      </c>
      <c r="F46" s="264">
        <v>0</v>
      </c>
      <c r="G46" s="264">
        <v>0</v>
      </c>
      <c r="H46" s="264">
        <v>0</v>
      </c>
      <c r="I46" s="264">
        <v>0</v>
      </c>
      <c r="J46" s="264">
        <v>0</v>
      </c>
      <c r="K46" s="264">
        <v>0</v>
      </c>
      <c r="L46" s="264">
        <v>0</v>
      </c>
      <c r="M46" s="264">
        <v>0</v>
      </c>
      <c r="N46" s="264">
        <v>0</v>
      </c>
      <c r="O46" s="264">
        <v>0</v>
      </c>
      <c r="P46" s="264">
        <v>0</v>
      </c>
      <c r="Q46" s="264">
        <v>0</v>
      </c>
      <c r="R46" s="264">
        <v>0</v>
      </c>
      <c r="S46" s="264">
        <v>0</v>
      </c>
      <c r="T46" s="264">
        <v>0</v>
      </c>
      <c r="U46" s="264">
        <v>0</v>
      </c>
      <c r="V46" s="264">
        <v>0</v>
      </c>
      <c r="W46" s="264">
        <v>0</v>
      </c>
      <c r="X46" s="264">
        <v>0</v>
      </c>
      <c r="Y46" s="264">
        <v>0</v>
      </c>
      <c r="Z46" s="264">
        <v>0</v>
      </c>
      <c r="AA46" s="264">
        <v>0</v>
      </c>
      <c r="AB46" s="264">
        <v>0</v>
      </c>
      <c r="AC46" s="264">
        <v>0</v>
      </c>
      <c r="AD46" s="264">
        <v>0</v>
      </c>
      <c r="AE46" s="263">
        <f t="shared" si="6"/>
        <v>0</v>
      </c>
      <c r="AF46" s="269">
        <f t="shared" si="7"/>
        <v>0</v>
      </c>
    </row>
    <row r="47" spans="1:34" ht="31.5" x14ac:dyDescent="0.25">
      <c r="A47" s="74" t="s">
        <v>143</v>
      </c>
      <c r="B47" s="48" t="s">
        <v>142</v>
      </c>
      <c r="C47" s="263">
        <v>0</v>
      </c>
      <c r="D47" s="263">
        <v>0</v>
      </c>
      <c r="E47" s="264">
        <v>0</v>
      </c>
      <c r="F47" s="264">
        <v>0</v>
      </c>
      <c r="G47" s="264">
        <v>0</v>
      </c>
      <c r="H47" s="264">
        <v>0</v>
      </c>
      <c r="I47" s="264">
        <v>0</v>
      </c>
      <c r="J47" s="264">
        <v>0</v>
      </c>
      <c r="K47" s="264">
        <v>0</v>
      </c>
      <c r="L47" s="264">
        <v>0</v>
      </c>
      <c r="M47" s="264">
        <v>0</v>
      </c>
      <c r="N47" s="264">
        <v>0</v>
      </c>
      <c r="O47" s="264">
        <v>0</v>
      </c>
      <c r="P47" s="264">
        <v>0</v>
      </c>
      <c r="Q47" s="264">
        <f>Q39</f>
        <v>5.6000000000000001E-2</v>
      </c>
      <c r="R47" s="264">
        <v>0</v>
      </c>
      <c r="S47" s="264">
        <v>0</v>
      </c>
      <c r="T47" s="264">
        <v>0</v>
      </c>
      <c r="U47" s="264">
        <v>0</v>
      </c>
      <c r="V47" s="264">
        <v>0</v>
      </c>
      <c r="W47" s="264">
        <v>0</v>
      </c>
      <c r="X47" s="264">
        <v>0</v>
      </c>
      <c r="Y47" s="264">
        <v>0</v>
      </c>
      <c r="Z47" s="264">
        <v>0</v>
      </c>
      <c r="AA47" s="264">
        <v>0</v>
      </c>
      <c r="AB47" s="264">
        <v>0</v>
      </c>
      <c r="AC47" s="264">
        <v>0</v>
      </c>
      <c r="AD47" s="264">
        <v>0</v>
      </c>
      <c r="AE47" s="263">
        <f t="shared" si="6"/>
        <v>0</v>
      </c>
      <c r="AF47" s="269">
        <f t="shared" si="7"/>
        <v>5.6000000000000001E-2</v>
      </c>
    </row>
    <row r="48" spans="1:34" ht="31.5" x14ac:dyDescent="0.25">
      <c r="A48" s="74" t="s">
        <v>141</v>
      </c>
      <c r="B48" s="48" t="s">
        <v>140</v>
      </c>
      <c r="C48" s="263">
        <v>0</v>
      </c>
      <c r="D48" s="263">
        <v>0</v>
      </c>
      <c r="E48" s="264">
        <v>0</v>
      </c>
      <c r="F48" s="264">
        <v>0</v>
      </c>
      <c r="G48" s="264">
        <v>0</v>
      </c>
      <c r="H48" s="264">
        <v>0</v>
      </c>
      <c r="I48" s="264">
        <v>0</v>
      </c>
      <c r="J48" s="264">
        <v>0</v>
      </c>
      <c r="K48" s="264">
        <v>0</v>
      </c>
      <c r="L48" s="264">
        <v>0</v>
      </c>
      <c r="M48" s="264">
        <v>0</v>
      </c>
      <c r="N48" s="264">
        <v>0</v>
      </c>
      <c r="O48" s="264">
        <v>0</v>
      </c>
      <c r="P48" s="264">
        <v>0</v>
      </c>
      <c r="Q48" s="264">
        <v>0</v>
      </c>
      <c r="R48" s="264">
        <v>0</v>
      </c>
      <c r="S48" s="264">
        <v>0</v>
      </c>
      <c r="T48" s="264">
        <v>0</v>
      </c>
      <c r="U48" s="264">
        <v>0</v>
      </c>
      <c r="V48" s="264">
        <v>0</v>
      </c>
      <c r="W48" s="264">
        <v>0</v>
      </c>
      <c r="X48" s="264">
        <v>0</v>
      </c>
      <c r="Y48" s="264">
        <v>0</v>
      </c>
      <c r="Z48" s="264">
        <v>0</v>
      </c>
      <c r="AA48" s="264">
        <v>0</v>
      </c>
      <c r="AB48" s="264">
        <v>0</v>
      </c>
      <c r="AC48" s="264">
        <v>0</v>
      </c>
      <c r="AD48" s="264">
        <v>0</v>
      </c>
      <c r="AE48" s="263">
        <f t="shared" si="6"/>
        <v>0</v>
      </c>
      <c r="AF48" s="269">
        <f t="shared" si="7"/>
        <v>0</v>
      </c>
    </row>
    <row r="49" spans="1:34" x14ac:dyDescent="0.25">
      <c r="A49" s="74" t="s">
        <v>139</v>
      </c>
      <c r="B49" s="48" t="s">
        <v>138</v>
      </c>
      <c r="C49" s="263">
        <v>0</v>
      </c>
      <c r="D49" s="263">
        <v>0</v>
      </c>
      <c r="E49" s="264">
        <v>0</v>
      </c>
      <c r="F49" s="264">
        <v>0</v>
      </c>
      <c r="G49" s="264">
        <v>0</v>
      </c>
      <c r="H49" s="264">
        <v>0</v>
      </c>
      <c r="I49" s="264">
        <v>0</v>
      </c>
      <c r="J49" s="264">
        <v>0</v>
      </c>
      <c r="K49" s="264">
        <v>0</v>
      </c>
      <c r="L49" s="264">
        <v>0</v>
      </c>
      <c r="M49" s="264">
        <v>0</v>
      </c>
      <c r="N49" s="264">
        <v>0</v>
      </c>
      <c r="O49" s="264">
        <v>0</v>
      </c>
      <c r="P49" s="264">
        <v>0</v>
      </c>
      <c r="Q49" s="264">
        <v>0</v>
      </c>
      <c r="R49" s="264">
        <v>0</v>
      </c>
      <c r="S49" s="264">
        <v>0</v>
      </c>
      <c r="T49" s="264">
        <v>0</v>
      </c>
      <c r="U49" s="264">
        <v>0</v>
      </c>
      <c r="V49" s="264">
        <v>0</v>
      </c>
      <c r="W49" s="264">
        <v>0</v>
      </c>
      <c r="X49" s="264">
        <v>0</v>
      </c>
      <c r="Y49" s="264">
        <v>0</v>
      </c>
      <c r="Z49" s="264">
        <v>0</v>
      </c>
      <c r="AA49" s="264">
        <v>0</v>
      </c>
      <c r="AB49" s="264">
        <v>0</v>
      </c>
      <c r="AC49" s="264">
        <v>0</v>
      </c>
      <c r="AD49" s="264">
        <v>0</v>
      </c>
      <c r="AE49" s="263">
        <f t="shared" si="6"/>
        <v>0</v>
      </c>
      <c r="AF49" s="269">
        <f t="shared" si="7"/>
        <v>0</v>
      </c>
    </row>
    <row r="50" spans="1:34" ht="18.75" x14ac:dyDescent="0.25">
      <c r="A50" s="74" t="s">
        <v>137</v>
      </c>
      <c r="B50" s="73" t="s">
        <v>136</v>
      </c>
      <c r="C50" s="267">
        <v>0</v>
      </c>
      <c r="D50" s="263">
        <v>0</v>
      </c>
      <c r="E50" s="264">
        <v>0</v>
      </c>
      <c r="F50" s="264">
        <v>0</v>
      </c>
      <c r="G50" s="264">
        <v>0</v>
      </c>
      <c r="H50" s="264">
        <v>0</v>
      </c>
      <c r="I50" s="264">
        <v>0</v>
      </c>
      <c r="J50" s="264">
        <v>0</v>
      </c>
      <c r="K50" s="264">
        <v>0</v>
      </c>
      <c r="L50" s="264">
        <v>0</v>
      </c>
      <c r="M50" s="264">
        <v>0</v>
      </c>
      <c r="N50" s="264">
        <v>0</v>
      </c>
      <c r="O50" s="264">
        <v>0</v>
      </c>
      <c r="P50" s="264">
        <v>0</v>
      </c>
      <c r="Q50" s="264">
        <v>0</v>
      </c>
      <c r="R50" s="264">
        <v>0</v>
      </c>
      <c r="S50" s="264">
        <v>0</v>
      </c>
      <c r="T50" s="264">
        <v>0</v>
      </c>
      <c r="U50" s="264">
        <v>0</v>
      </c>
      <c r="V50" s="264">
        <v>0</v>
      </c>
      <c r="W50" s="264">
        <v>0</v>
      </c>
      <c r="X50" s="264">
        <v>0</v>
      </c>
      <c r="Y50" s="264">
        <v>0</v>
      </c>
      <c r="Z50" s="264">
        <v>0</v>
      </c>
      <c r="AA50" s="264">
        <v>0</v>
      </c>
      <c r="AB50" s="264">
        <v>0</v>
      </c>
      <c r="AC50" s="264">
        <v>0</v>
      </c>
      <c r="AD50" s="264">
        <v>0</v>
      </c>
      <c r="AE50" s="263">
        <f t="shared" si="6"/>
        <v>0</v>
      </c>
      <c r="AF50" s="269">
        <f t="shared" si="7"/>
        <v>0</v>
      </c>
    </row>
    <row r="51" spans="1:34" ht="35.25" customHeight="1" x14ac:dyDescent="0.25">
      <c r="A51" s="77" t="s">
        <v>57</v>
      </c>
      <c r="B51" s="76" t="s">
        <v>135</v>
      </c>
      <c r="C51" s="263">
        <v>0</v>
      </c>
      <c r="D51" s="263">
        <v>0</v>
      </c>
      <c r="E51" s="266">
        <v>0</v>
      </c>
      <c r="F51" s="266">
        <v>0</v>
      </c>
      <c r="G51" s="263">
        <v>0</v>
      </c>
      <c r="H51" s="263">
        <v>0</v>
      </c>
      <c r="I51" s="263">
        <v>0</v>
      </c>
      <c r="J51" s="263">
        <v>0</v>
      </c>
      <c r="K51" s="263">
        <v>0</v>
      </c>
      <c r="L51" s="263">
        <v>0</v>
      </c>
      <c r="M51" s="263">
        <v>0</v>
      </c>
      <c r="N51" s="263">
        <v>0</v>
      </c>
      <c r="O51" s="263">
        <v>0</v>
      </c>
      <c r="P51" s="263">
        <v>0</v>
      </c>
      <c r="Q51" s="263">
        <v>0</v>
      </c>
      <c r="R51" s="263">
        <v>0</v>
      </c>
      <c r="S51" s="263">
        <v>0</v>
      </c>
      <c r="T51" s="263">
        <v>0</v>
      </c>
      <c r="U51" s="263">
        <v>0</v>
      </c>
      <c r="V51" s="263">
        <v>0</v>
      </c>
      <c r="W51" s="263">
        <v>0</v>
      </c>
      <c r="X51" s="263">
        <v>0</v>
      </c>
      <c r="Y51" s="263">
        <v>0</v>
      </c>
      <c r="Z51" s="263">
        <v>0</v>
      </c>
      <c r="AA51" s="263">
        <v>0</v>
      </c>
      <c r="AB51" s="263">
        <v>0</v>
      </c>
      <c r="AC51" s="263">
        <v>0</v>
      </c>
      <c r="AD51" s="263">
        <v>0</v>
      </c>
      <c r="AE51" s="263">
        <f t="shared" si="6"/>
        <v>0</v>
      </c>
      <c r="AF51" s="269">
        <f t="shared" si="7"/>
        <v>0</v>
      </c>
    </row>
    <row r="52" spans="1:34" x14ac:dyDescent="0.25">
      <c r="A52" s="74" t="s">
        <v>134</v>
      </c>
      <c r="B52" s="48" t="s">
        <v>133</v>
      </c>
      <c r="C52" s="263">
        <v>0</v>
      </c>
      <c r="D52" s="263">
        <v>0</v>
      </c>
      <c r="E52" s="264">
        <v>0</v>
      </c>
      <c r="F52" s="264">
        <v>0</v>
      </c>
      <c r="G52" s="264">
        <v>0</v>
      </c>
      <c r="H52" s="264">
        <v>0</v>
      </c>
      <c r="I52" s="264">
        <v>0</v>
      </c>
      <c r="J52" s="264">
        <v>0</v>
      </c>
      <c r="K52" s="264">
        <v>0</v>
      </c>
      <c r="L52" s="264">
        <v>0</v>
      </c>
      <c r="M52" s="264">
        <v>0</v>
      </c>
      <c r="N52" s="264">
        <v>0</v>
      </c>
      <c r="O52" s="264">
        <v>0</v>
      </c>
      <c r="P52" s="264">
        <v>0</v>
      </c>
      <c r="Q52" s="264">
        <v>0.25283367000000001</v>
      </c>
      <c r="R52" s="264">
        <v>0</v>
      </c>
      <c r="S52" s="264">
        <v>0</v>
      </c>
      <c r="T52" s="264">
        <v>0</v>
      </c>
      <c r="U52" s="264">
        <v>0</v>
      </c>
      <c r="V52" s="264">
        <v>0</v>
      </c>
      <c r="W52" s="264">
        <v>0</v>
      </c>
      <c r="X52" s="264">
        <v>0</v>
      </c>
      <c r="Y52" s="264">
        <v>0</v>
      </c>
      <c r="Z52" s="264">
        <v>0</v>
      </c>
      <c r="AA52" s="264">
        <v>0</v>
      </c>
      <c r="AB52" s="264">
        <v>0</v>
      </c>
      <c r="AC52" s="264">
        <v>0</v>
      </c>
      <c r="AD52" s="264">
        <v>0</v>
      </c>
      <c r="AE52" s="263">
        <f t="shared" si="6"/>
        <v>0</v>
      </c>
      <c r="AF52" s="269">
        <f t="shared" si="7"/>
        <v>0.25283367000000001</v>
      </c>
      <c r="AH52" s="377"/>
    </row>
    <row r="53" spans="1:34" x14ac:dyDescent="0.25">
      <c r="A53" s="74" t="s">
        <v>132</v>
      </c>
      <c r="B53" s="48" t="s">
        <v>126</v>
      </c>
      <c r="C53" s="263">
        <v>0</v>
      </c>
      <c r="D53" s="263">
        <v>0</v>
      </c>
      <c r="E53" s="264">
        <v>0</v>
      </c>
      <c r="F53" s="264">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64">
        <v>0</v>
      </c>
      <c r="AC53" s="264">
        <v>0</v>
      </c>
      <c r="AD53" s="264">
        <v>0</v>
      </c>
      <c r="AE53" s="263">
        <f t="shared" si="6"/>
        <v>0</v>
      </c>
      <c r="AF53" s="269">
        <f t="shared" si="7"/>
        <v>0</v>
      </c>
    </row>
    <row r="54" spans="1:34" x14ac:dyDescent="0.25">
      <c r="A54" s="74" t="s">
        <v>131</v>
      </c>
      <c r="B54" s="73" t="s">
        <v>125</v>
      </c>
      <c r="C54" s="267">
        <v>0</v>
      </c>
      <c r="D54" s="263">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3">
        <f t="shared" si="6"/>
        <v>0</v>
      </c>
      <c r="AF54" s="269">
        <f t="shared" si="7"/>
        <v>0</v>
      </c>
    </row>
    <row r="55" spans="1:34" x14ac:dyDescent="0.25">
      <c r="A55" s="74" t="s">
        <v>130</v>
      </c>
      <c r="B55" s="73" t="s">
        <v>124</v>
      </c>
      <c r="C55" s="267">
        <v>0</v>
      </c>
      <c r="D55" s="263">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4">
        <v>0</v>
      </c>
      <c r="AD55" s="264">
        <v>0</v>
      </c>
      <c r="AE55" s="263">
        <f t="shared" si="6"/>
        <v>0</v>
      </c>
      <c r="AF55" s="269">
        <f t="shared" si="7"/>
        <v>0</v>
      </c>
    </row>
    <row r="56" spans="1:34" x14ac:dyDescent="0.25">
      <c r="A56" s="74" t="s">
        <v>129</v>
      </c>
      <c r="B56" s="73" t="s">
        <v>123</v>
      </c>
      <c r="C56" s="267">
        <v>0</v>
      </c>
      <c r="D56" s="263">
        <v>0</v>
      </c>
      <c r="E56" s="264">
        <v>0</v>
      </c>
      <c r="F56" s="264">
        <v>0</v>
      </c>
      <c r="G56" s="264">
        <v>0</v>
      </c>
      <c r="H56" s="264">
        <v>0</v>
      </c>
      <c r="I56" s="264">
        <v>0</v>
      </c>
      <c r="J56" s="264">
        <v>0</v>
      </c>
      <c r="K56" s="264">
        <v>0</v>
      </c>
      <c r="L56" s="264">
        <v>0</v>
      </c>
      <c r="M56" s="264">
        <v>0</v>
      </c>
      <c r="N56" s="264">
        <v>0</v>
      </c>
      <c r="O56" s="264">
        <v>0</v>
      </c>
      <c r="P56" s="264">
        <v>0</v>
      </c>
      <c r="Q56" s="264">
        <f>Q47+Q48+Q49</f>
        <v>5.6000000000000001E-2</v>
      </c>
      <c r="R56" s="264">
        <v>0</v>
      </c>
      <c r="S56" s="264">
        <v>0</v>
      </c>
      <c r="T56" s="264">
        <v>0</v>
      </c>
      <c r="U56" s="264">
        <v>0</v>
      </c>
      <c r="V56" s="264">
        <v>0</v>
      </c>
      <c r="W56" s="264">
        <v>0</v>
      </c>
      <c r="X56" s="264">
        <v>0</v>
      </c>
      <c r="Y56" s="264">
        <v>0</v>
      </c>
      <c r="Z56" s="264">
        <v>0</v>
      </c>
      <c r="AA56" s="264">
        <v>0</v>
      </c>
      <c r="AB56" s="264">
        <v>0</v>
      </c>
      <c r="AC56" s="264">
        <v>0</v>
      </c>
      <c r="AD56" s="264">
        <v>0</v>
      </c>
      <c r="AE56" s="263">
        <f t="shared" si="6"/>
        <v>0</v>
      </c>
      <c r="AF56" s="269">
        <f t="shared" si="7"/>
        <v>5.6000000000000001E-2</v>
      </c>
    </row>
    <row r="57" spans="1:34" ht="18.75" x14ac:dyDescent="0.25">
      <c r="A57" s="74" t="s">
        <v>128</v>
      </c>
      <c r="B57" s="73" t="s">
        <v>122</v>
      </c>
      <c r="C57" s="267">
        <v>0</v>
      </c>
      <c r="D57" s="263">
        <v>0</v>
      </c>
      <c r="E57" s="264">
        <v>0</v>
      </c>
      <c r="F57" s="264">
        <v>0</v>
      </c>
      <c r="G57" s="264">
        <v>0</v>
      </c>
      <c r="H57" s="264">
        <v>0</v>
      </c>
      <c r="I57" s="264">
        <v>0</v>
      </c>
      <c r="J57" s="264">
        <v>0</v>
      </c>
      <c r="K57" s="264">
        <v>0</v>
      </c>
      <c r="L57" s="264">
        <v>0</v>
      </c>
      <c r="M57" s="264">
        <v>0</v>
      </c>
      <c r="N57" s="264">
        <v>0</v>
      </c>
      <c r="O57" s="264">
        <v>0</v>
      </c>
      <c r="P57" s="264">
        <v>0</v>
      </c>
      <c r="Q57" s="264">
        <v>0</v>
      </c>
      <c r="R57" s="264">
        <v>0</v>
      </c>
      <c r="S57" s="264">
        <v>0</v>
      </c>
      <c r="T57" s="264">
        <v>0</v>
      </c>
      <c r="U57" s="264">
        <v>0</v>
      </c>
      <c r="V57" s="264">
        <v>0</v>
      </c>
      <c r="W57" s="264">
        <v>0</v>
      </c>
      <c r="X57" s="264">
        <v>0</v>
      </c>
      <c r="Y57" s="264">
        <v>0</v>
      </c>
      <c r="Z57" s="264">
        <v>0</v>
      </c>
      <c r="AA57" s="264">
        <v>0</v>
      </c>
      <c r="AB57" s="264">
        <v>0</v>
      </c>
      <c r="AC57" s="264">
        <v>0</v>
      </c>
      <c r="AD57" s="264">
        <v>0</v>
      </c>
      <c r="AE57" s="263">
        <f t="shared" si="6"/>
        <v>0</v>
      </c>
      <c r="AF57" s="269">
        <f t="shared" si="7"/>
        <v>0</v>
      </c>
    </row>
    <row r="58" spans="1:34" ht="36.75" customHeight="1" x14ac:dyDescent="0.25">
      <c r="A58" s="77" t="s">
        <v>56</v>
      </c>
      <c r="B58" s="98" t="s">
        <v>226</v>
      </c>
      <c r="C58" s="267">
        <v>0</v>
      </c>
      <c r="D58" s="263">
        <v>0</v>
      </c>
      <c r="E58" s="266">
        <v>0</v>
      </c>
      <c r="F58" s="266">
        <v>0</v>
      </c>
      <c r="G58" s="263">
        <v>0</v>
      </c>
      <c r="H58" s="263">
        <v>0</v>
      </c>
      <c r="I58" s="263">
        <v>0</v>
      </c>
      <c r="J58" s="263">
        <v>0</v>
      </c>
      <c r="K58" s="263">
        <v>0</v>
      </c>
      <c r="L58" s="263">
        <v>0</v>
      </c>
      <c r="M58" s="263">
        <v>0</v>
      </c>
      <c r="N58" s="263">
        <v>0</v>
      </c>
      <c r="O58" s="263">
        <v>0</v>
      </c>
      <c r="P58" s="263">
        <v>0</v>
      </c>
      <c r="Q58" s="263">
        <v>0</v>
      </c>
      <c r="R58" s="263">
        <v>0</v>
      </c>
      <c r="S58" s="263">
        <v>0</v>
      </c>
      <c r="T58" s="263">
        <v>0</v>
      </c>
      <c r="U58" s="263">
        <v>0</v>
      </c>
      <c r="V58" s="263">
        <v>0</v>
      </c>
      <c r="W58" s="263">
        <v>0</v>
      </c>
      <c r="X58" s="263">
        <v>0</v>
      </c>
      <c r="Y58" s="263">
        <v>0</v>
      </c>
      <c r="Z58" s="263">
        <v>0</v>
      </c>
      <c r="AA58" s="263">
        <v>0</v>
      </c>
      <c r="AB58" s="263">
        <v>0</v>
      </c>
      <c r="AC58" s="263">
        <v>0</v>
      </c>
      <c r="AD58" s="263">
        <v>0</v>
      </c>
      <c r="AE58" s="263">
        <f t="shared" si="6"/>
        <v>0</v>
      </c>
      <c r="AF58" s="269">
        <f t="shared" si="7"/>
        <v>0</v>
      </c>
    </row>
    <row r="59" spans="1:34" x14ac:dyDescent="0.25">
      <c r="A59" s="77" t="s">
        <v>54</v>
      </c>
      <c r="B59" s="76" t="s">
        <v>127</v>
      </c>
      <c r="C59" s="263">
        <v>0</v>
      </c>
      <c r="D59" s="263">
        <v>0</v>
      </c>
      <c r="E59" s="266">
        <v>0</v>
      </c>
      <c r="F59" s="266">
        <v>0</v>
      </c>
      <c r="G59" s="263">
        <v>0</v>
      </c>
      <c r="H59" s="263">
        <v>0</v>
      </c>
      <c r="I59" s="263">
        <v>0</v>
      </c>
      <c r="J59" s="263">
        <v>0</v>
      </c>
      <c r="K59" s="263">
        <v>0</v>
      </c>
      <c r="L59" s="263">
        <v>0</v>
      </c>
      <c r="M59" s="263">
        <v>0</v>
      </c>
      <c r="N59" s="263">
        <v>0</v>
      </c>
      <c r="O59" s="263">
        <v>0</v>
      </c>
      <c r="P59" s="263">
        <v>0</v>
      </c>
      <c r="Q59" s="263">
        <v>0</v>
      </c>
      <c r="R59" s="263">
        <v>0</v>
      </c>
      <c r="S59" s="263">
        <v>0</v>
      </c>
      <c r="T59" s="263">
        <v>0</v>
      </c>
      <c r="U59" s="263">
        <v>0</v>
      </c>
      <c r="V59" s="263">
        <v>0</v>
      </c>
      <c r="W59" s="263">
        <v>0</v>
      </c>
      <c r="X59" s="263">
        <v>0</v>
      </c>
      <c r="Y59" s="263">
        <v>0</v>
      </c>
      <c r="Z59" s="263">
        <v>0</v>
      </c>
      <c r="AA59" s="263">
        <v>0</v>
      </c>
      <c r="AB59" s="263">
        <v>0</v>
      </c>
      <c r="AC59" s="263">
        <v>0</v>
      </c>
      <c r="AD59" s="263">
        <v>0</v>
      </c>
      <c r="AE59" s="263">
        <f t="shared" si="6"/>
        <v>0</v>
      </c>
      <c r="AF59" s="269">
        <f t="shared" si="7"/>
        <v>0</v>
      </c>
    </row>
    <row r="60" spans="1:34" x14ac:dyDescent="0.25">
      <c r="A60" s="74" t="s">
        <v>220</v>
      </c>
      <c r="B60" s="75" t="s">
        <v>148</v>
      </c>
      <c r="C60" s="268">
        <v>0</v>
      </c>
      <c r="D60" s="263">
        <v>0</v>
      </c>
      <c r="E60" s="264">
        <v>0</v>
      </c>
      <c r="F60" s="264">
        <v>0</v>
      </c>
      <c r="G60" s="264">
        <v>0</v>
      </c>
      <c r="H60" s="264">
        <v>0</v>
      </c>
      <c r="I60" s="264">
        <v>0</v>
      </c>
      <c r="J60" s="264">
        <v>0</v>
      </c>
      <c r="K60" s="264">
        <v>0</v>
      </c>
      <c r="L60" s="264">
        <v>0</v>
      </c>
      <c r="M60" s="264">
        <v>0</v>
      </c>
      <c r="N60" s="264">
        <v>0</v>
      </c>
      <c r="O60" s="264">
        <v>0</v>
      </c>
      <c r="P60" s="264">
        <v>0</v>
      </c>
      <c r="Q60" s="264">
        <v>0</v>
      </c>
      <c r="R60" s="264">
        <v>0</v>
      </c>
      <c r="S60" s="264">
        <v>0</v>
      </c>
      <c r="T60" s="264">
        <v>0</v>
      </c>
      <c r="U60" s="264">
        <v>0</v>
      </c>
      <c r="V60" s="264">
        <v>0</v>
      </c>
      <c r="W60" s="264">
        <v>0</v>
      </c>
      <c r="X60" s="264">
        <v>0</v>
      </c>
      <c r="Y60" s="264">
        <v>0</v>
      </c>
      <c r="Z60" s="264">
        <v>0</v>
      </c>
      <c r="AA60" s="264">
        <v>0</v>
      </c>
      <c r="AB60" s="264">
        <v>0</v>
      </c>
      <c r="AC60" s="264">
        <v>0</v>
      </c>
      <c r="AD60" s="264">
        <v>0</v>
      </c>
      <c r="AE60" s="263">
        <f t="shared" si="6"/>
        <v>0</v>
      </c>
      <c r="AF60" s="269">
        <f t="shared" si="7"/>
        <v>0</v>
      </c>
    </row>
    <row r="61" spans="1:34" x14ac:dyDescent="0.25">
      <c r="A61" s="74" t="s">
        <v>221</v>
      </c>
      <c r="B61" s="75" t="s">
        <v>146</v>
      </c>
      <c r="C61" s="268">
        <v>0</v>
      </c>
      <c r="D61" s="263">
        <v>0</v>
      </c>
      <c r="E61" s="264">
        <v>0</v>
      </c>
      <c r="F61" s="264">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64">
        <v>0</v>
      </c>
      <c r="AC61" s="264">
        <v>0</v>
      </c>
      <c r="AD61" s="264">
        <v>0</v>
      </c>
      <c r="AE61" s="263">
        <f t="shared" si="6"/>
        <v>0</v>
      </c>
      <c r="AF61" s="269">
        <f t="shared" si="7"/>
        <v>0</v>
      </c>
    </row>
    <row r="62" spans="1:34" x14ac:dyDescent="0.25">
      <c r="A62" s="74" t="s">
        <v>222</v>
      </c>
      <c r="B62" s="75" t="s">
        <v>144</v>
      </c>
      <c r="C62" s="268">
        <v>0</v>
      </c>
      <c r="D62" s="263">
        <v>0</v>
      </c>
      <c r="E62" s="264">
        <v>0</v>
      </c>
      <c r="F62" s="264">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64">
        <v>0</v>
      </c>
      <c r="AC62" s="264">
        <v>0</v>
      </c>
      <c r="AD62" s="264">
        <v>0</v>
      </c>
      <c r="AE62" s="263">
        <f t="shared" si="6"/>
        <v>0</v>
      </c>
      <c r="AF62" s="269">
        <f t="shared" si="7"/>
        <v>0</v>
      </c>
    </row>
    <row r="63" spans="1:34" x14ac:dyDescent="0.25">
      <c r="A63" s="74" t="s">
        <v>223</v>
      </c>
      <c r="B63" s="75" t="s">
        <v>225</v>
      </c>
      <c r="C63" s="268">
        <v>0</v>
      </c>
      <c r="D63" s="263">
        <v>0</v>
      </c>
      <c r="E63" s="264">
        <v>0</v>
      </c>
      <c r="F63" s="264">
        <v>0</v>
      </c>
      <c r="G63" s="264">
        <v>0</v>
      </c>
      <c r="H63" s="264">
        <v>0</v>
      </c>
      <c r="I63" s="264">
        <v>0</v>
      </c>
      <c r="J63" s="264">
        <v>0</v>
      </c>
      <c r="K63" s="264">
        <v>0</v>
      </c>
      <c r="L63" s="264">
        <v>0</v>
      </c>
      <c r="M63" s="264">
        <v>0</v>
      </c>
      <c r="N63" s="264">
        <v>0</v>
      </c>
      <c r="O63" s="264">
        <v>0</v>
      </c>
      <c r="P63" s="264">
        <v>0</v>
      </c>
      <c r="Q63" s="264">
        <v>0.19600000000000001</v>
      </c>
      <c r="R63" s="264">
        <v>0</v>
      </c>
      <c r="S63" s="264">
        <v>0</v>
      </c>
      <c r="T63" s="264">
        <v>0</v>
      </c>
      <c r="U63" s="264">
        <v>0</v>
      </c>
      <c r="V63" s="264">
        <v>0</v>
      </c>
      <c r="W63" s="264">
        <v>0</v>
      </c>
      <c r="X63" s="264">
        <v>0</v>
      </c>
      <c r="Y63" s="264">
        <v>0</v>
      </c>
      <c r="Z63" s="264">
        <v>0</v>
      </c>
      <c r="AA63" s="264">
        <v>0</v>
      </c>
      <c r="AB63" s="264">
        <v>0</v>
      </c>
      <c r="AC63" s="264">
        <v>0</v>
      </c>
      <c r="AD63" s="264">
        <v>0</v>
      </c>
      <c r="AE63" s="263">
        <f t="shared" si="6"/>
        <v>0</v>
      </c>
      <c r="AF63" s="269">
        <f t="shared" si="7"/>
        <v>0.19600000000000001</v>
      </c>
    </row>
    <row r="64" spans="1:34" ht="18.75" x14ac:dyDescent="0.25">
      <c r="A64" s="74" t="s">
        <v>224</v>
      </c>
      <c r="B64" s="73" t="s">
        <v>122</v>
      </c>
      <c r="C64" s="267">
        <v>0</v>
      </c>
      <c r="D64" s="263">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3">
        <f t="shared" si="6"/>
        <v>0</v>
      </c>
      <c r="AF64" s="269">
        <f t="shared" si="7"/>
        <v>0</v>
      </c>
    </row>
    <row r="65" spans="1:31" x14ac:dyDescent="0.25">
      <c r="A65" s="70"/>
      <c r="B65" s="71"/>
      <c r="C65" s="71"/>
      <c r="D65" s="71"/>
      <c r="E65" s="71"/>
      <c r="F65" s="71"/>
      <c r="G65" s="71"/>
      <c r="H65" s="71"/>
      <c r="I65" s="71"/>
      <c r="J65" s="71"/>
      <c r="K65" s="71"/>
      <c r="L65" s="71"/>
      <c r="M65" s="71"/>
      <c r="N65" s="71"/>
      <c r="O65" s="70"/>
      <c r="P65" s="70"/>
      <c r="Q65" s="61"/>
      <c r="R65" s="61"/>
      <c r="S65" s="61"/>
      <c r="T65" s="61"/>
      <c r="U65" s="61"/>
      <c r="V65" s="61"/>
      <c r="W65" s="61"/>
      <c r="X65" s="61"/>
      <c r="Y65" s="61"/>
      <c r="Z65" s="61"/>
      <c r="AA65" s="61"/>
      <c r="AB65" s="61"/>
      <c r="AC65" s="61"/>
      <c r="AD65" s="61"/>
      <c r="AE65" s="61"/>
    </row>
    <row r="66" spans="1:31" ht="54" customHeight="1" x14ac:dyDescent="0.25">
      <c r="A66" s="61"/>
      <c r="B66" s="484"/>
      <c r="C66" s="484"/>
      <c r="D66" s="484"/>
      <c r="E66" s="484"/>
      <c r="F66" s="484"/>
      <c r="G66" s="484"/>
      <c r="H66" s="484"/>
      <c r="I66" s="484"/>
      <c r="J66" s="484"/>
      <c r="K66" s="484"/>
      <c r="L66" s="484"/>
      <c r="M66" s="65"/>
      <c r="N66" s="65"/>
      <c r="O66" s="69"/>
      <c r="P66" s="69"/>
      <c r="Q66" s="69"/>
      <c r="R66" s="69"/>
      <c r="S66" s="69"/>
      <c r="T66" s="69"/>
      <c r="U66" s="69"/>
      <c r="V66" s="69"/>
      <c r="W66" s="69"/>
      <c r="X66" s="69"/>
      <c r="Y66" s="69"/>
      <c r="Z66" s="69"/>
      <c r="AA66" s="69"/>
      <c r="AB66" s="69"/>
      <c r="AC66" s="69"/>
      <c r="AD66" s="69"/>
      <c r="AE66" s="69"/>
    </row>
    <row r="67" spans="1:31" x14ac:dyDescent="0.25">
      <c r="A67" s="61"/>
      <c r="B67" s="61"/>
      <c r="C67" s="61"/>
      <c r="D67" s="61"/>
      <c r="E67" s="61"/>
      <c r="F67" s="61"/>
      <c r="G67" s="61"/>
      <c r="O67" s="61"/>
      <c r="P67" s="61"/>
      <c r="Q67" s="61"/>
      <c r="R67" s="61"/>
      <c r="S67" s="61"/>
      <c r="T67" s="61"/>
      <c r="U67" s="61"/>
      <c r="V67" s="61"/>
      <c r="W67" s="61"/>
      <c r="X67" s="61"/>
      <c r="Y67" s="61"/>
      <c r="Z67" s="61"/>
      <c r="AA67" s="61"/>
      <c r="AB67" s="61"/>
      <c r="AC67" s="61"/>
      <c r="AD67" s="61"/>
      <c r="AE67" s="61"/>
    </row>
    <row r="68" spans="1:31" ht="50.25" customHeight="1" x14ac:dyDescent="0.25">
      <c r="A68" s="61"/>
      <c r="B68" s="485"/>
      <c r="C68" s="485"/>
      <c r="D68" s="485"/>
      <c r="E68" s="485"/>
      <c r="F68" s="485"/>
      <c r="G68" s="485"/>
      <c r="H68" s="485"/>
      <c r="I68" s="485"/>
      <c r="J68" s="485"/>
      <c r="K68" s="485"/>
      <c r="L68" s="485"/>
      <c r="M68" s="66"/>
      <c r="N68" s="66"/>
      <c r="O68" s="61"/>
      <c r="P68" s="61"/>
      <c r="Q68" s="61"/>
      <c r="R68" s="61"/>
      <c r="S68" s="61"/>
      <c r="T68" s="61"/>
      <c r="U68" s="61"/>
      <c r="V68" s="61"/>
      <c r="W68" s="61"/>
      <c r="X68" s="61"/>
      <c r="Y68" s="61"/>
      <c r="Z68" s="61"/>
      <c r="AA68" s="61"/>
      <c r="AB68" s="61"/>
      <c r="AC68" s="61"/>
      <c r="AD68" s="61"/>
      <c r="AE68" s="61"/>
    </row>
    <row r="69" spans="1:31" x14ac:dyDescent="0.25">
      <c r="A69" s="61"/>
      <c r="B69" s="61"/>
      <c r="C69" s="61"/>
      <c r="D69" s="61"/>
      <c r="E69" s="61"/>
      <c r="F69" s="61"/>
      <c r="G69" s="61"/>
      <c r="O69" s="61"/>
      <c r="P69" s="61"/>
      <c r="Q69" s="61"/>
      <c r="R69" s="61"/>
      <c r="S69" s="61"/>
      <c r="T69" s="61"/>
      <c r="U69" s="61"/>
      <c r="V69" s="61"/>
      <c r="W69" s="61"/>
      <c r="X69" s="61"/>
      <c r="Y69" s="61"/>
      <c r="Z69" s="61"/>
      <c r="AA69" s="61"/>
      <c r="AB69" s="61"/>
      <c r="AC69" s="61"/>
      <c r="AD69" s="61"/>
      <c r="AE69" s="61"/>
    </row>
    <row r="70" spans="1:31" ht="36.75" customHeight="1" x14ac:dyDescent="0.25">
      <c r="A70" s="61"/>
      <c r="B70" s="484"/>
      <c r="C70" s="484"/>
      <c r="D70" s="484"/>
      <c r="E70" s="484"/>
      <c r="F70" s="484"/>
      <c r="G70" s="484"/>
      <c r="H70" s="484"/>
      <c r="I70" s="484"/>
      <c r="J70" s="484"/>
      <c r="K70" s="484"/>
      <c r="L70" s="484"/>
      <c r="M70" s="65"/>
      <c r="N70" s="65"/>
      <c r="O70" s="61"/>
      <c r="P70" s="61"/>
      <c r="Q70" s="61"/>
      <c r="R70" s="61"/>
      <c r="S70" s="61"/>
      <c r="T70" s="61"/>
      <c r="U70" s="61"/>
      <c r="V70" s="61"/>
      <c r="W70" s="61"/>
      <c r="X70" s="61"/>
      <c r="Y70" s="61"/>
      <c r="Z70" s="61"/>
      <c r="AA70" s="61"/>
      <c r="AB70" s="61"/>
      <c r="AC70" s="61"/>
      <c r="AD70" s="61"/>
      <c r="AE70" s="61"/>
    </row>
    <row r="71" spans="1:31" x14ac:dyDescent="0.25">
      <c r="A71" s="61"/>
      <c r="B71" s="68"/>
      <c r="C71" s="68"/>
      <c r="D71" s="68"/>
      <c r="E71" s="68"/>
      <c r="F71" s="68"/>
      <c r="G71" s="68"/>
      <c r="O71" s="61"/>
      <c r="P71" s="61"/>
      <c r="Q71" s="67"/>
      <c r="R71" s="61"/>
      <c r="S71" s="61"/>
      <c r="T71" s="61"/>
      <c r="U71" s="61"/>
      <c r="V71" s="61"/>
      <c r="W71" s="61"/>
      <c r="X71" s="61"/>
      <c r="Y71" s="61"/>
      <c r="Z71" s="61"/>
      <c r="AA71" s="61"/>
      <c r="AB71" s="61"/>
      <c r="AC71" s="61"/>
      <c r="AD71" s="61"/>
      <c r="AE71" s="61"/>
    </row>
    <row r="72" spans="1:31" ht="51" customHeight="1" x14ac:dyDescent="0.25">
      <c r="A72" s="61"/>
      <c r="B72" s="484"/>
      <c r="C72" s="484"/>
      <c r="D72" s="484"/>
      <c r="E72" s="484"/>
      <c r="F72" s="484"/>
      <c r="G72" s="484"/>
      <c r="H72" s="484"/>
      <c r="I72" s="484"/>
      <c r="J72" s="484"/>
      <c r="K72" s="484"/>
      <c r="L72" s="484"/>
      <c r="M72" s="65"/>
      <c r="N72" s="65"/>
      <c r="O72" s="61"/>
      <c r="P72" s="61"/>
      <c r="Q72" s="67"/>
      <c r="R72" s="61"/>
      <c r="S72" s="61"/>
      <c r="T72" s="61"/>
      <c r="U72" s="61"/>
      <c r="V72" s="61"/>
      <c r="W72" s="61"/>
      <c r="X72" s="61"/>
      <c r="Y72" s="61"/>
      <c r="Z72" s="61"/>
      <c r="AA72" s="61"/>
      <c r="AB72" s="61"/>
      <c r="AC72" s="61"/>
      <c r="AD72" s="61"/>
      <c r="AE72" s="61"/>
    </row>
    <row r="73" spans="1:31" ht="32.25" customHeight="1" x14ac:dyDescent="0.25">
      <c r="A73" s="61"/>
      <c r="B73" s="485"/>
      <c r="C73" s="485"/>
      <c r="D73" s="485"/>
      <c r="E73" s="485"/>
      <c r="F73" s="485"/>
      <c r="G73" s="485"/>
      <c r="H73" s="485"/>
      <c r="I73" s="485"/>
      <c r="J73" s="485"/>
      <c r="K73" s="485"/>
      <c r="L73" s="485"/>
      <c r="M73" s="66"/>
      <c r="N73" s="66"/>
      <c r="O73" s="61"/>
      <c r="P73" s="61"/>
      <c r="Q73" s="61"/>
      <c r="R73" s="61"/>
      <c r="S73" s="61"/>
      <c r="T73" s="61"/>
      <c r="U73" s="61"/>
      <c r="V73" s="61"/>
      <c r="W73" s="61"/>
      <c r="X73" s="61"/>
      <c r="Y73" s="61"/>
      <c r="Z73" s="61"/>
      <c r="AA73" s="61"/>
      <c r="AB73" s="61"/>
      <c r="AC73" s="61"/>
      <c r="AD73" s="61"/>
      <c r="AE73" s="61"/>
    </row>
    <row r="74" spans="1:31" ht="51.75" customHeight="1" x14ac:dyDescent="0.25">
      <c r="A74" s="61"/>
      <c r="B74" s="484"/>
      <c r="C74" s="484"/>
      <c r="D74" s="484"/>
      <c r="E74" s="484"/>
      <c r="F74" s="484"/>
      <c r="G74" s="484"/>
      <c r="H74" s="484"/>
      <c r="I74" s="484"/>
      <c r="J74" s="484"/>
      <c r="K74" s="484"/>
      <c r="L74" s="484"/>
      <c r="M74" s="65"/>
      <c r="N74" s="65"/>
      <c r="O74" s="61"/>
      <c r="P74" s="61"/>
      <c r="Q74" s="61"/>
      <c r="R74" s="61"/>
      <c r="S74" s="61"/>
      <c r="T74" s="61"/>
      <c r="U74" s="61"/>
      <c r="V74" s="61"/>
      <c r="W74" s="61"/>
      <c r="X74" s="61"/>
      <c r="Y74" s="61"/>
      <c r="Z74" s="61"/>
      <c r="AA74" s="61"/>
      <c r="AB74" s="61"/>
      <c r="AC74" s="61"/>
      <c r="AD74" s="61"/>
      <c r="AE74" s="61"/>
    </row>
    <row r="75" spans="1:31" ht="21.75" customHeight="1" x14ac:dyDescent="0.25">
      <c r="A75" s="61"/>
      <c r="B75" s="482"/>
      <c r="C75" s="482"/>
      <c r="D75" s="482"/>
      <c r="E75" s="482"/>
      <c r="F75" s="482"/>
      <c r="G75" s="482"/>
      <c r="H75" s="482"/>
      <c r="I75" s="482"/>
      <c r="J75" s="482"/>
      <c r="K75" s="482"/>
      <c r="L75" s="482"/>
      <c r="M75" s="64"/>
      <c r="N75" s="64"/>
      <c r="O75" s="63"/>
      <c r="P75" s="63"/>
      <c r="Q75" s="61"/>
      <c r="R75" s="61"/>
      <c r="S75" s="61"/>
      <c r="T75" s="61"/>
      <c r="U75" s="61"/>
      <c r="V75" s="61"/>
      <c r="W75" s="61"/>
      <c r="X75" s="61"/>
      <c r="Y75" s="61"/>
      <c r="Z75" s="61"/>
      <c r="AA75" s="61"/>
      <c r="AB75" s="61"/>
      <c r="AC75" s="61"/>
      <c r="AD75" s="61"/>
      <c r="AE75" s="61"/>
    </row>
    <row r="76" spans="1:31" ht="23.25" customHeight="1" x14ac:dyDescent="0.25">
      <c r="A76" s="61"/>
      <c r="B76" s="63"/>
      <c r="C76" s="63"/>
      <c r="D76" s="63"/>
      <c r="E76" s="63"/>
      <c r="F76" s="63"/>
      <c r="G76" s="63"/>
      <c r="O76" s="61"/>
      <c r="P76" s="61"/>
      <c r="Q76" s="61"/>
      <c r="R76" s="61"/>
      <c r="S76" s="61"/>
      <c r="T76" s="61"/>
      <c r="U76" s="61"/>
      <c r="V76" s="61"/>
      <c r="W76" s="61"/>
      <c r="X76" s="61"/>
      <c r="Y76" s="61"/>
      <c r="Z76" s="61"/>
      <c r="AA76" s="61"/>
      <c r="AB76" s="61"/>
      <c r="AC76" s="61"/>
      <c r="AD76" s="61"/>
      <c r="AE76" s="61"/>
    </row>
    <row r="77" spans="1:31" ht="18.75" customHeight="1" x14ac:dyDescent="0.25">
      <c r="A77" s="61"/>
      <c r="B77" s="483"/>
      <c r="C77" s="483"/>
      <c r="D77" s="483"/>
      <c r="E77" s="483"/>
      <c r="F77" s="483"/>
      <c r="G77" s="483"/>
      <c r="H77" s="483"/>
      <c r="I77" s="483"/>
      <c r="J77" s="483"/>
      <c r="K77" s="483"/>
      <c r="L77" s="483"/>
      <c r="M77" s="62"/>
      <c r="N77" s="62"/>
      <c r="O77" s="61"/>
      <c r="P77" s="61"/>
      <c r="Q77" s="61"/>
      <c r="R77" s="61"/>
      <c r="S77" s="61"/>
      <c r="T77" s="61"/>
      <c r="U77" s="61"/>
      <c r="V77" s="61"/>
      <c r="W77" s="61"/>
      <c r="X77" s="61"/>
      <c r="Y77" s="61"/>
      <c r="Z77" s="61"/>
      <c r="AA77" s="61"/>
      <c r="AB77" s="61"/>
      <c r="AC77" s="61"/>
      <c r="AD77" s="61"/>
      <c r="AE77" s="61"/>
    </row>
    <row r="78" spans="1:31" x14ac:dyDescent="0.25">
      <c r="A78" s="61"/>
      <c r="B78" s="61"/>
      <c r="C78" s="61"/>
      <c r="D78" s="61"/>
      <c r="E78" s="61"/>
      <c r="F78" s="61"/>
      <c r="G78" s="61"/>
      <c r="O78" s="61"/>
      <c r="P78" s="61"/>
      <c r="Q78" s="61"/>
      <c r="R78" s="61"/>
      <c r="S78" s="61"/>
      <c r="T78" s="61"/>
      <c r="U78" s="61"/>
      <c r="V78" s="61"/>
      <c r="W78" s="61"/>
      <c r="X78" s="61"/>
      <c r="Y78" s="61"/>
      <c r="Z78" s="61"/>
      <c r="AA78" s="61"/>
      <c r="AB78" s="61"/>
      <c r="AC78" s="61"/>
      <c r="AD78" s="61"/>
      <c r="AE78" s="61"/>
    </row>
    <row r="79" spans="1:31" x14ac:dyDescent="0.25">
      <c r="A79" s="61"/>
      <c r="B79" s="61"/>
      <c r="C79" s="61"/>
      <c r="D79" s="61"/>
      <c r="E79" s="61"/>
      <c r="F79" s="61"/>
      <c r="G79" s="61"/>
      <c r="O79" s="61"/>
      <c r="P79" s="61"/>
      <c r="Q79" s="61"/>
      <c r="R79" s="61"/>
      <c r="S79" s="61"/>
      <c r="T79" s="61"/>
      <c r="U79" s="61"/>
      <c r="V79" s="61"/>
      <c r="W79" s="61"/>
      <c r="X79" s="61"/>
      <c r="Y79" s="61"/>
      <c r="Z79" s="61"/>
      <c r="AA79" s="61"/>
      <c r="AB79" s="61"/>
      <c r="AC79" s="61"/>
      <c r="AD79" s="61"/>
      <c r="AE79" s="61"/>
    </row>
    <row r="80" spans="1:31" x14ac:dyDescent="0.25">
      <c r="H80" s="60"/>
      <c r="I80" s="60"/>
      <c r="J80" s="60"/>
      <c r="K80" s="60"/>
      <c r="L80" s="60"/>
      <c r="M80" s="60"/>
      <c r="N80" s="60"/>
    </row>
    <row r="81" spans="8:14" x14ac:dyDescent="0.25">
      <c r="H81" s="60"/>
      <c r="I81" s="60"/>
      <c r="J81" s="60"/>
      <c r="K81" s="60"/>
      <c r="L81" s="60"/>
      <c r="M81" s="60"/>
      <c r="N81" s="60"/>
    </row>
    <row r="82" spans="8:14" x14ac:dyDescent="0.25">
      <c r="H82" s="60"/>
      <c r="I82" s="60"/>
      <c r="J82" s="60"/>
      <c r="K82" s="60"/>
      <c r="L82" s="60"/>
      <c r="M82" s="60"/>
      <c r="N82" s="60"/>
    </row>
    <row r="83" spans="8:14" x14ac:dyDescent="0.25">
      <c r="H83" s="60"/>
      <c r="I83" s="60"/>
      <c r="J83" s="60"/>
      <c r="K83" s="60"/>
      <c r="L83" s="60"/>
      <c r="M83" s="60"/>
      <c r="N83" s="60"/>
    </row>
    <row r="84" spans="8:14" x14ac:dyDescent="0.25">
      <c r="H84" s="60"/>
      <c r="I84" s="60"/>
      <c r="J84" s="60"/>
      <c r="K84" s="60"/>
      <c r="L84" s="60"/>
      <c r="M84" s="60"/>
      <c r="N84" s="60"/>
    </row>
    <row r="85" spans="8:14" x14ac:dyDescent="0.25">
      <c r="H85" s="60"/>
      <c r="I85" s="60"/>
      <c r="J85" s="60"/>
      <c r="K85" s="60"/>
      <c r="L85" s="60"/>
      <c r="M85" s="60"/>
      <c r="N85" s="60"/>
    </row>
    <row r="86" spans="8:14" x14ac:dyDescent="0.25">
      <c r="H86" s="60"/>
      <c r="I86" s="60"/>
      <c r="J86" s="60"/>
      <c r="K86" s="60"/>
      <c r="L86" s="60"/>
      <c r="M86" s="60"/>
      <c r="N86" s="60"/>
    </row>
    <row r="87" spans="8:14" x14ac:dyDescent="0.25">
      <c r="H87" s="60"/>
      <c r="I87" s="60"/>
      <c r="J87" s="60"/>
      <c r="K87" s="60"/>
      <c r="L87" s="60"/>
      <c r="M87" s="60"/>
      <c r="N87" s="60"/>
    </row>
    <row r="88" spans="8:14" x14ac:dyDescent="0.25">
      <c r="H88" s="60"/>
      <c r="I88" s="60"/>
      <c r="J88" s="60"/>
      <c r="K88" s="60"/>
      <c r="L88" s="60"/>
      <c r="M88" s="60"/>
      <c r="N88" s="60"/>
    </row>
    <row r="89" spans="8:14" x14ac:dyDescent="0.25">
      <c r="H89" s="60"/>
      <c r="I89" s="60"/>
      <c r="J89" s="60"/>
      <c r="K89" s="60"/>
      <c r="L89" s="60"/>
      <c r="M89" s="60"/>
      <c r="N89" s="60"/>
    </row>
    <row r="90" spans="8:14" x14ac:dyDescent="0.25">
      <c r="H90" s="60"/>
      <c r="I90" s="60"/>
      <c r="J90" s="60"/>
      <c r="K90" s="60"/>
      <c r="L90" s="60"/>
      <c r="M90" s="60"/>
      <c r="N90" s="60"/>
    </row>
    <row r="91" spans="8:14" x14ac:dyDescent="0.25">
      <c r="H91" s="60"/>
      <c r="I91" s="60"/>
      <c r="J91" s="60"/>
      <c r="K91" s="60"/>
      <c r="L91" s="60"/>
      <c r="M91" s="60"/>
      <c r="N91" s="60"/>
    </row>
    <row r="92" spans="8:14" x14ac:dyDescent="0.25">
      <c r="H92" s="60"/>
      <c r="I92" s="60"/>
      <c r="J92" s="60"/>
      <c r="K92" s="60"/>
      <c r="L92" s="60"/>
      <c r="M92" s="60"/>
      <c r="N92" s="60"/>
    </row>
  </sheetData>
  <mergeCells count="42">
    <mergeCell ref="A14:AF14"/>
    <mergeCell ref="C20:D21"/>
    <mergeCell ref="A16:AF16"/>
    <mergeCell ref="A15:AF15"/>
    <mergeCell ref="A20:A22"/>
    <mergeCell ref="E20:F21"/>
    <mergeCell ref="A18:AF18"/>
    <mergeCell ref="AE20:AF21"/>
    <mergeCell ref="O20:R20"/>
    <mergeCell ref="O21:P21"/>
    <mergeCell ref="Q21:R21"/>
    <mergeCell ref="H20:H22"/>
    <mergeCell ref="K21:L21"/>
    <mergeCell ref="K20:N20"/>
    <mergeCell ref="M21:N21"/>
    <mergeCell ref="B20:B22"/>
    <mergeCell ref="A4:AF4"/>
    <mergeCell ref="A12:AF12"/>
    <mergeCell ref="A9:AF9"/>
    <mergeCell ref="A11:AF11"/>
    <mergeCell ref="A8:AF8"/>
    <mergeCell ref="A6:AF6"/>
    <mergeCell ref="AA20:AD20"/>
    <mergeCell ref="AA21:AB21"/>
    <mergeCell ref="AC21:AD21"/>
    <mergeCell ref="G20:G22"/>
    <mergeCell ref="I20:I22"/>
    <mergeCell ref="J20:J22"/>
    <mergeCell ref="S20:V20"/>
    <mergeCell ref="W20:Z20"/>
    <mergeCell ref="S21:T21"/>
    <mergeCell ref="U21:V21"/>
    <mergeCell ref="W21:X21"/>
    <mergeCell ref="Y21:Z21"/>
    <mergeCell ref="B75:L75"/>
    <mergeCell ref="B77:L77"/>
    <mergeCell ref="B66:L66"/>
    <mergeCell ref="B68:L68"/>
    <mergeCell ref="B70:L70"/>
    <mergeCell ref="B72:L72"/>
    <mergeCell ref="B73:L73"/>
    <mergeCell ref="B74:L74"/>
  </mergeCells>
  <conditionalFormatting sqref="C24:AE64">
    <cfRule type="cellIs" dxfId="1" priority="2" operator="notEqual">
      <formula>0</formula>
    </cfRule>
  </conditionalFormatting>
  <conditionalFormatting sqref="AF24:A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3" zoomScale="80" zoomScaleSheetLayoutView="80"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9" t="str">
        <f>'1. паспорт местоположение'!A5:C5</f>
        <v>Год раскрытия информации: 2025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75" x14ac:dyDescent="0.3">
      <c r="AV6" s="15"/>
    </row>
    <row r="7" spans="1:48" ht="18.75" x14ac:dyDescent="0.25">
      <c r="A7" s="408" t="s">
        <v>7</v>
      </c>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c r="AB7" s="408"/>
      <c r="AC7" s="408"/>
      <c r="AD7" s="408"/>
      <c r="AE7" s="408"/>
      <c r="AF7" s="408"/>
      <c r="AG7" s="408"/>
      <c r="AH7" s="408"/>
      <c r="AI7" s="408"/>
      <c r="AJ7" s="408"/>
      <c r="AK7" s="408"/>
      <c r="AL7" s="408"/>
      <c r="AM7" s="408"/>
      <c r="AN7" s="408"/>
      <c r="AO7" s="408"/>
      <c r="AP7" s="408"/>
      <c r="AQ7" s="408"/>
      <c r="AR7" s="408"/>
      <c r="AS7" s="408"/>
      <c r="AT7" s="408"/>
      <c r="AU7" s="408"/>
      <c r="AV7" s="408"/>
    </row>
    <row r="8" spans="1:48" ht="18.75" x14ac:dyDescent="0.25">
      <c r="A8" s="408"/>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8"/>
      <c r="AK8" s="408"/>
      <c r="AL8" s="408"/>
      <c r="AM8" s="408"/>
      <c r="AN8" s="408"/>
      <c r="AO8" s="408"/>
      <c r="AP8" s="408"/>
      <c r="AQ8" s="408"/>
      <c r="AR8" s="408"/>
      <c r="AS8" s="408"/>
      <c r="AT8" s="408"/>
      <c r="AU8" s="408"/>
      <c r="AV8" s="408"/>
    </row>
    <row r="9" spans="1:48" x14ac:dyDescent="0.25">
      <c r="A9" s="409" t="str">
        <f>'1. паспорт местоположение'!A9:C9</f>
        <v>Акционерное общество "Россети Янтарь" ДЗО  ПАО "Россети"</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08"/>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408"/>
      <c r="AF11" s="408"/>
      <c r="AG11" s="408"/>
      <c r="AH11" s="408"/>
      <c r="AI11" s="408"/>
      <c r="AJ11" s="408"/>
      <c r="AK11" s="408"/>
      <c r="AL11" s="408"/>
      <c r="AM11" s="408"/>
      <c r="AN11" s="408"/>
      <c r="AO11" s="408"/>
      <c r="AP11" s="408"/>
      <c r="AQ11" s="408"/>
      <c r="AR11" s="408"/>
      <c r="AS11" s="408"/>
      <c r="AT11" s="408"/>
      <c r="AU11" s="408"/>
      <c r="AV11" s="408"/>
    </row>
    <row r="12" spans="1:48" x14ac:dyDescent="0.25">
      <c r="A12" s="409" t="str">
        <f>'1. паспорт местоположение'!A12:C12</f>
        <v>J_19-0403</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4"/>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H14" s="414"/>
      <c r="AI14" s="414"/>
      <c r="AJ14" s="414"/>
      <c r="AK14" s="414"/>
      <c r="AL14" s="414"/>
      <c r="AM14" s="414"/>
      <c r="AN14" s="414"/>
      <c r="AO14" s="414"/>
      <c r="AP14" s="414"/>
      <c r="AQ14" s="414"/>
      <c r="AR14" s="414"/>
      <c r="AS14" s="414"/>
      <c r="AT14" s="414"/>
      <c r="AU14" s="414"/>
      <c r="AV14" s="414"/>
    </row>
    <row r="15" spans="1:48" x14ac:dyDescent="0.25">
      <c r="A15" s="409" t="str">
        <f>'1. паспорт местоположение'!A15</f>
        <v>Вынос (переустройство) ВЛ 15-47 (инв.5114664) п. Малое Исаково Гурьевский ГО</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6"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6" customFormat="1" x14ac:dyDescent="0.25">
      <c r="A21" s="511" t="s">
        <v>509</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6" customFormat="1" ht="58.5" customHeight="1" x14ac:dyDescent="0.25">
      <c r="A22" s="502" t="s">
        <v>50</v>
      </c>
      <c r="B22" s="513" t="s">
        <v>22</v>
      </c>
      <c r="C22" s="502" t="s">
        <v>49</v>
      </c>
      <c r="D22" s="502" t="s">
        <v>48</v>
      </c>
      <c r="E22" s="516" t="s">
        <v>520</v>
      </c>
      <c r="F22" s="517"/>
      <c r="G22" s="517"/>
      <c r="H22" s="517"/>
      <c r="I22" s="517"/>
      <c r="J22" s="517"/>
      <c r="K22" s="517"/>
      <c r="L22" s="518"/>
      <c r="M22" s="502" t="s">
        <v>47</v>
      </c>
      <c r="N22" s="502" t="s">
        <v>46</v>
      </c>
      <c r="O22" s="502" t="s">
        <v>45</v>
      </c>
      <c r="P22" s="497" t="s">
        <v>255</v>
      </c>
      <c r="Q22" s="497" t="s">
        <v>44</v>
      </c>
      <c r="R22" s="497" t="s">
        <v>43</v>
      </c>
      <c r="S22" s="497" t="s">
        <v>42</v>
      </c>
      <c r="T22" s="497"/>
      <c r="U22" s="519" t="s">
        <v>41</v>
      </c>
      <c r="V22" s="519" t="s">
        <v>40</v>
      </c>
      <c r="W22" s="497" t="s">
        <v>39</v>
      </c>
      <c r="X22" s="497" t="s">
        <v>38</v>
      </c>
      <c r="Y22" s="497" t="s">
        <v>37</v>
      </c>
      <c r="Z22" s="504"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5" t="s">
        <v>23</v>
      </c>
    </row>
    <row r="23" spans="1:48" s="26" customFormat="1" ht="64.5" customHeight="1" x14ac:dyDescent="0.25">
      <c r="A23" s="512"/>
      <c r="B23" s="514"/>
      <c r="C23" s="512"/>
      <c r="D23" s="512"/>
      <c r="E23" s="507" t="s">
        <v>21</v>
      </c>
      <c r="F23" s="498" t="s">
        <v>126</v>
      </c>
      <c r="G23" s="498" t="s">
        <v>125</v>
      </c>
      <c r="H23" s="498" t="s">
        <v>124</v>
      </c>
      <c r="I23" s="500" t="s">
        <v>430</v>
      </c>
      <c r="J23" s="500" t="s">
        <v>431</v>
      </c>
      <c r="K23" s="500" t="s">
        <v>432</v>
      </c>
      <c r="L23" s="498" t="s">
        <v>74</v>
      </c>
      <c r="M23" s="512"/>
      <c r="N23" s="512"/>
      <c r="O23" s="512"/>
      <c r="P23" s="497"/>
      <c r="Q23" s="497"/>
      <c r="R23" s="497"/>
      <c r="S23" s="509" t="s">
        <v>2</v>
      </c>
      <c r="T23" s="509" t="s">
        <v>9</v>
      </c>
      <c r="U23" s="519"/>
      <c r="V23" s="519"/>
      <c r="W23" s="497"/>
      <c r="X23" s="497"/>
      <c r="Y23" s="497"/>
      <c r="Z23" s="497"/>
      <c r="AA23" s="497"/>
      <c r="AB23" s="497"/>
      <c r="AC23" s="497"/>
      <c r="AD23" s="497"/>
      <c r="AE23" s="497"/>
      <c r="AF23" s="497" t="s">
        <v>20</v>
      </c>
      <c r="AG23" s="497"/>
      <c r="AH23" s="497" t="s">
        <v>19</v>
      </c>
      <c r="AI23" s="497"/>
      <c r="AJ23" s="502" t="s">
        <v>18</v>
      </c>
      <c r="AK23" s="502" t="s">
        <v>17</v>
      </c>
      <c r="AL23" s="502" t="s">
        <v>16</v>
      </c>
      <c r="AM23" s="502" t="s">
        <v>15</v>
      </c>
      <c r="AN23" s="502" t="s">
        <v>14</v>
      </c>
      <c r="AO23" s="502" t="s">
        <v>13</v>
      </c>
      <c r="AP23" s="502" t="s">
        <v>12</v>
      </c>
      <c r="AQ23" s="520" t="s">
        <v>9</v>
      </c>
      <c r="AR23" s="497"/>
      <c r="AS23" s="497"/>
      <c r="AT23" s="497"/>
      <c r="AU23" s="497"/>
      <c r="AV23" s="506"/>
    </row>
    <row r="24" spans="1:48" s="26" customFormat="1" ht="96.75" customHeight="1" x14ac:dyDescent="0.25">
      <c r="A24" s="503"/>
      <c r="B24" s="515"/>
      <c r="C24" s="503"/>
      <c r="D24" s="503"/>
      <c r="E24" s="508"/>
      <c r="F24" s="499"/>
      <c r="G24" s="499"/>
      <c r="H24" s="499"/>
      <c r="I24" s="501"/>
      <c r="J24" s="501"/>
      <c r="K24" s="501"/>
      <c r="L24" s="499"/>
      <c r="M24" s="503"/>
      <c r="N24" s="503"/>
      <c r="O24" s="503"/>
      <c r="P24" s="497"/>
      <c r="Q24" s="497"/>
      <c r="R24" s="497"/>
      <c r="S24" s="510"/>
      <c r="T24" s="510"/>
      <c r="U24" s="519"/>
      <c r="V24" s="519"/>
      <c r="W24" s="497"/>
      <c r="X24" s="497"/>
      <c r="Y24" s="497"/>
      <c r="Z24" s="497"/>
      <c r="AA24" s="497"/>
      <c r="AB24" s="497"/>
      <c r="AC24" s="497"/>
      <c r="AD24" s="497"/>
      <c r="AE24" s="497"/>
      <c r="AF24" s="147" t="s">
        <v>11</v>
      </c>
      <c r="AG24" s="147" t="s">
        <v>10</v>
      </c>
      <c r="AH24" s="148" t="s">
        <v>2</v>
      </c>
      <c r="AI24" s="148" t="s">
        <v>9</v>
      </c>
      <c r="AJ24" s="503"/>
      <c r="AK24" s="503"/>
      <c r="AL24" s="503"/>
      <c r="AM24" s="503"/>
      <c r="AN24" s="503"/>
      <c r="AO24" s="503"/>
      <c r="AP24" s="503"/>
      <c r="AQ24" s="521"/>
      <c r="AR24" s="497"/>
      <c r="AS24" s="497"/>
      <c r="AT24" s="497"/>
      <c r="AU24" s="497"/>
      <c r="AV24" s="5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02" t="s">
        <v>631</v>
      </c>
      <c r="C26" s="21" t="s">
        <v>62</v>
      </c>
      <c r="D26" s="22">
        <f>'6.1. Паспорт сетевой график'!F53</f>
        <v>45838</v>
      </c>
      <c r="E26" s="301"/>
      <c r="F26" s="301"/>
      <c r="G26" s="301"/>
      <c r="H26" s="301"/>
      <c r="I26" s="301">
        <f>'3.2 паспорт Техсостояние ЛЭП'!R25</f>
        <v>5.6000000000000001E-2</v>
      </c>
      <c r="J26" s="301"/>
      <c r="K26" s="301"/>
      <c r="L26" s="322"/>
      <c r="M26" s="323"/>
      <c r="N26" s="323"/>
      <c r="O26" s="302"/>
      <c r="P26" s="24"/>
      <c r="Q26" s="21"/>
      <c r="R26" s="21"/>
      <c r="S26" s="21"/>
      <c r="T26" s="21"/>
      <c r="U26" s="23"/>
      <c r="V26" s="23"/>
      <c r="W26" s="21"/>
      <c r="X26" s="324"/>
      <c r="Y26" s="323"/>
      <c r="Z26" s="22"/>
      <c r="AA26" s="24"/>
      <c r="AB26" s="324"/>
      <c r="AC26" s="324"/>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c r="B27" s="302"/>
      <c r="C27" s="21"/>
      <c r="D27" s="22"/>
      <c r="E27" s="301"/>
      <c r="F27" s="301"/>
      <c r="G27" s="301"/>
      <c r="H27" s="301"/>
      <c r="I27" s="301"/>
      <c r="J27" s="301"/>
      <c r="K27" s="301"/>
      <c r="L27" s="322"/>
      <c r="M27" s="323"/>
      <c r="N27" s="323"/>
      <c r="O27" s="302"/>
      <c r="P27" s="24"/>
      <c r="Q27" s="21"/>
      <c r="R27" s="21"/>
      <c r="S27" s="21"/>
      <c r="T27" s="21"/>
      <c r="U27" s="23"/>
      <c r="V27" s="23"/>
      <c r="W27" s="323"/>
      <c r="X27" s="324"/>
      <c r="Y27" s="323"/>
      <c r="Z27" s="22"/>
      <c r="AA27" s="24"/>
      <c r="AB27" s="24"/>
      <c r="AC27" s="324"/>
      <c r="AD27" s="24"/>
      <c r="AE27" s="24"/>
      <c r="AF27" s="23"/>
      <c r="AG27" s="21"/>
      <c r="AH27" s="22"/>
      <c r="AI27" s="22"/>
      <c r="AJ27" s="22"/>
      <c r="AK27" s="22"/>
      <c r="AL27" s="21"/>
      <c r="AM27" s="21"/>
      <c r="AN27" s="22"/>
      <c r="AO27" s="21"/>
      <c r="AP27" s="22"/>
      <c r="AQ27" s="22"/>
      <c r="AR27" s="22"/>
      <c r="AS27" s="22"/>
      <c r="AT27" s="22"/>
      <c r="AU27" s="21"/>
      <c r="AV27"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topLeftCell="A10" zoomScale="90" zoomScaleNormal="90" zoomScaleSheetLayoutView="90" workbookViewId="0">
      <selection activeCell="B30" sqref="B30"/>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28" t="str">
        <f>'1. паспорт местоположение'!A5:C5</f>
        <v>Год раскрытия информации: 2025 год</v>
      </c>
      <c r="B5" s="528"/>
      <c r="C5" s="85"/>
      <c r="D5" s="85"/>
      <c r="E5" s="85"/>
      <c r="F5" s="85"/>
      <c r="G5" s="85"/>
      <c r="H5" s="85"/>
    </row>
    <row r="6" spans="1:8" ht="18.75" x14ac:dyDescent="0.3">
      <c r="A6" s="254"/>
      <c r="B6" s="254"/>
      <c r="C6" s="254"/>
      <c r="D6" s="254"/>
      <c r="E6" s="254"/>
      <c r="F6" s="254"/>
      <c r="G6" s="254"/>
      <c r="H6" s="254"/>
    </row>
    <row r="7" spans="1:8" ht="18.75" x14ac:dyDescent="0.25">
      <c r="A7" s="408" t="s">
        <v>7</v>
      </c>
      <c r="B7" s="408"/>
      <c r="C7" s="153"/>
      <c r="D7" s="153"/>
      <c r="E7" s="153"/>
      <c r="F7" s="153"/>
      <c r="G7" s="153"/>
      <c r="H7" s="153"/>
    </row>
    <row r="8" spans="1:8" ht="18.75" x14ac:dyDescent="0.25">
      <c r="A8" s="153"/>
      <c r="B8" s="153"/>
      <c r="C8" s="153"/>
      <c r="D8" s="153"/>
      <c r="E8" s="153"/>
      <c r="F8" s="153"/>
      <c r="G8" s="153"/>
      <c r="H8" s="153"/>
    </row>
    <row r="9" spans="1:8" x14ac:dyDescent="0.25">
      <c r="A9" s="409" t="str">
        <f>'1. паспорт местоположение'!A9:C9</f>
        <v>Акционерное общество "Россети Янтарь" ДЗО  ПАО "Россети"</v>
      </c>
      <c r="B9" s="409"/>
      <c r="C9" s="167"/>
      <c r="D9" s="167"/>
      <c r="E9" s="167"/>
      <c r="F9" s="167"/>
      <c r="G9" s="167"/>
      <c r="H9" s="167"/>
    </row>
    <row r="10" spans="1:8" x14ac:dyDescent="0.25">
      <c r="A10" s="413" t="s">
        <v>6</v>
      </c>
      <c r="B10" s="413"/>
      <c r="C10" s="155"/>
      <c r="D10" s="155"/>
      <c r="E10" s="155"/>
      <c r="F10" s="155"/>
      <c r="G10" s="155"/>
      <c r="H10" s="155"/>
    </row>
    <row r="11" spans="1:8" ht="18.75" x14ac:dyDescent="0.25">
      <c r="A11" s="153"/>
      <c r="B11" s="153"/>
      <c r="C11" s="153"/>
      <c r="D11" s="153"/>
      <c r="E11" s="153"/>
      <c r="F11" s="153"/>
      <c r="G11" s="153"/>
      <c r="H11" s="153"/>
    </row>
    <row r="12" spans="1:8" x14ac:dyDescent="0.25">
      <c r="A12" s="409" t="str">
        <f>'1. паспорт местоположение'!A12:C12</f>
        <v>J_19-0403</v>
      </c>
      <c r="B12" s="409"/>
      <c r="C12" s="167"/>
      <c r="D12" s="167"/>
      <c r="E12" s="167"/>
      <c r="F12" s="167"/>
      <c r="G12" s="167"/>
      <c r="H12" s="167"/>
    </row>
    <row r="13" spans="1:8" x14ac:dyDescent="0.25">
      <c r="A13" s="413" t="s">
        <v>5</v>
      </c>
      <c r="B13" s="413"/>
      <c r="C13" s="155"/>
      <c r="D13" s="155"/>
      <c r="E13" s="155"/>
      <c r="F13" s="155"/>
      <c r="G13" s="155"/>
      <c r="H13" s="155"/>
    </row>
    <row r="14" spans="1:8" ht="18.75" x14ac:dyDescent="0.25">
      <c r="A14" s="11"/>
      <c r="B14" s="11"/>
      <c r="C14" s="11"/>
      <c r="D14" s="11"/>
      <c r="E14" s="11"/>
      <c r="F14" s="11"/>
      <c r="G14" s="11"/>
      <c r="H14" s="11"/>
    </row>
    <row r="15" spans="1:8" x14ac:dyDescent="0.25">
      <c r="A15" s="522" t="str">
        <f>'1. паспорт местоположение'!A15:C15</f>
        <v>Вынос (переустройство) ВЛ 15-47 (инв.5114664) п. Малое Исаково Гурьевский ГО</v>
      </c>
      <c r="B15" s="409"/>
      <c r="C15" s="167"/>
      <c r="D15" s="167"/>
      <c r="E15" s="167"/>
      <c r="F15" s="167"/>
      <c r="G15" s="167"/>
      <c r="H15" s="167"/>
    </row>
    <row r="16" spans="1:8" x14ac:dyDescent="0.25">
      <c r="A16" s="413" t="s">
        <v>4</v>
      </c>
      <c r="B16" s="413"/>
      <c r="C16" s="155"/>
      <c r="D16" s="155"/>
      <c r="E16" s="155"/>
      <c r="F16" s="155"/>
      <c r="G16" s="155"/>
      <c r="H16" s="155"/>
    </row>
    <row r="17" spans="1:2" x14ac:dyDescent="0.25">
      <c r="B17" s="123"/>
    </row>
    <row r="18" spans="1:2" x14ac:dyDescent="0.25">
      <c r="A18" s="523" t="s">
        <v>510</v>
      </c>
      <c r="B18" s="524"/>
    </row>
    <row r="19" spans="1:2" x14ac:dyDescent="0.25">
      <c r="B19" s="43"/>
    </row>
    <row r="20" spans="1:2" ht="16.5" thickBot="1" x14ac:dyDescent="0.3">
      <c r="B20" s="124"/>
    </row>
    <row r="21" spans="1:2" ht="30.75" thickBot="1" x14ac:dyDescent="0.3">
      <c r="A21" s="125" t="s">
        <v>380</v>
      </c>
      <c r="B21" s="126" t="str">
        <f>A15</f>
        <v>Вынос (переустройство) ВЛ 15-47 (инв.5114664) п. Малое Исаково Гурьевский ГО</v>
      </c>
    </row>
    <row r="22" spans="1:2" ht="16.5" thickBot="1" x14ac:dyDescent="0.3">
      <c r="A22" s="125" t="s">
        <v>381</v>
      </c>
      <c r="B22" s="12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5" t="s">
        <v>346</v>
      </c>
      <c r="B23" s="127" t="s">
        <v>589</v>
      </c>
    </row>
    <row r="24" spans="1:2" ht="16.5" thickBot="1" x14ac:dyDescent="0.3">
      <c r="A24" s="125" t="s">
        <v>382</v>
      </c>
      <c r="B24" s="127" t="str">
        <f>CONCATENATE('3.2 паспорт Техсостояние ЛЭП'!R26," (0,0) км")</f>
        <v>0,056 (0,0) км</v>
      </c>
    </row>
    <row r="25" spans="1:2" ht="16.5" thickBot="1" x14ac:dyDescent="0.3">
      <c r="A25" s="128" t="s">
        <v>383</v>
      </c>
      <c r="B25" s="126">
        <v>2025</v>
      </c>
    </row>
    <row r="26" spans="1:2" ht="16.5" thickBot="1" x14ac:dyDescent="0.3">
      <c r="A26" s="129" t="s">
        <v>384</v>
      </c>
      <c r="B26" s="127" t="s">
        <v>612</v>
      </c>
    </row>
    <row r="27" spans="1:2" ht="29.25" thickBot="1" x14ac:dyDescent="0.3">
      <c r="A27" s="136" t="s">
        <v>627</v>
      </c>
      <c r="B27" s="253">
        <f>'5. анализ эконом эфф'!B122</f>
        <v>0.29652439999999997</v>
      </c>
    </row>
    <row r="28" spans="1:2" ht="16.5" thickBot="1" x14ac:dyDescent="0.3">
      <c r="A28" s="131" t="s">
        <v>385</v>
      </c>
      <c r="B28" s="131" t="s">
        <v>596</v>
      </c>
    </row>
    <row r="29" spans="1:2" ht="29.25" thickBot="1" x14ac:dyDescent="0.3">
      <c r="A29" s="137" t="s">
        <v>386</v>
      </c>
      <c r="B29" s="371">
        <v>0</v>
      </c>
    </row>
    <row r="30" spans="1:2" ht="29.25" thickBot="1" x14ac:dyDescent="0.3">
      <c r="A30" s="137" t="s">
        <v>387</v>
      </c>
      <c r="B30" s="371">
        <f>B32+B41+B58</f>
        <v>2.8080000000000001E-2</v>
      </c>
    </row>
    <row r="31" spans="1:2" ht="16.5" thickBot="1" x14ac:dyDescent="0.3">
      <c r="A31" s="131" t="s">
        <v>388</v>
      </c>
      <c r="B31" s="371"/>
    </row>
    <row r="32" spans="1:2" ht="29.25" thickBot="1" x14ac:dyDescent="0.3">
      <c r="A32" s="137" t="s">
        <v>389</v>
      </c>
      <c r="B32" s="371">
        <f>B33+B37</f>
        <v>0</v>
      </c>
    </row>
    <row r="33" spans="1:3" s="259" customFormat="1" ht="16.5" thickBot="1" x14ac:dyDescent="0.3">
      <c r="A33" s="270" t="s">
        <v>390</v>
      </c>
      <c r="B33" s="372">
        <v>0</v>
      </c>
    </row>
    <row r="34" spans="1:3" ht="16.5" thickBot="1" x14ac:dyDescent="0.3">
      <c r="A34" s="131" t="s">
        <v>391</v>
      </c>
      <c r="B34" s="260">
        <f>B33/$B$27</f>
        <v>0</v>
      </c>
    </row>
    <row r="35" spans="1:3" ht="16.5" thickBot="1" x14ac:dyDescent="0.3">
      <c r="A35" s="131" t="s">
        <v>392</v>
      </c>
      <c r="B35" s="371">
        <v>0</v>
      </c>
      <c r="C35" s="122">
        <v>1</v>
      </c>
    </row>
    <row r="36" spans="1:3" ht="16.5" thickBot="1" x14ac:dyDescent="0.3">
      <c r="A36" s="131" t="s">
        <v>393</v>
      </c>
      <c r="B36" s="371">
        <v>0</v>
      </c>
      <c r="C36" s="122">
        <v>2</v>
      </c>
    </row>
    <row r="37" spans="1:3" s="259" customFormat="1" ht="16.5" thickBot="1" x14ac:dyDescent="0.3">
      <c r="A37" s="270" t="s">
        <v>390</v>
      </c>
      <c r="B37" s="372">
        <v>0</v>
      </c>
    </row>
    <row r="38" spans="1:3" ht="16.5" thickBot="1" x14ac:dyDescent="0.3">
      <c r="A38" s="131" t="s">
        <v>391</v>
      </c>
      <c r="B38" s="260">
        <f>B37/$B$27</f>
        <v>0</v>
      </c>
    </row>
    <row r="39" spans="1:3" ht="16.5" thickBot="1" x14ac:dyDescent="0.3">
      <c r="A39" s="131" t="s">
        <v>392</v>
      </c>
      <c r="B39" s="371">
        <v>0</v>
      </c>
      <c r="C39" s="122">
        <v>1</v>
      </c>
    </row>
    <row r="40" spans="1:3" ht="16.5" thickBot="1" x14ac:dyDescent="0.3">
      <c r="A40" s="131" t="s">
        <v>393</v>
      </c>
      <c r="B40" s="371">
        <v>0</v>
      </c>
      <c r="C40" s="122">
        <v>2</v>
      </c>
    </row>
    <row r="41" spans="1:3" ht="29.25" thickBot="1" x14ac:dyDescent="0.3">
      <c r="A41" s="137" t="s">
        <v>394</v>
      </c>
      <c r="B41" s="371">
        <f>B42+B46+B50+B54</f>
        <v>0</v>
      </c>
    </row>
    <row r="42" spans="1:3" s="259" customFormat="1" ht="16.5" thickBot="1" x14ac:dyDescent="0.3">
      <c r="A42" s="258" t="s">
        <v>390</v>
      </c>
      <c r="B42" s="372">
        <v>0</v>
      </c>
    </row>
    <row r="43" spans="1:3" ht="16.5" thickBot="1" x14ac:dyDescent="0.3">
      <c r="A43" s="131" t="s">
        <v>391</v>
      </c>
      <c r="B43" s="260">
        <f>B42/$B$27</f>
        <v>0</v>
      </c>
    </row>
    <row r="44" spans="1:3" ht="16.5" thickBot="1" x14ac:dyDescent="0.3">
      <c r="A44" s="131" t="s">
        <v>392</v>
      </c>
      <c r="B44" s="371">
        <v>0</v>
      </c>
      <c r="C44" s="122">
        <v>1</v>
      </c>
    </row>
    <row r="45" spans="1:3" ht="16.5" thickBot="1" x14ac:dyDescent="0.3">
      <c r="A45" s="131" t="s">
        <v>393</v>
      </c>
      <c r="B45" s="371">
        <v>0</v>
      </c>
      <c r="C45" s="122">
        <v>2</v>
      </c>
    </row>
    <row r="46" spans="1:3" s="259" customFormat="1" ht="16.5" thickBot="1" x14ac:dyDescent="0.3">
      <c r="A46" s="258" t="s">
        <v>390</v>
      </c>
      <c r="B46" s="372">
        <v>0</v>
      </c>
    </row>
    <row r="47" spans="1:3" ht="16.5" thickBot="1" x14ac:dyDescent="0.3">
      <c r="A47" s="131" t="s">
        <v>391</v>
      </c>
      <c r="B47" s="260">
        <f>B46/$B$27</f>
        <v>0</v>
      </c>
    </row>
    <row r="48" spans="1:3" ht="16.5" thickBot="1" x14ac:dyDescent="0.3">
      <c r="A48" s="131" t="s">
        <v>392</v>
      </c>
      <c r="B48" s="371">
        <v>0</v>
      </c>
      <c r="C48" s="122">
        <v>1</v>
      </c>
    </row>
    <row r="49" spans="1:3" ht="16.5" thickBot="1" x14ac:dyDescent="0.3">
      <c r="A49" s="131" t="s">
        <v>393</v>
      </c>
      <c r="B49" s="371">
        <v>0</v>
      </c>
      <c r="C49" s="122">
        <v>2</v>
      </c>
    </row>
    <row r="50" spans="1:3" s="259" customFormat="1" ht="16.5" thickBot="1" x14ac:dyDescent="0.3">
      <c r="A50" s="258" t="s">
        <v>390</v>
      </c>
      <c r="B50" s="372">
        <v>0</v>
      </c>
    </row>
    <row r="51" spans="1:3" ht="16.5" thickBot="1" x14ac:dyDescent="0.3">
      <c r="A51" s="131" t="s">
        <v>391</v>
      </c>
      <c r="B51" s="260">
        <f>B50/$B$27</f>
        <v>0</v>
      </c>
    </row>
    <row r="52" spans="1:3" ht="16.5" thickBot="1" x14ac:dyDescent="0.3">
      <c r="A52" s="131" t="s">
        <v>392</v>
      </c>
      <c r="B52" s="371">
        <v>0</v>
      </c>
      <c r="C52" s="122">
        <v>1</v>
      </c>
    </row>
    <row r="53" spans="1:3" ht="16.5" thickBot="1" x14ac:dyDescent="0.3">
      <c r="A53" s="131" t="s">
        <v>393</v>
      </c>
      <c r="B53" s="371">
        <v>0</v>
      </c>
      <c r="C53" s="122">
        <v>2</v>
      </c>
    </row>
    <row r="54" spans="1:3" s="259" customFormat="1" ht="16.5" thickBot="1" x14ac:dyDescent="0.3">
      <c r="A54" s="258" t="s">
        <v>390</v>
      </c>
      <c r="B54" s="372">
        <v>0</v>
      </c>
    </row>
    <row r="55" spans="1:3" ht="16.5" thickBot="1" x14ac:dyDescent="0.3">
      <c r="A55" s="131" t="s">
        <v>391</v>
      </c>
      <c r="B55" s="260">
        <f>B54/$B$27</f>
        <v>0</v>
      </c>
    </row>
    <row r="56" spans="1:3" ht="16.5" thickBot="1" x14ac:dyDescent="0.3">
      <c r="A56" s="131" t="s">
        <v>392</v>
      </c>
      <c r="B56" s="371">
        <v>0</v>
      </c>
      <c r="C56" s="122">
        <v>1</v>
      </c>
    </row>
    <row r="57" spans="1:3" ht="16.5" thickBot="1" x14ac:dyDescent="0.3">
      <c r="A57" s="131" t="s">
        <v>393</v>
      </c>
      <c r="B57" s="371">
        <v>0</v>
      </c>
      <c r="C57" s="122">
        <v>2</v>
      </c>
    </row>
    <row r="58" spans="1:3" ht="29.25" thickBot="1" x14ac:dyDescent="0.3">
      <c r="A58" s="137" t="s">
        <v>395</v>
      </c>
      <c r="B58" s="371">
        <f>B59+B67+B71+B75</f>
        <v>2.8080000000000001E-2</v>
      </c>
    </row>
    <row r="59" spans="1:3" s="259" customFormat="1" ht="30.75" thickBot="1" x14ac:dyDescent="0.3">
      <c r="A59" s="387" t="s">
        <v>599</v>
      </c>
      <c r="B59" s="386">
        <v>1.5959999999999998E-2</v>
      </c>
    </row>
    <row r="60" spans="1:3" ht="16.5" thickBot="1" x14ac:dyDescent="0.3">
      <c r="A60" s="131" t="s">
        <v>391</v>
      </c>
      <c r="B60" s="260">
        <f>B59/$B$27</f>
        <v>5.3823563929309023E-2</v>
      </c>
    </row>
    <row r="61" spans="1:3" ht="16.5" thickBot="1" x14ac:dyDescent="0.3">
      <c r="A61" s="131" t="s">
        <v>392</v>
      </c>
      <c r="B61" s="371">
        <v>1.5959999999999998E-2</v>
      </c>
      <c r="C61" s="122">
        <v>1</v>
      </c>
    </row>
    <row r="62" spans="1:3" ht="16.5" thickBot="1" x14ac:dyDescent="0.3">
      <c r="A62" s="131" t="s">
        <v>393</v>
      </c>
      <c r="B62" s="371">
        <v>1.5959999999999998E-2</v>
      </c>
      <c r="C62" s="122">
        <v>2</v>
      </c>
    </row>
    <row r="63" spans="1:3" s="259" customFormat="1" ht="30.75" thickBot="1" x14ac:dyDescent="0.3">
      <c r="A63" s="387" t="s">
        <v>604</v>
      </c>
      <c r="B63" s="386">
        <v>6.3E-3</v>
      </c>
    </row>
    <row r="64" spans="1:3" ht="16.5" thickBot="1" x14ac:dyDescent="0.3">
      <c r="A64" s="131" t="s">
        <v>391</v>
      </c>
      <c r="B64" s="260">
        <f>B63/$B$27</f>
        <v>2.1246143656306195E-2</v>
      </c>
    </row>
    <row r="65" spans="1:3" ht="16.5" thickBot="1" x14ac:dyDescent="0.3">
      <c r="A65" s="131" t="s">
        <v>392</v>
      </c>
      <c r="B65" s="371">
        <f>0.0056+0.0007</f>
        <v>6.3E-3</v>
      </c>
      <c r="C65" s="122">
        <v>1</v>
      </c>
    </row>
    <row r="66" spans="1:3" ht="16.5" thickBot="1" x14ac:dyDescent="0.3">
      <c r="A66" s="131" t="s">
        <v>393</v>
      </c>
      <c r="B66" s="371">
        <v>6.3E-3</v>
      </c>
      <c r="C66" s="122">
        <v>2</v>
      </c>
    </row>
    <row r="67" spans="1:3" s="259" customFormat="1" ht="30.75" thickBot="1" x14ac:dyDescent="0.3">
      <c r="A67" s="387" t="s">
        <v>605</v>
      </c>
      <c r="B67" s="386">
        <v>1.2120000000000001E-2</v>
      </c>
    </row>
    <row r="68" spans="1:3" ht="16.5" thickBot="1" x14ac:dyDescent="0.3">
      <c r="A68" s="131" t="s">
        <v>391</v>
      </c>
      <c r="B68" s="260">
        <f>B67/$B$27</f>
        <v>4.0873533510227156E-2</v>
      </c>
    </row>
    <row r="69" spans="1:3" ht="16.5" thickBot="1" x14ac:dyDescent="0.3">
      <c r="A69" s="131" t="s">
        <v>392</v>
      </c>
      <c r="B69" s="371">
        <v>1.2120000000000001E-2</v>
      </c>
      <c r="C69" s="122">
        <v>1</v>
      </c>
    </row>
    <row r="70" spans="1:3" ht="16.5" thickBot="1" x14ac:dyDescent="0.3">
      <c r="A70" s="131" t="s">
        <v>393</v>
      </c>
      <c r="B70" s="371">
        <v>1.2120000000000001E-2</v>
      </c>
      <c r="C70" s="122">
        <v>2</v>
      </c>
    </row>
    <row r="71" spans="1:3" s="259" customFormat="1" ht="16.5" thickBot="1" x14ac:dyDescent="0.3">
      <c r="A71" s="258" t="s">
        <v>390</v>
      </c>
      <c r="B71" s="372">
        <v>0</v>
      </c>
    </row>
    <row r="72" spans="1:3" ht="16.5" thickBot="1" x14ac:dyDescent="0.3">
      <c r="A72" s="131" t="s">
        <v>391</v>
      </c>
      <c r="B72" s="260">
        <f>B71/$B$27</f>
        <v>0</v>
      </c>
    </row>
    <row r="73" spans="1:3" ht="16.5" thickBot="1" x14ac:dyDescent="0.3">
      <c r="A73" s="131" t="s">
        <v>392</v>
      </c>
      <c r="B73" s="371">
        <v>0</v>
      </c>
      <c r="C73" s="122">
        <v>1</v>
      </c>
    </row>
    <row r="74" spans="1:3" ht="16.5" thickBot="1" x14ac:dyDescent="0.3">
      <c r="A74" s="131" t="s">
        <v>393</v>
      </c>
      <c r="B74" s="371">
        <v>0</v>
      </c>
      <c r="C74" s="122">
        <v>2</v>
      </c>
    </row>
    <row r="75" spans="1:3" s="259" customFormat="1" ht="16.5" thickBot="1" x14ac:dyDescent="0.3">
      <c r="A75" s="258" t="s">
        <v>390</v>
      </c>
      <c r="B75" s="372">
        <v>0</v>
      </c>
    </row>
    <row r="76" spans="1:3" ht="16.5" thickBot="1" x14ac:dyDescent="0.3">
      <c r="A76" s="131" t="s">
        <v>391</v>
      </c>
      <c r="B76" s="260">
        <f>B75/$B$27</f>
        <v>0</v>
      </c>
    </row>
    <row r="77" spans="1:3" ht="16.5" thickBot="1" x14ac:dyDescent="0.3">
      <c r="A77" s="131" t="s">
        <v>392</v>
      </c>
      <c r="B77" s="371">
        <v>0</v>
      </c>
      <c r="C77" s="122">
        <v>1</v>
      </c>
    </row>
    <row r="78" spans="1:3" ht="16.5" thickBot="1" x14ac:dyDescent="0.3">
      <c r="A78" s="131" t="s">
        <v>393</v>
      </c>
      <c r="B78" s="371">
        <v>0</v>
      </c>
      <c r="C78" s="122">
        <v>2</v>
      </c>
    </row>
    <row r="79" spans="1:3" ht="29.25" thickBot="1" x14ac:dyDescent="0.3">
      <c r="A79" s="130" t="s">
        <v>396</v>
      </c>
      <c r="B79" s="260"/>
    </row>
    <row r="80" spans="1:3" ht="16.5" thickBot="1" x14ac:dyDescent="0.3">
      <c r="A80" s="132" t="s">
        <v>388</v>
      </c>
      <c r="B80" s="260"/>
    </row>
    <row r="81" spans="1:3" ht="16.5" thickBot="1" x14ac:dyDescent="0.3">
      <c r="A81" s="132" t="s">
        <v>397</v>
      </c>
      <c r="B81" s="260"/>
    </row>
    <row r="82" spans="1:3" ht="16.5" thickBot="1" x14ac:dyDescent="0.3">
      <c r="A82" s="132" t="s">
        <v>398</v>
      </c>
      <c r="B82" s="260"/>
    </row>
    <row r="83" spans="1:3" ht="16.5" thickBot="1" x14ac:dyDescent="0.3">
      <c r="A83" s="132" t="s">
        <v>399</v>
      </c>
      <c r="B83" s="260"/>
    </row>
    <row r="84" spans="1:3" customFormat="1" thickBot="1" x14ac:dyDescent="0.3">
      <c r="A84" s="378" t="s">
        <v>600</v>
      </c>
      <c r="B84" s="379">
        <f>B93</f>
        <v>1.7563560000000002E-2</v>
      </c>
    </row>
    <row r="85" spans="1:3" customFormat="1" ht="30.75" thickBot="1" x14ac:dyDescent="0.3">
      <c r="A85" s="385" t="s">
        <v>603</v>
      </c>
      <c r="B85" s="386">
        <v>6.9204000000000002E-2</v>
      </c>
    </row>
    <row r="86" spans="1:3" customFormat="1" thickBot="1" x14ac:dyDescent="0.3">
      <c r="A86" s="131" t="s">
        <v>391</v>
      </c>
      <c r="B86" s="260">
        <f>B85/$B$27</f>
        <v>0.23338382945889111</v>
      </c>
    </row>
    <row r="87" spans="1:3" customFormat="1" ht="16.5" thickBot="1" x14ac:dyDescent="0.3">
      <c r="A87" s="131" t="s">
        <v>601</v>
      </c>
      <c r="B87" s="371">
        <v>6.9204000000000002E-2</v>
      </c>
      <c r="C87" s="122">
        <v>1</v>
      </c>
    </row>
    <row r="88" spans="1:3" customFormat="1" ht="16.5" thickBot="1" x14ac:dyDescent="0.3">
      <c r="A88" s="131" t="s">
        <v>602</v>
      </c>
      <c r="B88" s="371">
        <f>0.05767*1.2</f>
        <v>6.9204000000000002E-2</v>
      </c>
      <c r="C88" s="122">
        <v>2</v>
      </c>
    </row>
    <row r="89" spans="1:3" customFormat="1" ht="30.75" thickBot="1" x14ac:dyDescent="0.3">
      <c r="A89" s="385" t="s">
        <v>606</v>
      </c>
      <c r="B89" s="386">
        <f>0.20419273-0.02881589</f>
        <v>0.17537683999999998</v>
      </c>
    </row>
    <row r="90" spans="1:3" customFormat="1" thickBot="1" x14ac:dyDescent="0.3">
      <c r="A90" s="131" t="s">
        <v>391</v>
      </c>
      <c r="B90" s="260">
        <f>B89/$B$27</f>
        <v>0.59144151375063903</v>
      </c>
    </row>
    <row r="91" spans="1:3" customFormat="1" ht="16.5" thickBot="1" x14ac:dyDescent="0.3">
      <c r="A91" s="131" t="s">
        <v>601</v>
      </c>
      <c r="B91" s="371">
        <f>B89</f>
        <v>0.17537683999999998</v>
      </c>
      <c r="C91" s="122">
        <v>1</v>
      </c>
    </row>
    <row r="92" spans="1:3" customFormat="1" ht="16.5" thickBot="1" x14ac:dyDescent="0.3">
      <c r="A92" s="131" t="s">
        <v>602</v>
      </c>
      <c r="B92" s="371">
        <f>B89</f>
        <v>0.17537683999999998</v>
      </c>
      <c r="C92" s="122">
        <v>2</v>
      </c>
    </row>
    <row r="93" spans="1:3" customFormat="1" ht="30.75" thickBot="1" x14ac:dyDescent="0.3">
      <c r="A93" s="385" t="s">
        <v>623</v>
      </c>
      <c r="B93" s="386">
        <v>1.7563560000000002E-2</v>
      </c>
    </row>
    <row r="94" spans="1:3" customFormat="1" thickBot="1" x14ac:dyDescent="0.3">
      <c r="A94" s="131" t="s">
        <v>391</v>
      </c>
      <c r="B94" s="260">
        <f>B93/$B$27</f>
        <v>5.9231415694627504E-2</v>
      </c>
    </row>
    <row r="95" spans="1:3" customFormat="1" ht="16.5" thickBot="1" x14ac:dyDescent="0.3">
      <c r="A95" s="131" t="s">
        <v>601</v>
      </c>
      <c r="B95" s="371">
        <f>B93</f>
        <v>1.7563560000000002E-2</v>
      </c>
      <c r="C95" s="122">
        <v>1</v>
      </c>
    </row>
    <row r="96" spans="1:3" customFormat="1" ht="16.5" thickBot="1" x14ac:dyDescent="0.3">
      <c r="A96" s="131" t="s">
        <v>602</v>
      </c>
      <c r="B96" s="371">
        <f>B93</f>
        <v>1.7563560000000002E-2</v>
      </c>
      <c r="C96" s="122">
        <v>2</v>
      </c>
    </row>
    <row r="97" spans="1:2" ht="16.5" thickBot="1" x14ac:dyDescent="0.3">
      <c r="A97" s="128" t="s">
        <v>400</v>
      </c>
      <c r="B97" s="261">
        <f>B98/$B$27</f>
        <v>1</v>
      </c>
    </row>
    <row r="98" spans="1:2" ht="16.5" thickBot="1" x14ac:dyDescent="0.3">
      <c r="A98" s="128" t="s">
        <v>401</v>
      </c>
      <c r="B98" s="373">
        <f xml:space="preserve"> SUMIF(C33:C96, 1,B33:B96)</f>
        <v>0.29652439999999997</v>
      </c>
    </row>
    <row r="99" spans="1:2" ht="16.5" thickBot="1" x14ac:dyDescent="0.3">
      <c r="A99" s="128" t="s">
        <v>402</v>
      </c>
      <c r="B99" s="261">
        <f>B100/$B$27</f>
        <v>1</v>
      </c>
    </row>
    <row r="100" spans="1:2" ht="16.5" thickBot="1" x14ac:dyDescent="0.3">
      <c r="A100" s="129" t="s">
        <v>403</v>
      </c>
      <c r="B100" s="373">
        <f xml:space="preserve"> SUMIF(C33:C96, 2,B33:B96)</f>
        <v>0.29652439999999997</v>
      </c>
    </row>
    <row r="101" spans="1:2" ht="15.6" customHeight="1" x14ac:dyDescent="0.25">
      <c r="A101" s="130" t="s">
        <v>404</v>
      </c>
      <c r="B101" s="132" t="s">
        <v>405</v>
      </c>
    </row>
    <row r="102" spans="1:2" x14ac:dyDescent="0.25">
      <c r="A102" s="134" t="s">
        <v>406</v>
      </c>
      <c r="B102" s="134" t="s">
        <v>631</v>
      </c>
    </row>
    <row r="103" spans="1:2" x14ac:dyDescent="0.25">
      <c r="A103" s="134" t="s">
        <v>407</v>
      </c>
      <c r="B103" s="134" t="s">
        <v>632</v>
      </c>
    </row>
    <row r="104" spans="1:2" x14ac:dyDescent="0.25">
      <c r="A104" s="134" t="s">
        <v>408</v>
      </c>
      <c r="B104" s="134"/>
    </row>
    <row r="105" spans="1:2" x14ac:dyDescent="0.25">
      <c r="A105" s="134" t="s">
        <v>409</v>
      </c>
      <c r="B105" s="134" t="s">
        <v>608</v>
      </c>
    </row>
    <row r="106" spans="1:2" ht="16.5" thickBot="1" x14ac:dyDescent="0.3">
      <c r="A106" s="135" t="s">
        <v>410</v>
      </c>
      <c r="B106" s="135"/>
    </row>
    <row r="107" spans="1:2" ht="30.75" thickBot="1" x14ac:dyDescent="0.3">
      <c r="A107" s="132" t="s">
        <v>411</v>
      </c>
      <c r="B107" s="133" t="s">
        <v>578</v>
      </c>
    </row>
    <row r="108" spans="1:2" ht="29.25" thickBot="1" x14ac:dyDescent="0.3">
      <c r="A108" s="128" t="s">
        <v>412</v>
      </c>
      <c r="B108" s="329">
        <v>7</v>
      </c>
    </row>
    <row r="109" spans="1:2" ht="16.5" thickBot="1" x14ac:dyDescent="0.3">
      <c r="A109" s="132" t="s">
        <v>388</v>
      </c>
      <c r="B109" s="330"/>
    </row>
    <row r="110" spans="1:2" ht="16.5" thickBot="1" x14ac:dyDescent="0.3">
      <c r="A110" s="132" t="s">
        <v>413</v>
      </c>
      <c r="B110" s="329">
        <v>4</v>
      </c>
    </row>
    <row r="111" spans="1:2" ht="16.5" thickBot="1" x14ac:dyDescent="0.3">
      <c r="A111" s="132" t="s">
        <v>414</v>
      </c>
      <c r="B111" s="330">
        <v>3</v>
      </c>
    </row>
    <row r="112" spans="1:2" ht="16.5" thickBot="1" x14ac:dyDescent="0.3">
      <c r="A112" s="139" t="s">
        <v>415</v>
      </c>
      <c r="B112" s="328" t="s">
        <v>575</v>
      </c>
    </row>
    <row r="113" spans="1:2" ht="16.5" thickBot="1" x14ac:dyDescent="0.3">
      <c r="A113" s="128" t="s">
        <v>416</v>
      </c>
      <c r="B113" s="138"/>
    </row>
    <row r="114" spans="1:2" ht="16.5" thickBot="1" x14ac:dyDescent="0.3">
      <c r="A114" s="134" t="s">
        <v>417</v>
      </c>
      <c r="B114" s="140" t="s">
        <v>575</v>
      </c>
    </row>
    <row r="115" spans="1:2" ht="16.5" thickBot="1" x14ac:dyDescent="0.3">
      <c r="A115" s="134" t="s">
        <v>418</v>
      </c>
      <c r="B115" s="140" t="s">
        <v>575</v>
      </c>
    </row>
    <row r="116" spans="1:2" ht="16.5" thickBot="1" x14ac:dyDescent="0.3">
      <c r="A116" s="134" t="s">
        <v>419</v>
      </c>
      <c r="B116" s="140" t="s">
        <v>575</v>
      </c>
    </row>
    <row r="117" spans="1:2" ht="30.75" thickBot="1" x14ac:dyDescent="0.3">
      <c r="A117" s="141" t="s">
        <v>420</v>
      </c>
      <c r="B117" s="388" t="s">
        <v>624</v>
      </c>
    </row>
    <row r="118" spans="1:2" ht="28.5" x14ac:dyDescent="0.25">
      <c r="A118" s="130" t="s">
        <v>421</v>
      </c>
      <c r="B118" s="525" t="s">
        <v>575</v>
      </c>
    </row>
    <row r="119" spans="1:2" x14ac:dyDescent="0.25">
      <c r="A119" s="134" t="s">
        <v>422</v>
      </c>
      <c r="B119" s="526"/>
    </row>
    <row r="120" spans="1:2" x14ac:dyDescent="0.25">
      <c r="A120" s="134" t="s">
        <v>423</v>
      </c>
      <c r="B120" s="526"/>
    </row>
    <row r="121" spans="1:2" x14ac:dyDescent="0.25">
      <c r="A121" s="134" t="s">
        <v>424</v>
      </c>
      <c r="B121" s="526"/>
    </row>
    <row r="122" spans="1:2" x14ac:dyDescent="0.25">
      <c r="A122" s="134" t="s">
        <v>425</v>
      </c>
      <c r="B122" s="526"/>
    </row>
    <row r="123" spans="1:2" ht="16.5" thickBot="1" x14ac:dyDescent="0.3">
      <c r="A123" s="142" t="s">
        <v>426</v>
      </c>
      <c r="B123" s="527"/>
    </row>
    <row r="126" spans="1:2" x14ac:dyDescent="0.25">
      <c r="A126" s="143"/>
      <c r="B126" s="144"/>
    </row>
    <row r="127" spans="1:2" x14ac:dyDescent="0.25">
      <c r="B127" s="145"/>
    </row>
    <row r="128" spans="1:2" x14ac:dyDescent="0.25">
      <c r="B128" s="146"/>
    </row>
  </sheetData>
  <mergeCells count="10">
    <mergeCell ref="A5:B5"/>
    <mergeCell ref="A7:B7"/>
    <mergeCell ref="A9:B9"/>
    <mergeCell ref="A10:B10"/>
    <mergeCell ref="A12:B12"/>
    <mergeCell ref="A15:B15"/>
    <mergeCell ref="A16:B16"/>
    <mergeCell ref="A18:B18"/>
    <mergeCell ref="B118:B123"/>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9" t="str">
        <f>'1. паспорт местоположение'!A5:C5</f>
        <v>Год раскрытия информации: 2025 год</v>
      </c>
      <c r="B4" s="399"/>
      <c r="C4" s="399"/>
      <c r="D4" s="399"/>
      <c r="E4" s="399"/>
      <c r="F4" s="399"/>
      <c r="G4" s="399"/>
      <c r="H4" s="399"/>
      <c r="I4" s="399"/>
      <c r="J4" s="399"/>
      <c r="K4" s="399"/>
      <c r="L4" s="399"/>
      <c r="M4" s="399"/>
      <c r="N4" s="399"/>
      <c r="O4" s="399"/>
      <c r="P4" s="399"/>
      <c r="Q4" s="399"/>
      <c r="R4" s="399"/>
      <c r="S4" s="399"/>
    </row>
    <row r="5" spans="1:28" s="12" customFormat="1" ht="15.75" x14ac:dyDescent="0.2">
      <c r="A5" s="17"/>
    </row>
    <row r="6" spans="1:28" s="12" customFormat="1" ht="18.75" x14ac:dyDescent="0.2">
      <c r="A6" s="408" t="s">
        <v>7</v>
      </c>
      <c r="B6" s="408"/>
      <c r="C6" s="408"/>
      <c r="D6" s="408"/>
      <c r="E6" s="408"/>
      <c r="F6" s="408"/>
      <c r="G6" s="408"/>
      <c r="H6" s="408"/>
      <c r="I6" s="408"/>
      <c r="J6" s="408"/>
      <c r="K6" s="408"/>
      <c r="L6" s="408"/>
      <c r="M6" s="408"/>
      <c r="N6" s="408"/>
      <c r="O6" s="408"/>
      <c r="P6" s="408"/>
      <c r="Q6" s="408"/>
      <c r="R6" s="408"/>
      <c r="S6" s="408"/>
      <c r="T6" s="13"/>
      <c r="U6" s="13"/>
      <c r="V6" s="13"/>
      <c r="W6" s="13"/>
      <c r="X6" s="13"/>
      <c r="Y6" s="13"/>
      <c r="Z6" s="13"/>
      <c r="AA6" s="13"/>
      <c r="AB6" s="13"/>
    </row>
    <row r="7" spans="1:28" s="12" customFormat="1" ht="18.75" x14ac:dyDescent="0.2">
      <c r="A7" s="408"/>
      <c r="B7" s="408"/>
      <c r="C7" s="408"/>
      <c r="D7" s="408"/>
      <c r="E7" s="408"/>
      <c r="F7" s="408"/>
      <c r="G7" s="408"/>
      <c r="H7" s="408"/>
      <c r="I7" s="408"/>
      <c r="J7" s="408"/>
      <c r="K7" s="408"/>
      <c r="L7" s="408"/>
      <c r="M7" s="408"/>
      <c r="N7" s="408"/>
      <c r="O7" s="408"/>
      <c r="P7" s="408"/>
      <c r="Q7" s="408"/>
      <c r="R7" s="408"/>
      <c r="S7" s="408"/>
      <c r="T7" s="13"/>
      <c r="U7" s="13"/>
      <c r="V7" s="13"/>
      <c r="W7" s="13"/>
      <c r="X7" s="13"/>
      <c r="Y7" s="13"/>
      <c r="Z7" s="13"/>
      <c r="AA7" s="13"/>
      <c r="AB7" s="13"/>
    </row>
    <row r="8" spans="1:28" s="12" customFormat="1" ht="18.75" x14ac:dyDescent="0.2">
      <c r="A8" s="409" t="str">
        <f>'1. паспорт местоположение'!A9:C9</f>
        <v>Акционерное общество "Россети Янтарь" ДЗО  ПАО "Россети"</v>
      </c>
      <c r="B8" s="409"/>
      <c r="C8" s="409"/>
      <c r="D8" s="409"/>
      <c r="E8" s="409"/>
      <c r="F8" s="409"/>
      <c r="G8" s="409"/>
      <c r="H8" s="409"/>
      <c r="I8" s="409"/>
      <c r="J8" s="409"/>
      <c r="K8" s="409"/>
      <c r="L8" s="409"/>
      <c r="M8" s="409"/>
      <c r="N8" s="409"/>
      <c r="O8" s="409"/>
      <c r="P8" s="409"/>
      <c r="Q8" s="409"/>
      <c r="R8" s="409"/>
      <c r="S8" s="409"/>
      <c r="T8" s="13"/>
      <c r="U8" s="13"/>
      <c r="V8" s="13"/>
      <c r="W8" s="13"/>
      <c r="X8" s="13"/>
      <c r="Y8" s="13"/>
      <c r="Z8" s="13"/>
      <c r="AA8" s="13"/>
      <c r="AB8" s="13"/>
    </row>
    <row r="9" spans="1:28" s="12" customFormat="1" ht="18.75" x14ac:dyDescent="0.2">
      <c r="A9" s="413" t="s">
        <v>6</v>
      </c>
      <c r="B9" s="413"/>
      <c r="C9" s="413"/>
      <c r="D9" s="413"/>
      <c r="E9" s="413"/>
      <c r="F9" s="413"/>
      <c r="G9" s="413"/>
      <c r="H9" s="413"/>
      <c r="I9" s="413"/>
      <c r="J9" s="413"/>
      <c r="K9" s="413"/>
      <c r="L9" s="413"/>
      <c r="M9" s="413"/>
      <c r="N9" s="413"/>
      <c r="O9" s="413"/>
      <c r="P9" s="413"/>
      <c r="Q9" s="413"/>
      <c r="R9" s="413"/>
      <c r="S9" s="413"/>
      <c r="T9" s="13"/>
      <c r="U9" s="13"/>
      <c r="V9" s="13"/>
      <c r="W9" s="13"/>
      <c r="X9" s="13"/>
      <c r="Y9" s="13"/>
      <c r="Z9" s="13"/>
      <c r="AA9" s="13"/>
      <c r="AB9" s="13"/>
    </row>
    <row r="10" spans="1:28" s="12" customFormat="1" ht="18.75" x14ac:dyDescent="0.2">
      <c r="A10" s="408"/>
      <c r="B10" s="408"/>
      <c r="C10" s="408"/>
      <c r="D10" s="408"/>
      <c r="E10" s="408"/>
      <c r="F10" s="408"/>
      <c r="G10" s="408"/>
      <c r="H10" s="408"/>
      <c r="I10" s="408"/>
      <c r="J10" s="408"/>
      <c r="K10" s="408"/>
      <c r="L10" s="408"/>
      <c r="M10" s="408"/>
      <c r="N10" s="408"/>
      <c r="O10" s="408"/>
      <c r="P10" s="408"/>
      <c r="Q10" s="408"/>
      <c r="R10" s="408"/>
      <c r="S10" s="408"/>
      <c r="T10" s="13"/>
      <c r="U10" s="13"/>
      <c r="V10" s="13"/>
      <c r="W10" s="13"/>
      <c r="X10" s="13"/>
      <c r="Y10" s="13"/>
      <c r="Z10" s="13"/>
      <c r="AA10" s="13"/>
      <c r="AB10" s="13"/>
    </row>
    <row r="11" spans="1:28" s="12" customFormat="1" ht="18.75" x14ac:dyDescent="0.2">
      <c r="A11" s="409" t="str">
        <f>'1. паспорт местоположение'!A12:C12</f>
        <v>J_19-0403</v>
      </c>
      <c r="B11" s="409"/>
      <c r="C11" s="409"/>
      <c r="D11" s="409"/>
      <c r="E11" s="409"/>
      <c r="F11" s="409"/>
      <c r="G11" s="409"/>
      <c r="H11" s="409"/>
      <c r="I11" s="409"/>
      <c r="J11" s="409"/>
      <c r="K11" s="409"/>
      <c r="L11" s="409"/>
      <c r="M11" s="409"/>
      <c r="N11" s="409"/>
      <c r="O11" s="409"/>
      <c r="P11" s="409"/>
      <c r="Q11" s="409"/>
      <c r="R11" s="409"/>
      <c r="S11" s="409"/>
      <c r="T11" s="13"/>
      <c r="U11" s="13"/>
      <c r="V11" s="13"/>
      <c r="W11" s="13"/>
      <c r="X11" s="13"/>
      <c r="Y11" s="13"/>
      <c r="Z11" s="13"/>
      <c r="AA11" s="13"/>
      <c r="AB11" s="13"/>
    </row>
    <row r="12" spans="1:28" s="12"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3"/>
      <c r="U12" s="13"/>
      <c r="V12" s="13"/>
      <c r="W12" s="13"/>
      <c r="X12" s="13"/>
      <c r="Y12" s="13"/>
      <c r="Z12" s="13"/>
      <c r="AA12" s="13"/>
      <c r="AB12" s="13"/>
    </row>
    <row r="13" spans="1:28" s="9" customFormat="1" ht="15.75" customHeight="1" x14ac:dyDescent="0.2">
      <c r="A13" s="414"/>
      <c r="B13" s="414"/>
      <c r="C13" s="414"/>
      <c r="D13" s="414"/>
      <c r="E13" s="414"/>
      <c r="F13" s="414"/>
      <c r="G13" s="414"/>
      <c r="H13" s="414"/>
      <c r="I13" s="414"/>
      <c r="J13" s="414"/>
      <c r="K13" s="414"/>
      <c r="L13" s="414"/>
      <c r="M13" s="414"/>
      <c r="N13" s="414"/>
      <c r="O13" s="414"/>
      <c r="P13" s="414"/>
      <c r="Q13" s="414"/>
      <c r="R13" s="414"/>
      <c r="S13" s="414"/>
      <c r="T13" s="10"/>
      <c r="U13" s="10"/>
      <c r="V13" s="10"/>
      <c r="W13" s="10"/>
      <c r="X13" s="10"/>
      <c r="Y13" s="10"/>
      <c r="Z13" s="10"/>
      <c r="AA13" s="10"/>
      <c r="AB13" s="10"/>
    </row>
    <row r="14" spans="1:28" s="3" customFormat="1" ht="12" x14ac:dyDescent="0.2">
      <c r="A14" s="409" t="str">
        <f>'1. паспорт местоположение'!A9:C9</f>
        <v>Акционерное общество "Россети Янтарь" ДЗО  ПАО "Россети"</v>
      </c>
      <c r="B14" s="409"/>
      <c r="C14" s="409"/>
      <c r="D14" s="409"/>
      <c r="E14" s="409"/>
      <c r="F14" s="409"/>
      <c r="G14" s="409"/>
      <c r="H14" s="409"/>
      <c r="I14" s="409"/>
      <c r="J14" s="409"/>
      <c r="K14" s="409"/>
      <c r="L14" s="409"/>
      <c r="M14" s="409"/>
      <c r="N14" s="409"/>
      <c r="O14" s="409"/>
      <c r="P14" s="409"/>
      <c r="Q14" s="409"/>
      <c r="R14" s="409"/>
      <c r="S14" s="409"/>
      <c r="T14" s="8"/>
      <c r="U14" s="8"/>
      <c r="V14" s="8"/>
      <c r="W14" s="8"/>
      <c r="X14" s="8"/>
      <c r="Y14" s="8"/>
      <c r="Z14" s="8"/>
      <c r="AA14" s="8"/>
      <c r="AB14" s="8"/>
    </row>
    <row r="15" spans="1:28" s="3" customFormat="1" ht="15" customHeight="1" x14ac:dyDescent="0.2">
      <c r="A15" s="415" t="str">
        <f>'1. паспорт местоположение'!A15:C15</f>
        <v>Вынос (переустройство) ВЛ 15-47 (инв.5114664) п. Малое Исаково Гурьевский ГО</v>
      </c>
      <c r="B15" s="413"/>
      <c r="C15" s="413"/>
      <c r="D15" s="413"/>
      <c r="E15" s="413"/>
      <c r="F15" s="413"/>
      <c r="G15" s="413"/>
      <c r="H15" s="413"/>
      <c r="I15" s="413"/>
      <c r="J15" s="413"/>
      <c r="K15" s="413"/>
      <c r="L15" s="413"/>
      <c r="M15" s="413"/>
      <c r="N15" s="413"/>
      <c r="O15" s="413"/>
      <c r="P15" s="413"/>
      <c r="Q15" s="413"/>
      <c r="R15" s="413"/>
      <c r="S15" s="413"/>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485</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07" t="s">
        <v>3</v>
      </c>
      <c r="B19" s="407" t="s">
        <v>94</v>
      </c>
      <c r="C19" s="410" t="s">
        <v>379</v>
      </c>
      <c r="D19" s="407" t="s">
        <v>378</v>
      </c>
      <c r="E19" s="407" t="s">
        <v>93</v>
      </c>
      <c r="F19" s="407" t="s">
        <v>92</v>
      </c>
      <c r="G19" s="407" t="s">
        <v>374</v>
      </c>
      <c r="H19" s="407" t="s">
        <v>91</v>
      </c>
      <c r="I19" s="407" t="s">
        <v>90</v>
      </c>
      <c r="J19" s="407" t="s">
        <v>89</v>
      </c>
      <c r="K19" s="407" t="s">
        <v>88</v>
      </c>
      <c r="L19" s="407" t="s">
        <v>87</v>
      </c>
      <c r="M19" s="407" t="s">
        <v>86</v>
      </c>
      <c r="N19" s="407" t="s">
        <v>85</v>
      </c>
      <c r="O19" s="407" t="s">
        <v>84</v>
      </c>
      <c r="P19" s="407" t="s">
        <v>83</v>
      </c>
      <c r="Q19" s="407" t="s">
        <v>377</v>
      </c>
      <c r="R19" s="407"/>
      <c r="S19" s="412" t="s">
        <v>479</v>
      </c>
      <c r="T19" s="4"/>
      <c r="U19" s="4"/>
      <c r="V19" s="4"/>
      <c r="W19" s="4"/>
      <c r="X19" s="4"/>
      <c r="Y19" s="4"/>
    </row>
    <row r="20" spans="1:28" s="3" customFormat="1" ht="180.75" customHeight="1" x14ac:dyDescent="0.2">
      <c r="A20" s="407"/>
      <c r="B20" s="407"/>
      <c r="C20" s="411"/>
      <c r="D20" s="407"/>
      <c r="E20" s="407"/>
      <c r="F20" s="407"/>
      <c r="G20" s="407"/>
      <c r="H20" s="407"/>
      <c r="I20" s="407"/>
      <c r="J20" s="407"/>
      <c r="K20" s="407"/>
      <c r="L20" s="407"/>
      <c r="M20" s="407"/>
      <c r="N20" s="407"/>
      <c r="O20" s="407"/>
      <c r="P20" s="407"/>
      <c r="Q20" s="41" t="s">
        <v>375</v>
      </c>
      <c r="R20" s="42" t="s">
        <v>376</v>
      </c>
      <c r="S20" s="412"/>
      <c r="T20" s="32"/>
      <c r="U20" s="32"/>
      <c r="V20" s="32"/>
      <c r="W20" s="32"/>
      <c r="X20" s="32"/>
      <c r="Y20" s="32"/>
      <c r="Z20" s="31"/>
      <c r="AA20" s="31"/>
      <c r="AB20" s="31"/>
    </row>
    <row r="21" spans="1:28" s="3" customFormat="1" ht="18.75" x14ac:dyDescent="0.2">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2" customFormat="1" ht="15.75" x14ac:dyDescent="0.25">
      <c r="A22" s="272"/>
      <c r="B22" s="257"/>
      <c r="C22" s="257"/>
      <c r="D22" s="257"/>
      <c r="E22" s="257"/>
      <c r="F22" s="257"/>
      <c r="G22" s="257"/>
      <c r="H22" s="303"/>
      <c r="I22" s="257"/>
      <c r="J22" s="303"/>
      <c r="K22" s="257"/>
      <c r="L22" s="304"/>
      <c r="M22" s="257"/>
      <c r="N22" s="257"/>
      <c r="O22" s="257"/>
      <c r="P22" s="257"/>
      <c r="Q22" s="321"/>
      <c r="R22" s="272"/>
      <c r="S22" s="305"/>
      <c r="T22" s="255"/>
      <c r="U22" s="255"/>
      <c r="V22" s="255"/>
      <c r="W22" s="255"/>
      <c r="X22" s="255"/>
      <c r="Y22" s="255"/>
      <c r="Z22" s="255"/>
      <c r="AA22" s="255"/>
      <c r="AB22" s="255"/>
    </row>
    <row r="23" spans="1:28" s="320" customFormat="1" ht="15.75" x14ac:dyDescent="0.25">
      <c r="A23" s="272"/>
      <c r="B23" s="257"/>
      <c r="C23" s="257"/>
      <c r="D23" s="257"/>
      <c r="E23" s="257"/>
      <c r="F23" s="257"/>
      <c r="G23" s="257"/>
      <c r="H23" s="303"/>
      <c r="I23" s="257"/>
      <c r="J23" s="303"/>
      <c r="K23" s="257"/>
      <c r="L23" s="304"/>
      <c r="M23" s="257"/>
      <c r="N23" s="257"/>
      <c r="O23" s="257"/>
      <c r="P23" s="257"/>
      <c r="Q23" s="321"/>
      <c r="R23" s="272"/>
      <c r="S23" s="305"/>
      <c r="T23" s="255"/>
      <c r="U23" s="255"/>
      <c r="V23" s="255"/>
      <c r="W23" s="255"/>
      <c r="X23" s="255"/>
      <c r="Y23" s="255"/>
      <c r="Z23" s="255"/>
      <c r="AA23" s="255"/>
      <c r="AB23" s="255"/>
    </row>
    <row r="24" spans="1:28" ht="20.25" customHeight="1" x14ac:dyDescent="0.25">
      <c r="A24" s="119"/>
      <c r="B24" s="46" t="s">
        <v>372</v>
      </c>
      <c r="C24" s="46"/>
      <c r="D24" s="46"/>
      <c r="E24" s="119" t="s">
        <v>373</v>
      </c>
      <c r="F24" s="119" t="s">
        <v>373</v>
      </c>
      <c r="G24" s="119" t="s">
        <v>373</v>
      </c>
      <c r="H24" s="256">
        <f>SUM(H22:H23)</f>
        <v>0</v>
      </c>
      <c r="I24" s="256">
        <f t="shared" ref="I24:J24" si="0">SUM(I22:I23)</f>
        <v>0</v>
      </c>
      <c r="J24" s="256">
        <f t="shared" si="0"/>
        <v>0</v>
      </c>
      <c r="K24" s="119"/>
      <c r="L24" s="119"/>
      <c r="M24" s="119"/>
      <c r="N24" s="119"/>
      <c r="O24" s="119"/>
      <c r="P24" s="119"/>
      <c r="Q24" s="120"/>
      <c r="R24" s="2"/>
      <c r="S24" s="256">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9" t="str">
        <f>'1. паспорт местоположение'!A5:C5</f>
        <v>Год раскрытия информации: 2025 год</v>
      </c>
      <c r="B6" s="399"/>
      <c r="C6" s="399"/>
      <c r="D6" s="399"/>
      <c r="E6" s="399"/>
      <c r="F6" s="399"/>
      <c r="G6" s="399"/>
      <c r="H6" s="399"/>
      <c r="I6" s="399"/>
      <c r="J6" s="399"/>
      <c r="K6" s="399"/>
      <c r="L6" s="399"/>
      <c r="M6" s="399"/>
      <c r="N6" s="399"/>
      <c r="O6" s="399"/>
      <c r="P6" s="399"/>
      <c r="Q6" s="399"/>
      <c r="R6" s="399"/>
      <c r="S6" s="399"/>
      <c r="T6" s="399"/>
    </row>
    <row r="7" spans="1:20" s="12" customFormat="1" x14ac:dyDescent="0.2">
      <c r="A7" s="17"/>
      <c r="H7" s="16"/>
    </row>
    <row r="8" spans="1:20" s="12" customFormat="1" ht="18.75" x14ac:dyDescent="0.2">
      <c r="A8" s="408" t="s">
        <v>7</v>
      </c>
      <c r="B8" s="408"/>
      <c r="C8" s="408"/>
      <c r="D8" s="408"/>
      <c r="E8" s="408"/>
      <c r="F8" s="408"/>
      <c r="G8" s="408"/>
      <c r="H8" s="408"/>
      <c r="I8" s="408"/>
      <c r="J8" s="408"/>
      <c r="K8" s="408"/>
      <c r="L8" s="408"/>
      <c r="M8" s="408"/>
      <c r="N8" s="408"/>
      <c r="O8" s="408"/>
      <c r="P8" s="408"/>
      <c r="Q8" s="408"/>
      <c r="R8" s="408"/>
      <c r="S8" s="408"/>
      <c r="T8" s="408"/>
    </row>
    <row r="9" spans="1:20" s="12" customFormat="1" ht="18.75" x14ac:dyDescent="0.2">
      <c r="A9" s="408"/>
      <c r="B9" s="408"/>
      <c r="C9" s="408"/>
      <c r="D9" s="408"/>
      <c r="E9" s="408"/>
      <c r="F9" s="408"/>
      <c r="G9" s="408"/>
      <c r="H9" s="408"/>
      <c r="I9" s="408"/>
      <c r="J9" s="408"/>
      <c r="K9" s="408"/>
      <c r="L9" s="408"/>
      <c r="M9" s="408"/>
      <c r="N9" s="408"/>
      <c r="O9" s="408"/>
      <c r="P9" s="408"/>
      <c r="Q9" s="408"/>
      <c r="R9" s="408"/>
      <c r="S9" s="408"/>
      <c r="T9" s="408"/>
    </row>
    <row r="10" spans="1:20" s="12" customFormat="1" ht="18.75" customHeight="1" x14ac:dyDescent="0.2">
      <c r="A10" s="409" t="str">
        <f>'1. паспорт местоположение'!A9:C9</f>
        <v>Акционерное общество "Россети Янтарь" ДЗО  ПАО "Россети"</v>
      </c>
      <c r="B10" s="409"/>
      <c r="C10" s="409"/>
      <c r="D10" s="409"/>
      <c r="E10" s="409"/>
      <c r="F10" s="409"/>
      <c r="G10" s="409"/>
      <c r="H10" s="409"/>
      <c r="I10" s="409"/>
      <c r="J10" s="409"/>
      <c r="K10" s="409"/>
      <c r="L10" s="409"/>
      <c r="M10" s="409"/>
      <c r="N10" s="409"/>
      <c r="O10" s="409"/>
      <c r="P10" s="409"/>
      <c r="Q10" s="409"/>
      <c r="R10" s="409"/>
      <c r="S10" s="409"/>
      <c r="T10" s="409"/>
    </row>
    <row r="11" spans="1:20" s="12"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2" customFormat="1" ht="18.75" x14ac:dyDescent="0.2">
      <c r="A12" s="408"/>
      <c r="B12" s="408"/>
      <c r="C12" s="408"/>
      <c r="D12" s="408"/>
      <c r="E12" s="408"/>
      <c r="F12" s="408"/>
      <c r="G12" s="408"/>
      <c r="H12" s="408"/>
      <c r="I12" s="408"/>
      <c r="J12" s="408"/>
      <c r="K12" s="408"/>
      <c r="L12" s="408"/>
      <c r="M12" s="408"/>
      <c r="N12" s="408"/>
      <c r="O12" s="408"/>
      <c r="P12" s="408"/>
      <c r="Q12" s="408"/>
      <c r="R12" s="408"/>
      <c r="S12" s="408"/>
      <c r="T12" s="408"/>
    </row>
    <row r="13" spans="1:20" s="12" customFormat="1" ht="18.75" customHeight="1" x14ac:dyDescent="0.2">
      <c r="A13" s="409" t="str">
        <f>'1. паспорт местоположение'!A12:C12</f>
        <v>J_19-0403</v>
      </c>
      <c r="B13" s="409"/>
      <c r="C13" s="409"/>
      <c r="D13" s="409"/>
      <c r="E13" s="409"/>
      <c r="F13" s="409"/>
      <c r="G13" s="409"/>
      <c r="H13" s="409"/>
      <c r="I13" s="409"/>
      <c r="J13" s="409"/>
      <c r="K13" s="409"/>
      <c r="L13" s="409"/>
      <c r="M13" s="409"/>
      <c r="N13" s="409"/>
      <c r="O13" s="409"/>
      <c r="P13" s="409"/>
      <c r="Q13" s="409"/>
      <c r="R13" s="409"/>
      <c r="S13" s="409"/>
      <c r="T13" s="409"/>
    </row>
    <row r="14" spans="1:20" s="12"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9" customFormat="1" ht="15.75" customHeight="1" x14ac:dyDescent="0.2">
      <c r="A15" s="414"/>
      <c r="B15" s="414"/>
      <c r="C15" s="414"/>
      <c r="D15" s="414"/>
      <c r="E15" s="414"/>
      <c r="F15" s="414"/>
      <c r="G15" s="414"/>
      <c r="H15" s="414"/>
      <c r="I15" s="414"/>
      <c r="J15" s="414"/>
      <c r="K15" s="414"/>
      <c r="L15" s="414"/>
      <c r="M15" s="414"/>
      <c r="N15" s="414"/>
      <c r="O15" s="414"/>
      <c r="P15" s="414"/>
      <c r="Q15" s="414"/>
      <c r="R15" s="414"/>
      <c r="S15" s="414"/>
      <c r="T15" s="414"/>
    </row>
    <row r="16" spans="1:20" s="3" customFormat="1" ht="12" x14ac:dyDescent="0.2">
      <c r="A16" s="409" t="str">
        <f>'1. паспорт местоположение'!A15</f>
        <v>Вынос (переустройство) ВЛ 15-47 (инв.5114664) п. Малое Исаково Гурьевский ГО</v>
      </c>
      <c r="B16" s="409"/>
      <c r="C16" s="409"/>
      <c r="D16" s="409"/>
      <c r="E16" s="409"/>
      <c r="F16" s="409"/>
      <c r="G16" s="409"/>
      <c r="H16" s="409"/>
      <c r="I16" s="409"/>
      <c r="J16" s="409"/>
      <c r="K16" s="409"/>
      <c r="L16" s="409"/>
      <c r="M16" s="409"/>
      <c r="N16" s="409"/>
      <c r="O16" s="409"/>
      <c r="P16" s="409"/>
      <c r="Q16" s="409"/>
      <c r="R16" s="409"/>
      <c r="S16" s="409"/>
      <c r="T16" s="409"/>
    </row>
    <row r="17" spans="1:113" s="3"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33" t="s">
        <v>490</v>
      </c>
      <c r="B19" s="433"/>
      <c r="C19" s="433"/>
      <c r="D19" s="433"/>
      <c r="E19" s="433"/>
      <c r="F19" s="433"/>
      <c r="G19" s="433"/>
      <c r="H19" s="433"/>
      <c r="I19" s="433"/>
      <c r="J19" s="433"/>
      <c r="K19" s="433"/>
      <c r="L19" s="433"/>
      <c r="M19" s="433"/>
      <c r="N19" s="433"/>
      <c r="O19" s="433"/>
      <c r="P19" s="433"/>
      <c r="Q19" s="433"/>
      <c r="R19" s="433"/>
      <c r="S19" s="433"/>
      <c r="T19" s="433"/>
    </row>
    <row r="20" spans="1:113" s="57"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27" t="s">
        <v>3</v>
      </c>
      <c r="B21" s="420" t="s">
        <v>219</v>
      </c>
      <c r="C21" s="421"/>
      <c r="D21" s="424" t="s">
        <v>116</v>
      </c>
      <c r="E21" s="420" t="s">
        <v>519</v>
      </c>
      <c r="F21" s="421"/>
      <c r="G21" s="420" t="s">
        <v>269</v>
      </c>
      <c r="H21" s="421"/>
      <c r="I21" s="420" t="s">
        <v>115</v>
      </c>
      <c r="J21" s="421"/>
      <c r="K21" s="424" t="s">
        <v>114</v>
      </c>
      <c r="L21" s="420" t="s">
        <v>113</v>
      </c>
      <c r="M21" s="421"/>
      <c r="N21" s="420" t="s">
        <v>515</v>
      </c>
      <c r="O21" s="421"/>
      <c r="P21" s="424" t="s">
        <v>112</v>
      </c>
      <c r="Q21" s="430" t="s">
        <v>111</v>
      </c>
      <c r="R21" s="431"/>
      <c r="S21" s="430" t="s">
        <v>110</v>
      </c>
      <c r="T21" s="432"/>
    </row>
    <row r="22" spans="1:113" ht="204.75" customHeight="1" x14ac:dyDescent="0.25">
      <c r="A22" s="428"/>
      <c r="B22" s="422"/>
      <c r="C22" s="423"/>
      <c r="D22" s="426"/>
      <c r="E22" s="422"/>
      <c r="F22" s="423"/>
      <c r="G22" s="422"/>
      <c r="H22" s="423"/>
      <c r="I22" s="422"/>
      <c r="J22" s="423"/>
      <c r="K22" s="425"/>
      <c r="L22" s="422"/>
      <c r="M22" s="423"/>
      <c r="N22" s="422"/>
      <c r="O22" s="423"/>
      <c r="P22" s="425"/>
      <c r="Q22" s="110" t="s">
        <v>109</v>
      </c>
      <c r="R22" s="110" t="s">
        <v>489</v>
      </c>
      <c r="S22" s="110" t="s">
        <v>108</v>
      </c>
      <c r="T22" s="110" t="s">
        <v>107</v>
      </c>
    </row>
    <row r="23" spans="1:113" ht="51.75" customHeight="1" x14ac:dyDescent="0.25">
      <c r="A23" s="429"/>
      <c r="B23" s="158" t="s">
        <v>105</v>
      </c>
      <c r="C23" s="158" t="s">
        <v>106</v>
      </c>
      <c r="D23" s="425"/>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27" customFormat="1" x14ac:dyDescent="0.25">
      <c r="A25" s="325" t="s">
        <v>373</v>
      </c>
      <c r="B25" s="325" t="s">
        <v>373</v>
      </c>
      <c r="C25" s="325" t="s">
        <v>373</v>
      </c>
      <c r="D25" s="325" t="s">
        <v>373</v>
      </c>
      <c r="E25" s="325" t="s">
        <v>373</v>
      </c>
      <c r="F25" s="325" t="s">
        <v>373</v>
      </c>
      <c r="G25" s="325" t="s">
        <v>373</v>
      </c>
      <c r="H25" s="325" t="s">
        <v>373</v>
      </c>
      <c r="I25" s="325" t="s">
        <v>373</v>
      </c>
      <c r="J25" s="325" t="s">
        <v>373</v>
      </c>
      <c r="K25" s="325" t="s">
        <v>373</v>
      </c>
      <c r="L25" s="325" t="s">
        <v>373</v>
      </c>
      <c r="M25" s="325" t="s">
        <v>373</v>
      </c>
      <c r="N25" s="325" t="s">
        <v>373</v>
      </c>
      <c r="O25" s="325" t="s">
        <v>373</v>
      </c>
      <c r="P25" s="58" t="s">
        <v>373</v>
      </c>
      <c r="Q25" s="326" t="s">
        <v>373</v>
      </c>
      <c r="R25" s="325" t="s">
        <v>373</v>
      </c>
      <c r="S25" s="326" t="s">
        <v>373</v>
      </c>
      <c r="T25" s="325"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19" t="s">
        <v>525</v>
      </c>
      <c r="C29" s="419"/>
      <c r="D29" s="419"/>
      <c r="E29" s="419"/>
      <c r="F29" s="419"/>
      <c r="G29" s="419"/>
      <c r="H29" s="419"/>
      <c r="I29" s="419"/>
      <c r="J29" s="419"/>
      <c r="K29" s="419"/>
      <c r="L29" s="419"/>
      <c r="M29" s="419"/>
      <c r="N29" s="419"/>
      <c r="O29" s="419"/>
      <c r="P29" s="419"/>
      <c r="Q29" s="419"/>
      <c r="R29" s="419"/>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80" zoomScaleSheetLayoutView="80" workbookViewId="0">
      <selection activeCell="Q25" sqref="Q25"/>
    </sheetView>
  </sheetViews>
  <sheetFormatPr defaultColWidth="10.7109375" defaultRowHeight="15.75" x14ac:dyDescent="0.25"/>
  <cols>
    <col min="1" max="1" width="10.7109375" style="49"/>
    <col min="2" max="5" width="20.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9" t="str">
        <f>'1. паспорт местоположение'!A5:C5</f>
        <v>Год раскрытия информации: 2025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408" t="s">
        <v>7</v>
      </c>
      <c r="F7" s="408"/>
      <c r="G7" s="408"/>
      <c r="H7" s="408"/>
      <c r="I7" s="408"/>
      <c r="J7" s="408"/>
      <c r="K7" s="408"/>
      <c r="L7" s="408"/>
      <c r="M7" s="408"/>
      <c r="N7" s="408"/>
      <c r="O7" s="408"/>
      <c r="P7" s="408"/>
      <c r="Q7" s="408"/>
      <c r="R7" s="408"/>
      <c r="S7" s="408"/>
      <c r="T7" s="408"/>
      <c r="U7" s="408"/>
      <c r="V7" s="408"/>
      <c r="W7" s="408"/>
      <c r="X7" s="408"/>
      <c r="Y7" s="40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9" t="str">
        <f>'1. паспорт местоположение'!A9</f>
        <v>Акционерное общество "Россети Янтарь" ДЗО  ПАО "Россети"</v>
      </c>
      <c r="F9" s="409"/>
      <c r="G9" s="409"/>
      <c r="H9" s="409"/>
      <c r="I9" s="409"/>
      <c r="J9" s="409"/>
      <c r="K9" s="409"/>
      <c r="L9" s="409"/>
      <c r="M9" s="409"/>
      <c r="N9" s="409"/>
      <c r="O9" s="409"/>
      <c r="P9" s="409"/>
      <c r="Q9" s="409"/>
      <c r="R9" s="409"/>
      <c r="S9" s="409"/>
      <c r="T9" s="409"/>
      <c r="U9" s="409"/>
      <c r="V9" s="409"/>
      <c r="W9" s="409"/>
      <c r="X9" s="409"/>
      <c r="Y9" s="409"/>
    </row>
    <row r="10" spans="1:27" s="12"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9" t="str">
        <f>'1. паспорт местоположение'!A12</f>
        <v>J_19-0403</v>
      </c>
      <c r="F12" s="409"/>
      <c r="G12" s="409"/>
      <c r="H12" s="409"/>
      <c r="I12" s="409"/>
      <c r="J12" s="409"/>
      <c r="K12" s="409"/>
      <c r="L12" s="409"/>
      <c r="M12" s="409"/>
      <c r="N12" s="409"/>
      <c r="O12" s="409"/>
      <c r="P12" s="409"/>
      <c r="Q12" s="409"/>
      <c r="R12" s="409"/>
      <c r="S12" s="409"/>
      <c r="T12" s="409"/>
      <c r="U12" s="409"/>
      <c r="V12" s="409"/>
      <c r="W12" s="409"/>
      <c r="X12" s="409"/>
      <c r="Y12" s="409"/>
    </row>
    <row r="13" spans="1:27" s="12"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9" t="str">
        <f>'1. паспорт местоположение'!A15</f>
        <v>Вынос (переустройство) ВЛ 15-47 (инв.5114664) п. Малое Исаково Гурьевский ГО</v>
      </c>
      <c r="F15" s="409"/>
      <c r="G15" s="409"/>
      <c r="H15" s="409"/>
      <c r="I15" s="409"/>
      <c r="J15" s="409"/>
      <c r="K15" s="409"/>
      <c r="L15" s="409"/>
      <c r="M15" s="409"/>
      <c r="N15" s="409"/>
      <c r="O15" s="409"/>
      <c r="P15" s="409"/>
      <c r="Q15" s="409"/>
      <c r="R15" s="409"/>
      <c r="S15" s="409"/>
      <c r="T15" s="409"/>
      <c r="U15" s="409"/>
      <c r="V15" s="409"/>
      <c r="W15" s="409"/>
      <c r="X15" s="409"/>
      <c r="Y15" s="409"/>
    </row>
    <row r="16" spans="1:27" s="3"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492</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57" customFormat="1" ht="21" customHeight="1" x14ac:dyDescent="0.25"/>
    <row r="21" spans="1:27" ht="15.75" customHeight="1" x14ac:dyDescent="0.25">
      <c r="A21" s="435" t="s">
        <v>3</v>
      </c>
      <c r="B21" s="438" t="s">
        <v>499</v>
      </c>
      <c r="C21" s="439"/>
      <c r="D21" s="438" t="s">
        <v>501</v>
      </c>
      <c r="E21" s="439"/>
      <c r="F21" s="430" t="s">
        <v>88</v>
      </c>
      <c r="G21" s="432"/>
      <c r="H21" s="432"/>
      <c r="I21" s="431"/>
      <c r="J21" s="435" t="s">
        <v>502</v>
      </c>
      <c r="K21" s="438" t="s">
        <v>503</v>
      </c>
      <c r="L21" s="439"/>
      <c r="M21" s="438" t="s">
        <v>504</v>
      </c>
      <c r="N21" s="439"/>
      <c r="O21" s="438" t="s">
        <v>491</v>
      </c>
      <c r="P21" s="439"/>
      <c r="Q21" s="438" t="s">
        <v>121</v>
      </c>
      <c r="R21" s="439"/>
      <c r="S21" s="435" t="s">
        <v>120</v>
      </c>
      <c r="T21" s="435" t="s">
        <v>505</v>
      </c>
      <c r="U21" s="435" t="s">
        <v>500</v>
      </c>
      <c r="V21" s="438" t="s">
        <v>119</v>
      </c>
      <c r="W21" s="439"/>
      <c r="X21" s="430" t="s">
        <v>111</v>
      </c>
      <c r="Y21" s="432"/>
      <c r="Z21" s="430" t="s">
        <v>110</v>
      </c>
      <c r="AA21" s="432"/>
    </row>
    <row r="22" spans="1:27" ht="216" customHeight="1" x14ac:dyDescent="0.25">
      <c r="A22" s="436"/>
      <c r="B22" s="440"/>
      <c r="C22" s="441"/>
      <c r="D22" s="440"/>
      <c r="E22" s="441"/>
      <c r="F22" s="430" t="s">
        <v>118</v>
      </c>
      <c r="G22" s="431"/>
      <c r="H22" s="430" t="s">
        <v>117</v>
      </c>
      <c r="I22" s="431"/>
      <c r="J22" s="437"/>
      <c r="K22" s="440"/>
      <c r="L22" s="441"/>
      <c r="M22" s="440"/>
      <c r="N22" s="441"/>
      <c r="O22" s="440"/>
      <c r="P22" s="441"/>
      <c r="Q22" s="440"/>
      <c r="R22" s="441"/>
      <c r="S22" s="437"/>
      <c r="T22" s="437"/>
      <c r="U22" s="437"/>
      <c r="V22" s="440"/>
      <c r="W22" s="441"/>
      <c r="X22" s="110" t="s">
        <v>109</v>
      </c>
      <c r="Y22" s="110" t="s">
        <v>489</v>
      </c>
      <c r="Z22" s="110" t="s">
        <v>108</v>
      </c>
      <c r="AA22" s="110" t="s">
        <v>107</v>
      </c>
    </row>
    <row r="23" spans="1:27" ht="60" customHeight="1" x14ac:dyDescent="0.25">
      <c r="A23" s="437"/>
      <c r="B23" s="156" t="s">
        <v>105</v>
      </c>
      <c r="C23" s="156"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27" customFormat="1" ht="34.5" customHeight="1" x14ac:dyDescent="0.25">
      <c r="A25" s="334">
        <v>1</v>
      </c>
      <c r="B25" s="334" t="s">
        <v>593</v>
      </c>
      <c r="C25" s="334" t="str">
        <f>B25</f>
        <v>ВЛ 15 кВ 15-47</v>
      </c>
      <c r="D25" s="334" t="s">
        <v>594</v>
      </c>
      <c r="E25" s="334" t="s">
        <v>595</v>
      </c>
      <c r="F25" s="333">
        <v>15</v>
      </c>
      <c r="G25" s="333">
        <v>15</v>
      </c>
      <c r="H25" s="333">
        <v>15</v>
      </c>
      <c r="I25" s="333">
        <v>15</v>
      </c>
      <c r="J25" s="333" t="s">
        <v>578</v>
      </c>
      <c r="K25" s="333">
        <v>1</v>
      </c>
      <c r="L25" s="333">
        <v>1</v>
      </c>
      <c r="M25" s="333">
        <v>70</v>
      </c>
      <c r="N25" s="333">
        <v>70</v>
      </c>
      <c r="O25" s="333" t="s">
        <v>583</v>
      </c>
      <c r="P25" s="333" t="s">
        <v>583</v>
      </c>
      <c r="Q25" s="333">
        <v>0.19600000000000001</v>
      </c>
      <c r="R25" s="333">
        <v>5.6000000000000001E-2</v>
      </c>
      <c r="S25" s="333" t="s">
        <v>373</v>
      </c>
      <c r="T25" s="333" t="s">
        <v>373</v>
      </c>
      <c r="U25" s="333" t="s">
        <v>373</v>
      </c>
      <c r="V25" s="333" t="s">
        <v>588</v>
      </c>
      <c r="W25" s="333" t="s">
        <v>588</v>
      </c>
      <c r="X25" s="333" t="s">
        <v>373</v>
      </c>
      <c r="Y25" s="333" t="s">
        <v>373</v>
      </c>
      <c r="Z25" s="333" t="s">
        <v>373</v>
      </c>
      <c r="AA25" s="333" t="s">
        <v>373</v>
      </c>
    </row>
    <row r="26" spans="1:27" x14ac:dyDescent="0.25">
      <c r="Q26" s="49">
        <f>SUM(Q25:Q25)</f>
        <v>0.19600000000000001</v>
      </c>
      <c r="R26" s="49">
        <f>SUM(R25:R25)</f>
        <v>5.6000000000000001E-2</v>
      </c>
      <c r="S26" s="49">
        <f>R26-Q26</f>
        <v>-0.14000000000000001</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9" t="str">
        <f>'1. паспорт местоположение'!A5:C5</f>
        <v>Год раскрытия информации: 2025 год</v>
      </c>
      <c r="B5" s="399"/>
      <c r="C5" s="399"/>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408" t="s">
        <v>7</v>
      </c>
      <c r="B7" s="408"/>
      <c r="C7" s="408"/>
      <c r="D7" s="13"/>
      <c r="E7" s="13"/>
      <c r="F7" s="13"/>
      <c r="G7" s="13"/>
      <c r="H7" s="13"/>
      <c r="I7" s="13"/>
      <c r="J7" s="13"/>
      <c r="K7" s="13"/>
      <c r="L7" s="13"/>
      <c r="M7" s="13"/>
      <c r="N7" s="13"/>
      <c r="O7" s="13"/>
      <c r="P7" s="13"/>
      <c r="Q7" s="13"/>
      <c r="R7" s="13"/>
      <c r="S7" s="13"/>
      <c r="T7" s="13"/>
      <c r="U7" s="13"/>
    </row>
    <row r="8" spans="1:29" s="12" customFormat="1" ht="18.75" x14ac:dyDescent="0.2">
      <c r="A8" s="408"/>
      <c r="B8" s="408"/>
      <c r="C8" s="408"/>
      <c r="D8" s="14"/>
      <c r="E8" s="14"/>
      <c r="F8" s="14"/>
      <c r="G8" s="14"/>
      <c r="H8" s="13"/>
      <c r="I8" s="13"/>
      <c r="J8" s="13"/>
      <c r="K8" s="13"/>
      <c r="L8" s="13"/>
      <c r="M8" s="13"/>
      <c r="N8" s="13"/>
      <c r="O8" s="13"/>
      <c r="P8" s="13"/>
      <c r="Q8" s="13"/>
      <c r="R8" s="13"/>
      <c r="S8" s="13"/>
      <c r="T8" s="13"/>
      <c r="U8" s="13"/>
    </row>
    <row r="9" spans="1:29" s="12" customFormat="1" ht="18.75" x14ac:dyDescent="0.2">
      <c r="A9" s="409" t="str">
        <f>'1. паспорт местоположение'!A9:C9</f>
        <v>Акционерное общество "Россети Янтарь" ДЗО  ПАО "Россети"</v>
      </c>
      <c r="B9" s="409"/>
      <c r="C9" s="409"/>
      <c r="D9" s="8"/>
      <c r="E9" s="8"/>
      <c r="F9" s="8"/>
      <c r="G9" s="8"/>
      <c r="H9" s="13"/>
      <c r="I9" s="13"/>
      <c r="J9" s="13"/>
      <c r="K9" s="13"/>
      <c r="L9" s="13"/>
      <c r="M9" s="13"/>
      <c r="N9" s="13"/>
      <c r="O9" s="13"/>
      <c r="P9" s="13"/>
      <c r="Q9" s="13"/>
      <c r="R9" s="13"/>
      <c r="S9" s="13"/>
      <c r="T9" s="13"/>
      <c r="U9" s="13"/>
    </row>
    <row r="10" spans="1:29" s="12" customFormat="1" ht="18.75" x14ac:dyDescent="0.2">
      <c r="A10" s="413" t="s">
        <v>6</v>
      </c>
      <c r="B10" s="413"/>
      <c r="C10" s="413"/>
      <c r="D10" s="6"/>
      <c r="E10" s="6"/>
      <c r="F10" s="6"/>
      <c r="G10" s="6"/>
      <c r="H10" s="13"/>
      <c r="I10" s="13"/>
      <c r="J10" s="13"/>
      <c r="K10" s="13"/>
      <c r="L10" s="13"/>
      <c r="M10" s="13"/>
      <c r="N10" s="13"/>
      <c r="O10" s="13"/>
      <c r="P10" s="13"/>
      <c r="Q10" s="13"/>
      <c r="R10" s="13"/>
      <c r="S10" s="13"/>
      <c r="T10" s="13"/>
      <c r="U10" s="13"/>
    </row>
    <row r="11" spans="1:29" s="12" customFormat="1" ht="18.75" x14ac:dyDescent="0.2">
      <c r="A11" s="408"/>
      <c r="B11" s="408"/>
      <c r="C11" s="408"/>
      <c r="D11" s="14"/>
      <c r="E11" s="14"/>
      <c r="F11" s="14"/>
      <c r="G11" s="14"/>
      <c r="H11" s="13"/>
      <c r="I11" s="13"/>
      <c r="J11" s="13"/>
      <c r="K11" s="13"/>
      <c r="L11" s="13"/>
      <c r="M11" s="13"/>
      <c r="N11" s="13"/>
      <c r="O11" s="13"/>
      <c r="P11" s="13"/>
      <c r="Q11" s="13"/>
      <c r="R11" s="13"/>
      <c r="S11" s="13"/>
      <c r="T11" s="13"/>
      <c r="U11" s="13"/>
    </row>
    <row r="12" spans="1:29" s="12" customFormat="1" ht="18.75" x14ac:dyDescent="0.2">
      <c r="A12" s="409" t="str">
        <f>'1. паспорт местоположение'!A12:C12</f>
        <v>J_19-0403</v>
      </c>
      <c r="B12" s="409"/>
      <c r="C12" s="409"/>
      <c r="D12" s="8"/>
      <c r="E12" s="8"/>
      <c r="F12" s="8"/>
      <c r="G12" s="8"/>
      <c r="H12" s="13"/>
      <c r="I12" s="13"/>
      <c r="J12" s="13"/>
      <c r="K12" s="13"/>
      <c r="L12" s="13"/>
      <c r="M12" s="13"/>
      <c r="N12" s="13"/>
      <c r="O12" s="13"/>
      <c r="P12" s="13"/>
      <c r="Q12" s="13"/>
      <c r="R12" s="13"/>
      <c r="S12" s="13"/>
      <c r="T12" s="13"/>
      <c r="U12" s="13"/>
    </row>
    <row r="13" spans="1:29" s="12" customFormat="1" ht="18.75" x14ac:dyDescent="0.2">
      <c r="A13" s="413" t="s">
        <v>5</v>
      </c>
      <c r="B13" s="413"/>
      <c r="C13" s="4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4"/>
      <c r="B14" s="414"/>
      <c r="C14" s="414"/>
      <c r="D14" s="10"/>
      <c r="E14" s="10"/>
      <c r="F14" s="10"/>
      <c r="G14" s="10"/>
      <c r="H14" s="10"/>
      <c r="I14" s="10"/>
      <c r="J14" s="10"/>
      <c r="K14" s="10"/>
      <c r="L14" s="10"/>
      <c r="M14" s="10"/>
      <c r="N14" s="10"/>
      <c r="O14" s="10"/>
      <c r="P14" s="10"/>
      <c r="Q14" s="10"/>
      <c r="R14" s="10"/>
      <c r="S14" s="10"/>
      <c r="T14" s="10"/>
      <c r="U14" s="10"/>
    </row>
    <row r="15" spans="1:29" s="3" customFormat="1" ht="12" x14ac:dyDescent="0.2">
      <c r="A15" s="409" t="str">
        <f>'1. паспорт местоположение'!A15</f>
        <v>Вынос (переустройство) ВЛ 15-47 (инв.5114664) п. Малое Исаково Гурьевский ГО</v>
      </c>
      <c r="B15" s="409"/>
      <c r="C15" s="409"/>
      <c r="D15" s="8"/>
      <c r="E15" s="8"/>
      <c r="F15" s="8"/>
      <c r="G15" s="8"/>
      <c r="H15" s="8"/>
      <c r="I15" s="8"/>
      <c r="J15" s="8"/>
      <c r="K15" s="8"/>
      <c r="L15" s="8"/>
      <c r="M15" s="8"/>
      <c r="N15" s="8"/>
      <c r="O15" s="8"/>
      <c r="P15" s="8"/>
      <c r="Q15" s="8"/>
      <c r="R15" s="8"/>
      <c r="S15" s="8"/>
      <c r="T15" s="8"/>
      <c r="U15" s="8"/>
    </row>
    <row r="16" spans="1:29" s="3" customFormat="1" ht="15" customHeight="1" x14ac:dyDescent="0.2">
      <c r="A16" s="413" t="s">
        <v>4</v>
      </c>
      <c r="B16" s="413"/>
      <c r="C16" s="413"/>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484</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0" t="s">
        <v>591</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0" t="s">
        <v>597</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tr">
        <f>CONCATENATE(A15," протяженностью ",'3.2 паспорт Техсостояние ЛЭП'!R26," км")</f>
        <v>Вынос (переустройство) ВЛ 15-47 (инв.5114664) п. Малое Исаково Гурьевский ГО протяженностью 0,056 км</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5" t="s">
        <v>625</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581</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4" t="s">
        <v>626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612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9" t="str">
        <f>'1. паспорт местоположение'!A5:C5</f>
        <v>Год раскрытия информации: 2025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row>
    <row r="6" spans="1:28" ht="18.75" x14ac:dyDescent="0.25">
      <c r="A6" s="408" t="s">
        <v>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153"/>
      <c r="AB6" s="153"/>
    </row>
    <row r="7" spans="1:28" ht="18.75" x14ac:dyDescent="0.25">
      <c r="A7" s="408"/>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153"/>
      <c r="AB7" s="153"/>
    </row>
    <row r="8" spans="1:28" x14ac:dyDescent="0.25">
      <c r="A8" s="409" t="str">
        <f>'1. паспорт местоположение'!A9</f>
        <v>Акционерное общество "Россети Янтарь" ДЗО  ПАО "Россети"</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54"/>
      <c r="AB8" s="154"/>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55"/>
      <c r="AB9" s="155"/>
    </row>
    <row r="10" spans="1:28" ht="18.75" x14ac:dyDescent="0.25">
      <c r="A10" s="408"/>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153"/>
      <c r="AB10" s="153"/>
    </row>
    <row r="11" spans="1:28" x14ac:dyDescent="0.25">
      <c r="A11" s="409" t="str">
        <f>'1. паспорт местоположение'!A12:C12</f>
        <v>J_19-0403</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54"/>
      <c r="AB11" s="154"/>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55"/>
      <c r="AB12" s="155"/>
    </row>
    <row r="13" spans="1:28" ht="18.75" x14ac:dyDescent="0.25">
      <c r="A13" s="414"/>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11"/>
      <c r="AB13" s="11"/>
    </row>
    <row r="14" spans="1:28" x14ac:dyDescent="0.25">
      <c r="A14" s="409" t="str">
        <f>'1. паспорт местоположение'!A15</f>
        <v>Вынос (переустройство) ВЛ 15-47 (инв.5114664) п. Малое Исаково Гурьевский ГО</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54"/>
      <c r="AB14" s="154"/>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55"/>
      <c r="AB15" s="155"/>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63"/>
      <c r="AB16" s="163"/>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63"/>
      <c r="AB17" s="163"/>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63"/>
      <c r="AB18" s="163"/>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63"/>
      <c r="AB19" s="163"/>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64"/>
      <c r="AB20" s="164"/>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64"/>
      <c r="AB21" s="164"/>
    </row>
    <row r="22" spans="1:28" x14ac:dyDescent="0.25">
      <c r="A22" s="443" t="s">
        <v>516</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65"/>
      <c r="AB22" s="165"/>
    </row>
    <row r="23" spans="1:28" ht="32.25" customHeight="1" x14ac:dyDescent="0.25">
      <c r="A23" s="445" t="s">
        <v>370</v>
      </c>
      <c r="B23" s="446"/>
      <c r="C23" s="446"/>
      <c r="D23" s="446"/>
      <c r="E23" s="446"/>
      <c r="F23" s="446"/>
      <c r="G23" s="446"/>
      <c r="H23" s="446"/>
      <c r="I23" s="446"/>
      <c r="J23" s="446"/>
      <c r="K23" s="446"/>
      <c r="L23" s="447"/>
      <c r="M23" s="444" t="s">
        <v>371</v>
      </c>
      <c r="N23" s="444"/>
      <c r="O23" s="444"/>
      <c r="P23" s="444"/>
      <c r="Q23" s="444"/>
      <c r="R23" s="444"/>
      <c r="S23" s="444"/>
      <c r="T23" s="444"/>
      <c r="U23" s="444"/>
      <c r="V23" s="444"/>
      <c r="W23" s="444"/>
      <c r="X23" s="444"/>
      <c r="Y23" s="444"/>
      <c r="Z23" s="444"/>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6">
        <v>11</v>
      </c>
      <c r="L25" s="108">
        <v>12</v>
      </c>
      <c r="M25" s="166">
        <v>13</v>
      </c>
      <c r="N25" s="108">
        <v>14</v>
      </c>
      <c r="O25" s="166">
        <v>15</v>
      </c>
      <c r="P25" s="108">
        <v>16</v>
      </c>
      <c r="Q25" s="166">
        <v>17</v>
      </c>
      <c r="R25" s="108">
        <v>18</v>
      </c>
      <c r="S25" s="166">
        <v>19</v>
      </c>
      <c r="T25" s="108">
        <v>20</v>
      </c>
      <c r="U25" s="166">
        <v>21</v>
      </c>
      <c r="V25" s="108">
        <v>22</v>
      </c>
      <c r="W25" s="166">
        <v>23</v>
      </c>
      <c r="X25" s="108">
        <v>24</v>
      </c>
      <c r="Y25" s="166">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N4" s="15"/>
    </row>
    <row r="5" spans="1:28" s="12" customFormat="1" ht="15.75" x14ac:dyDescent="0.2">
      <c r="A5" s="399" t="str">
        <f>'1. паспорт местоположение'!A5:C5</f>
        <v>Год раскрытия информации: 2025 год</v>
      </c>
      <c r="B5" s="399"/>
      <c r="C5" s="399"/>
      <c r="D5" s="399"/>
      <c r="E5" s="399"/>
      <c r="F5" s="399"/>
      <c r="G5" s="399"/>
      <c r="H5" s="399"/>
      <c r="I5" s="399"/>
      <c r="J5" s="399"/>
      <c r="K5" s="399"/>
      <c r="L5" s="399"/>
      <c r="M5" s="399"/>
      <c r="N5" s="399"/>
      <c r="O5" s="399"/>
      <c r="P5" s="162"/>
      <c r="Q5" s="162"/>
      <c r="R5" s="162"/>
      <c r="S5" s="162"/>
      <c r="T5" s="162"/>
      <c r="U5" s="162"/>
      <c r="V5" s="162"/>
      <c r="W5" s="162"/>
      <c r="X5" s="162"/>
      <c r="Y5" s="162"/>
      <c r="Z5" s="162"/>
      <c r="AA5" s="162"/>
      <c r="AB5" s="162"/>
    </row>
    <row r="6" spans="1:28" s="12" customFormat="1" ht="18.75" x14ac:dyDescent="0.3">
      <c r="A6" s="17"/>
      <c r="B6" s="17"/>
      <c r="N6" s="15"/>
    </row>
    <row r="7" spans="1:28" s="12" customFormat="1" ht="18.75" x14ac:dyDescent="0.2">
      <c r="A7" s="408" t="s">
        <v>7</v>
      </c>
      <c r="B7" s="408"/>
      <c r="C7" s="408"/>
      <c r="D7" s="408"/>
      <c r="E7" s="408"/>
      <c r="F7" s="408"/>
      <c r="G7" s="408"/>
      <c r="H7" s="408"/>
      <c r="I7" s="408"/>
      <c r="J7" s="408"/>
      <c r="K7" s="408"/>
      <c r="L7" s="408"/>
      <c r="M7" s="408"/>
      <c r="N7" s="408"/>
      <c r="O7" s="408"/>
      <c r="P7" s="13"/>
      <c r="Q7" s="13"/>
      <c r="R7" s="13"/>
      <c r="S7" s="13"/>
      <c r="T7" s="13"/>
      <c r="U7" s="13"/>
      <c r="V7" s="13"/>
      <c r="W7" s="13"/>
      <c r="X7" s="13"/>
      <c r="Y7" s="13"/>
      <c r="Z7" s="13"/>
    </row>
    <row r="8" spans="1:28" s="12" customFormat="1" ht="18.75" x14ac:dyDescent="0.2">
      <c r="A8" s="408"/>
      <c r="B8" s="408"/>
      <c r="C8" s="408"/>
      <c r="D8" s="408"/>
      <c r="E8" s="408"/>
      <c r="F8" s="408"/>
      <c r="G8" s="408"/>
      <c r="H8" s="408"/>
      <c r="I8" s="408"/>
      <c r="J8" s="408"/>
      <c r="K8" s="408"/>
      <c r="L8" s="408"/>
      <c r="M8" s="408"/>
      <c r="N8" s="408"/>
      <c r="O8" s="408"/>
      <c r="P8" s="13"/>
      <c r="Q8" s="13"/>
      <c r="R8" s="13"/>
      <c r="S8" s="13"/>
      <c r="T8" s="13"/>
      <c r="U8" s="13"/>
      <c r="V8" s="13"/>
      <c r="W8" s="13"/>
      <c r="X8" s="13"/>
      <c r="Y8" s="13"/>
      <c r="Z8" s="13"/>
    </row>
    <row r="9" spans="1:28" s="12" customFormat="1" ht="18.75" x14ac:dyDescent="0.2">
      <c r="A9" s="409" t="str">
        <f>'1. паспорт местоположение'!A9:C9</f>
        <v>Акционерное общество "Россети Янтарь" ДЗО  ПАО "Россети"</v>
      </c>
      <c r="B9" s="409"/>
      <c r="C9" s="409"/>
      <c r="D9" s="409"/>
      <c r="E9" s="409"/>
      <c r="F9" s="409"/>
      <c r="G9" s="409"/>
      <c r="H9" s="409"/>
      <c r="I9" s="409"/>
      <c r="J9" s="409"/>
      <c r="K9" s="409"/>
      <c r="L9" s="409"/>
      <c r="M9" s="409"/>
      <c r="N9" s="409"/>
      <c r="O9" s="409"/>
      <c r="P9" s="13"/>
      <c r="Q9" s="13"/>
      <c r="R9" s="13"/>
      <c r="S9" s="13"/>
      <c r="T9" s="13"/>
      <c r="U9" s="13"/>
      <c r="V9" s="13"/>
      <c r="W9" s="13"/>
      <c r="X9" s="13"/>
      <c r="Y9" s="13"/>
      <c r="Z9" s="13"/>
    </row>
    <row r="10" spans="1:28" s="12" customFormat="1" ht="18.75" x14ac:dyDescent="0.2">
      <c r="A10" s="413" t="s">
        <v>6</v>
      </c>
      <c r="B10" s="413"/>
      <c r="C10" s="413"/>
      <c r="D10" s="413"/>
      <c r="E10" s="413"/>
      <c r="F10" s="413"/>
      <c r="G10" s="413"/>
      <c r="H10" s="413"/>
      <c r="I10" s="413"/>
      <c r="J10" s="413"/>
      <c r="K10" s="413"/>
      <c r="L10" s="413"/>
      <c r="M10" s="413"/>
      <c r="N10" s="413"/>
      <c r="O10" s="413"/>
      <c r="P10" s="13"/>
      <c r="Q10" s="13"/>
      <c r="R10" s="13"/>
      <c r="S10" s="13"/>
      <c r="T10" s="13"/>
      <c r="U10" s="13"/>
      <c r="V10" s="13"/>
      <c r="W10" s="13"/>
      <c r="X10" s="13"/>
      <c r="Y10" s="13"/>
      <c r="Z10" s="13"/>
    </row>
    <row r="11" spans="1:28" s="12" customFormat="1" ht="18.75" x14ac:dyDescent="0.2">
      <c r="A11" s="408"/>
      <c r="B11" s="408"/>
      <c r="C11" s="408"/>
      <c r="D11" s="408"/>
      <c r="E11" s="408"/>
      <c r="F11" s="408"/>
      <c r="G11" s="408"/>
      <c r="H11" s="408"/>
      <c r="I11" s="408"/>
      <c r="J11" s="408"/>
      <c r="K11" s="408"/>
      <c r="L11" s="408"/>
      <c r="M11" s="408"/>
      <c r="N11" s="408"/>
      <c r="O11" s="408"/>
      <c r="P11" s="13"/>
      <c r="Q11" s="13"/>
      <c r="R11" s="13"/>
      <c r="S11" s="13"/>
      <c r="T11" s="13"/>
      <c r="U11" s="13"/>
      <c r="V11" s="13"/>
      <c r="W11" s="13"/>
      <c r="X11" s="13"/>
      <c r="Y11" s="13"/>
      <c r="Z11" s="13"/>
    </row>
    <row r="12" spans="1:28" s="12" customFormat="1" ht="18.75" x14ac:dyDescent="0.2">
      <c r="A12" s="409" t="str">
        <f>'1. паспорт местоположение'!A12:C12</f>
        <v>J_19-0403</v>
      </c>
      <c r="B12" s="409"/>
      <c r="C12" s="409"/>
      <c r="D12" s="409"/>
      <c r="E12" s="409"/>
      <c r="F12" s="409"/>
      <c r="G12" s="409"/>
      <c r="H12" s="409"/>
      <c r="I12" s="409"/>
      <c r="J12" s="409"/>
      <c r="K12" s="409"/>
      <c r="L12" s="409"/>
      <c r="M12" s="409"/>
      <c r="N12" s="409"/>
      <c r="O12" s="409"/>
      <c r="P12" s="13"/>
      <c r="Q12" s="13"/>
      <c r="R12" s="13"/>
      <c r="S12" s="13"/>
      <c r="T12" s="13"/>
      <c r="U12" s="13"/>
      <c r="V12" s="13"/>
      <c r="W12" s="13"/>
      <c r="X12" s="13"/>
      <c r="Y12" s="13"/>
      <c r="Z12" s="13"/>
    </row>
    <row r="13" spans="1:28" s="12" customFormat="1" ht="18.75" x14ac:dyDescent="0.2">
      <c r="A13" s="413" t="s">
        <v>5</v>
      </c>
      <c r="B13" s="413"/>
      <c r="C13" s="413"/>
      <c r="D13" s="413"/>
      <c r="E13" s="413"/>
      <c r="F13" s="413"/>
      <c r="G13" s="413"/>
      <c r="H13" s="413"/>
      <c r="I13" s="413"/>
      <c r="J13" s="413"/>
      <c r="K13" s="413"/>
      <c r="L13" s="413"/>
      <c r="M13" s="413"/>
      <c r="N13" s="413"/>
      <c r="O13" s="413"/>
      <c r="P13" s="13"/>
      <c r="Q13" s="13"/>
      <c r="R13" s="13"/>
      <c r="S13" s="13"/>
      <c r="T13" s="13"/>
      <c r="U13" s="13"/>
      <c r="V13" s="13"/>
      <c r="W13" s="13"/>
      <c r="X13" s="13"/>
      <c r="Y13" s="13"/>
      <c r="Z13" s="13"/>
    </row>
    <row r="14" spans="1:28" s="9" customFormat="1" ht="15.75" customHeight="1" x14ac:dyDescent="0.2">
      <c r="A14" s="414"/>
      <c r="B14" s="414"/>
      <c r="C14" s="414"/>
      <c r="D14" s="414"/>
      <c r="E14" s="414"/>
      <c r="F14" s="414"/>
      <c r="G14" s="414"/>
      <c r="H14" s="414"/>
      <c r="I14" s="414"/>
      <c r="J14" s="414"/>
      <c r="K14" s="414"/>
      <c r="L14" s="414"/>
      <c r="M14" s="414"/>
      <c r="N14" s="414"/>
      <c r="O14" s="414"/>
      <c r="P14" s="10"/>
      <c r="Q14" s="10"/>
      <c r="R14" s="10"/>
      <c r="S14" s="10"/>
      <c r="T14" s="10"/>
      <c r="U14" s="10"/>
      <c r="V14" s="10"/>
      <c r="W14" s="10"/>
      <c r="X14" s="10"/>
      <c r="Y14" s="10"/>
      <c r="Z14" s="10"/>
    </row>
    <row r="15" spans="1:28" s="3" customFormat="1" ht="12" x14ac:dyDescent="0.2">
      <c r="A15" s="409" t="str">
        <f>'1. паспорт местоположение'!A15</f>
        <v>Вынос (переустройство) ВЛ 15-47 (инв.5114664) п. Малое Исаково Гурьевский ГО</v>
      </c>
      <c r="B15" s="409"/>
      <c r="C15" s="409"/>
      <c r="D15" s="409"/>
      <c r="E15" s="409"/>
      <c r="F15" s="409"/>
      <c r="G15" s="409"/>
      <c r="H15" s="409"/>
      <c r="I15" s="409"/>
      <c r="J15" s="409"/>
      <c r="K15" s="409"/>
      <c r="L15" s="409"/>
      <c r="M15" s="409"/>
      <c r="N15" s="409"/>
      <c r="O15" s="409"/>
      <c r="P15" s="8"/>
      <c r="Q15" s="8"/>
      <c r="R15" s="8"/>
      <c r="S15" s="8"/>
      <c r="T15" s="8"/>
      <c r="U15" s="8"/>
      <c r="V15" s="8"/>
      <c r="W15" s="8"/>
      <c r="X15" s="8"/>
      <c r="Y15" s="8"/>
      <c r="Z15" s="8"/>
    </row>
    <row r="16" spans="1:28" s="3" customFormat="1" ht="15" customHeight="1" x14ac:dyDescent="0.2">
      <c r="A16" s="413" t="s">
        <v>4</v>
      </c>
      <c r="B16" s="413"/>
      <c r="C16" s="413"/>
      <c r="D16" s="413"/>
      <c r="E16" s="413"/>
      <c r="F16" s="413"/>
      <c r="G16" s="413"/>
      <c r="H16" s="413"/>
      <c r="I16" s="413"/>
      <c r="J16" s="413"/>
      <c r="K16" s="413"/>
      <c r="L16" s="413"/>
      <c r="M16" s="413"/>
      <c r="N16" s="413"/>
      <c r="O16" s="413"/>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49" t="s">
        <v>493</v>
      </c>
      <c r="B18" s="449"/>
      <c r="C18" s="449"/>
      <c r="D18" s="449"/>
      <c r="E18" s="449"/>
      <c r="F18" s="449"/>
      <c r="G18" s="449"/>
      <c r="H18" s="449"/>
      <c r="I18" s="449"/>
      <c r="J18" s="449"/>
      <c r="K18" s="449"/>
      <c r="L18" s="449"/>
      <c r="M18" s="449"/>
      <c r="N18" s="449"/>
      <c r="O18" s="449"/>
      <c r="P18" s="7"/>
      <c r="Q18" s="7"/>
      <c r="R18" s="7"/>
      <c r="S18" s="7"/>
      <c r="T18" s="7"/>
      <c r="U18" s="7"/>
      <c r="V18" s="7"/>
      <c r="W18" s="7"/>
      <c r="X18" s="7"/>
      <c r="Y18" s="7"/>
      <c r="Z18" s="7"/>
    </row>
    <row r="19" spans="1:26" s="3" customFormat="1" ht="78" customHeight="1" x14ac:dyDescent="0.2">
      <c r="A19" s="407" t="s">
        <v>3</v>
      </c>
      <c r="B19" s="407" t="s">
        <v>82</v>
      </c>
      <c r="C19" s="407" t="s">
        <v>81</v>
      </c>
      <c r="D19" s="407" t="s">
        <v>73</v>
      </c>
      <c r="E19" s="450" t="s">
        <v>80</v>
      </c>
      <c r="F19" s="451"/>
      <c r="G19" s="451"/>
      <c r="H19" s="451"/>
      <c r="I19" s="452"/>
      <c r="J19" s="407" t="s">
        <v>79</v>
      </c>
      <c r="K19" s="453"/>
      <c r="L19" s="453"/>
      <c r="M19" s="407"/>
      <c r="N19" s="407"/>
      <c r="O19" s="407"/>
      <c r="P19" s="4"/>
      <c r="Q19" s="4"/>
      <c r="R19" s="4"/>
      <c r="S19" s="4"/>
      <c r="T19" s="4"/>
      <c r="U19" s="4"/>
      <c r="V19" s="4"/>
      <c r="W19" s="4"/>
    </row>
    <row r="20" spans="1:26" s="3" customFormat="1" ht="51" customHeight="1" x14ac:dyDescent="0.2">
      <c r="A20" s="407"/>
      <c r="B20" s="407"/>
      <c r="C20" s="407"/>
      <c r="D20" s="407"/>
      <c r="E20" s="41" t="s">
        <v>78</v>
      </c>
      <c r="F20" s="41" t="s">
        <v>77</v>
      </c>
      <c r="G20" s="41" t="s">
        <v>76</v>
      </c>
      <c r="H20" s="41" t="s">
        <v>75</v>
      </c>
      <c r="I20" s="41" t="s">
        <v>74</v>
      </c>
      <c r="J20" s="41">
        <v>2023</v>
      </c>
      <c r="K20" s="384">
        <v>2024</v>
      </c>
      <c r="L20" s="382">
        <v>2025</v>
      </c>
      <c r="M20" s="384">
        <v>2026</v>
      </c>
      <c r="N20" s="382">
        <v>2027</v>
      </c>
      <c r="O20" s="384">
        <v>2028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613</v>
      </c>
      <c r="C22" s="34">
        <v>0</v>
      </c>
      <c r="D22" s="34">
        <v>0</v>
      </c>
      <c r="E22" s="34">
        <v>0</v>
      </c>
      <c r="F22" s="34">
        <v>0</v>
      </c>
      <c r="G22" s="34">
        <v>0</v>
      </c>
      <c r="H22" s="34">
        <v>0</v>
      </c>
      <c r="I22" s="34">
        <v>0</v>
      </c>
      <c r="J22" s="44">
        <v>0</v>
      </c>
      <c r="K22" s="34">
        <v>0</v>
      </c>
      <c r="L22" s="44">
        <v>0</v>
      </c>
      <c r="M22" s="34">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C7" zoomScale="80" zoomScaleNormal="80" workbookViewId="0">
      <selection activeCell="AV144" sqref="AV144"/>
    </sheetView>
  </sheetViews>
  <sheetFormatPr defaultColWidth="9.140625" defaultRowHeight="15.75" x14ac:dyDescent="0.2"/>
  <cols>
    <col min="1" max="1" width="61.7109375" style="183" customWidth="1"/>
    <col min="2" max="2" width="18.5703125" style="168" customWidth="1"/>
    <col min="3" max="17" width="16.85546875" style="168" customWidth="1"/>
    <col min="18" max="42" width="16.85546875" style="168" hidden="1" customWidth="1"/>
    <col min="43" max="45" width="16.85546875" style="169" hidden="1" customWidth="1"/>
    <col min="46"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75" x14ac:dyDescent="0.3">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
      <c r="A5" s="469" t="str">
        <f>'1. паспорт местоположение'!A5:C5</f>
        <v>Год раскрытия информации: 2025 год</v>
      </c>
      <c r="B5" s="469"/>
      <c r="C5" s="469"/>
      <c r="D5" s="469"/>
      <c r="E5" s="469"/>
      <c r="F5" s="469"/>
      <c r="G5" s="469"/>
      <c r="H5" s="469"/>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8.75" x14ac:dyDescent="0.2">
      <c r="A7" s="408" t="s">
        <v>7</v>
      </c>
      <c r="B7" s="408"/>
      <c r="C7" s="408"/>
      <c r="D7" s="408"/>
      <c r="E7" s="408"/>
      <c r="F7" s="408"/>
      <c r="G7" s="408"/>
      <c r="H7" s="408"/>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74"/>
      <c r="B8" s="374"/>
      <c r="C8" s="374"/>
      <c r="D8" s="374"/>
      <c r="E8" s="374"/>
      <c r="F8" s="374"/>
      <c r="G8" s="374"/>
      <c r="H8" s="374"/>
      <c r="I8" s="374"/>
      <c r="J8" s="374"/>
      <c r="K8" s="374"/>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8.75" x14ac:dyDescent="0.2">
      <c r="A9" s="433" t="str">
        <f>'1. паспорт местоположение'!A9:C9</f>
        <v>Акционерное общество "Россети Янтарь" ДЗО  ПАО "Россети"</v>
      </c>
      <c r="B9" s="433"/>
      <c r="C9" s="433"/>
      <c r="D9" s="433"/>
      <c r="E9" s="433"/>
      <c r="F9" s="433"/>
      <c r="G9" s="433"/>
      <c r="H9" s="433"/>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13" t="s">
        <v>6</v>
      </c>
      <c r="B10" s="413"/>
      <c r="C10" s="413"/>
      <c r="D10" s="413"/>
      <c r="E10" s="413"/>
      <c r="F10" s="413"/>
      <c r="G10" s="413"/>
      <c r="H10" s="413"/>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74"/>
      <c r="B11" s="374"/>
      <c r="C11" s="374"/>
      <c r="D11" s="374"/>
      <c r="E11" s="374"/>
      <c r="F11" s="374"/>
      <c r="G11" s="374"/>
      <c r="H11" s="374"/>
      <c r="I11" s="374"/>
      <c r="J11" s="374"/>
      <c r="K11" s="374"/>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8.75" x14ac:dyDescent="0.2">
      <c r="A12" s="433" t="str">
        <f>'1. паспорт местоположение'!A12:C12</f>
        <v>J_19-0403</v>
      </c>
      <c r="B12" s="433"/>
      <c r="C12" s="433"/>
      <c r="D12" s="433"/>
      <c r="E12" s="433"/>
      <c r="F12" s="433"/>
      <c r="G12" s="433"/>
      <c r="H12" s="433"/>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13" t="s">
        <v>5</v>
      </c>
      <c r="B13" s="413"/>
      <c r="C13" s="413"/>
      <c r="D13" s="413"/>
      <c r="E13" s="413"/>
      <c r="F13" s="413"/>
      <c r="G13" s="413"/>
      <c r="H13" s="413"/>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9"/>
      <c r="AA14" s="9"/>
      <c r="AB14" s="9"/>
      <c r="AC14" s="9"/>
      <c r="AD14" s="9"/>
      <c r="AE14" s="9"/>
      <c r="AF14" s="9"/>
      <c r="AG14" s="9"/>
      <c r="AH14" s="9"/>
      <c r="AI14" s="9"/>
      <c r="AJ14" s="9"/>
      <c r="AK14" s="9"/>
      <c r="AL14" s="9"/>
      <c r="AM14" s="9"/>
      <c r="AN14" s="9"/>
      <c r="AO14" s="9"/>
      <c r="AP14" s="9"/>
      <c r="AQ14" s="178"/>
      <c r="AR14" s="178"/>
    </row>
    <row r="15" spans="1:44" ht="18.75" x14ac:dyDescent="0.2">
      <c r="A15" s="470" t="str">
        <f>'1. паспорт местоположение'!A15:C15</f>
        <v>Вынос (переустройство) ВЛ 15-47 (инв.5114664) п. Малое Исаково Гурьевский ГО</v>
      </c>
      <c r="B15" s="417"/>
      <c r="C15" s="417"/>
      <c r="D15" s="417"/>
      <c r="E15" s="417"/>
      <c r="F15" s="417"/>
      <c r="G15" s="417"/>
      <c r="H15" s="41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13" t="s">
        <v>4</v>
      </c>
      <c r="B16" s="413"/>
      <c r="C16" s="413"/>
      <c r="D16" s="413"/>
      <c r="E16" s="413"/>
      <c r="F16" s="413"/>
      <c r="G16" s="413"/>
      <c r="H16" s="413"/>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76"/>
      <c r="B17" s="376"/>
      <c r="C17" s="376"/>
      <c r="D17" s="376"/>
      <c r="E17" s="376"/>
      <c r="F17" s="376"/>
      <c r="G17" s="376"/>
      <c r="H17" s="376"/>
      <c r="I17" s="376"/>
      <c r="J17" s="376"/>
      <c r="K17" s="376"/>
      <c r="L17" s="376"/>
      <c r="M17" s="376"/>
      <c r="N17" s="376"/>
      <c r="O17" s="376"/>
      <c r="P17" s="376"/>
      <c r="Q17" s="376"/>
      <c r="R17" s="376"/>
      <c r="S17" s="376"/>
      <c r="T17" s="376"/>
      <c r="U17" s="376"/>
      <c r="V17" s="376"/>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33" t="s">
        <v>494</v>
      </c>
      <c r="B18" s="433"/>
      <c r="C18" s="433"/>
      <c r="D18" s="433"/>
      <c r="E18" s="433"/>
      <c r="F18" s="433"/>
      <c r="G18" s="433"/>
      <c r="H18" s="43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'6.2. Паспорт фин осв ввод'!AF52*1000000</f>
        <v>252833.67</v>
      </c>
    </row>
    <row r="26" spans="1:44" x14ac:dyDescent="0.2">
      <c r="A26" s="191" t="s">
        <v>342</v>
      </c>
      <c r="B26" s="306">
        <v>0</v>
      </c>
    </row>
    <row r="27" spans="1:44" x14ac:dyDescent="0.2">
      <c r="A27" s="191" t="s">
        <v>340</v>
      </c>
      <c r="B27" s="306">
        <f>$B$123</f>
        <v>35</v>
      </c>
      <c r="D27" s="184" t="s">
        <v>343</v>
      </c>
    </row>
    <row r="28" spans="1:44" ht="16.149999999999999" customHeight="1" thickBot="1" x14ac:dyDescent="0.25">
      <c r="A28" s="192" t="s">
        <v>338</v>
      </c>
      <c r="B28" s="193">
        <v>1</v>
      </c>
      <c r="D28" s="456" t="s">
        <v>341</v>
      </c>
      <c r="E28" s="457"/>
      <c r="F28" s="458"/>
      <c r="G28" s="467">
        <f>IF(SUM(B89:L89)=0,"не окупается",SUM(B89:L89))</f>
        <v>7.6768511092687959</v>
      </c>
      <c r="H28" s="468"/>
    </row>
    <row r="29" spans="1:44" ht="15.6" customHeight="1" x14ac:dyDescent="0.2">
      <c r="A29" s="189" t="s">
        <v>336</v>
      </c>
      <c r="B29" s="190">
        <f>$B$25*$B$127</f>
        <v>7585.0101000000004</v>
      </c>
      <c r="D29" s="456" t="s">
        <v>339</v>
      </c>
      <c r="E29" s="457"/>
      <c r="F29" s="458"/>
      <c r="G29" s="467" t="str">
        <f>IF(SUM(B90:L90)=0,"не окупается",SUM(B90:L90))</f>
        <v>не окупается</v>
      </c>
      <c r="H29" s="468"/>
    </row>
    <row r="30" spans="1:44" ht="27.6" customHeight="1" x14ac:dyDescent="0.2">
      <c r="A30" s="191" t="s">
        <v>533</v>
      </c>
      <c r="B30" s="306">
        <v>12</v>
      </c>
      <c r="D30" s="456" t="s">
        <v>337</v>
      </c>
      <c r="E30" s="457"/>
      <c r="F30" s="458"/>
      <c r="G30" s="459">
        <f>L87</f>
        <v>54955.956626148334</v>
      </c>
      <c r="H30" s="460"/>
    </row>
    <row r="31" spans="1:44" x14ac:dyDescent="0.2">
      <c r="A31" s="191" t="s">
        <v>335</v>
      </c>
      <c r="B31" s="306">
        <v>1</v>
      </c>
      <c r="D31" s="461"/>
      <c r="E31" s="462"/>
      <c r="F31" s="463"/>
      <c r="G31" s="461"/>
      <c r="H31" s="463"/>
    </row>
    <row r="32" spans="1:44" x14ac:dyDescent="0.2">
      <c r="A32" s="191" t="s">
        <v>313</v>
      </c>
      <c r="B32" s="306"/>
    </row>
    <row r="33" spans="1:42" x14ac:dyDescent="0.2">
      <c r="A33" s="191" t="s">
        <v>334</v>
      </c>
      <c r="B33" s="306"/>
    </row>
    <row r="34" spans="1:42" x14ac:dyDescent="0.2">
      <c r="A34" s="191" t="s">
        <v>333</v>
      </c>
      <c r="B34" s="306"/>
    </row>
    <row r="35" spans="1:42" x14ac:dyDescent="0.2">
      <c r="A35" s="307"/>
      <c r="B35" s="306"/>
    </row>
    <row r="36" spans="1:42" ht="16.5" thickBot="1" x14ac:dyDescent="0.25">
      <c r="A36" s="192" t="s">
        <v>305</v>
      </c>
      <c r="B36" s="194">
        <v>0.2</v>
      </c>
    </row>
    <row r="37" spans="1:42" x14ac:dyDescent="0.2">
      <c r="A37" s="189" t="s">
        <v>534</v>
      </c>
      <c r="B37" s="190">
        <v>0</v>
      </c>
    </row>
    <row r="38" spans="1:42" x14ac:dyDescent="0.2">
      <c r="A38" s="191" t="s">
        <v>332</v>
      </c>
      <c r="B38" s="306"/>
    </row>
    <row r="39" spans="1:42" ht="16.5" thickBot="1" x14ac:dyDescent="0.25">
      <c r="A39" s="308" t="s">
        <v>331</v>
      </c>
      <c r="B39" s="309"/>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0.1371</v>
      </c>
    </row>
    <row r="45" spans="1:42" x14ac:dyDescent="0.2">
      <c r="A45" s="197" t="s">
        <v>326</v>
      </c>
      <c r="B45" s="199">
        <f>1-B43</f>
        <v>1</v>
      </c>
    </row>
    <row r="46" spans="1:42" ht="16.5" thickBot="1" x14ac:dyDescent="0.25">
      <c r="A46" s="310" t="s">
        <v>325</v>
      </c>
      <c r="B46" s="311">
        <f>B45*B44+B43*B42*(1-B36)</f>
        <v>0.1371</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5">
        <f>B136</f>
        <v>6.8263986418270001E-2</v>
      </c>
      <c r="C48" s="335">
        <f t="shared" ref="C48:AP48" si="1">C136</f>
        <v>5.561885224957E-2</v>
      </c>
      <c r="D48" s="335">
        <f t="shared" si="1"/>
        <v>4.9354000000000002E-2</v>
      </c>
      <c r="E48" s="335">
        <f t="shared" si="1"/>
        <v>0.14631427330593999</v>
      </c>
      <c r="F48" s="335">
        <f t="shared" si="1"/>
        <v>9.0964662608273128E-2</v>
      </c>
      <c r="G48" s="335">
        <f t="shared" si="1"/>
        <v>9.1135032622053413E-2</v>
      </c>
      <c r="H48" s="335">
        <f t="shared" si="1"/>
        <v>7.8163170639641913E-2</v>
      </c>
      <c r="I48" s="335">
        <f t="shared" si="1"/>
        <v>5.2628968689616612E-2</v>
      </c>
      <c r="J48" s="335">
        <f t="shared" si="1"/>
        <v>4.4208979893394937E-2</v>
      </c>
      <c r="K48" s="335">
        <f t="shared" si="1"/>
        <v>4.4208979893394937E-2</v>
      </c>
      <c r="L48" s="335">
        <f t="shared" si="1"/>
        <v>4.4208979893394937E-2</v>
      </c>
      <c r="M48" s="335">
        <f t="shared" si="1"/>
        <v>4.4208979893394937E-2</v>
      </c>
      <c r="N48" s="335">
        <f t="shared" si="1"/>
        <v>4.4208979893394937E-2</v>
      </c>
      <c r="O48" s="335">
        <f t="shared" si="1"/>
        <v>4.4208979893394937E-2</v>
      </c>
      <c r="P48" s="335">
        <f t="shared" si="1"/>
        <v>4.4208979893394937E-2</v>
      </c>
      <c r="Q48" s="335">
        <f t="shared" si="1"/>
        <v>4.4208979893394937E-2</v>
      </c>
      <c r="R48" s="335">
        <f t="shared" si="1"/>
        <v>4.4208979893394937E-2</v>
      </c>
      <c r="S48" s="335">
        <f t="shared" si="1"/>
        <v>4.4208979893394937E-2</v>
      </c>
      <c r="T48" s="335">
        <f t="shared" si="1"/>
        <v>4.4208979893394937E-2</v>
      </c>
      <c r="U48" s="335">
        <f t="shared" si="1"/>
        <v>4.4208979893394937E-2</v>
      </c>
      <c r="V48" s="335">
        <f t="shared" si="1"/>
        <v>4.4208979893394937E-2</v>
      </c>
      <c r="W48" s="335">
        <f t="shared" si="1"/>
        <v>4.4208979893394937E-2</v>
      </c>
      <c r="X48" s="335">
        <f t="shared" si="1"/>
        <v>4.4208979893394937E-2</v>
      </c>
      <c r="Y48" s="335">
        <f t="shared" si="1"/>
        <v>4.4208979893394937E-2</v>
      </c>
      <c r="Z48" s="335">
        <f t="shared" si="1"/>
        <v>4.4208979893394937E-2</v>
      </c>
      <c r="AA48" s="335">
        <f t="shared" si="1"/>
        <v>4.4208979893394937E-2</v>
      </c>
      <c r="AB48" s="335">
        <f t="shared" si="1"/>
        <v>4.4208979893394937E-2</v>
      </c>
      <c r="AC48" s="335">
        <f t="shared" si="1"/>
        <v>4.4208979893394937E-2</v>
      </c>
      <c r="AD48" s="335">
        <f t="shared" si="1"/>
        <v>4.4208979893394937E-2</v>
      </c>
      <c r="AE48" s="335">
        <f t="shared" si="1"/>
        <v>4.4208979893394937E-2</v>
      </c>
      <c r="AF48" s="335">
        <f t="shared" si="1"/>
        <v>4.4208979893394937E-2</v>
      </c>
      <c r="AG48" s="335">
        <f t="shared" si="1"/>
        <v>4.4208979893394937E-2</v>
      </c>
      <c r="AH48" s="335">
        <f t="shared" si="1"/>
        <v>4.4208979893394937E-2</v>
      </c>
      <c r="AI48" s="335">
        <f t="shared" si="1"/>
        <v>4.4208979893394937E-2</v>
      </c>
      <c r="AJ48" s="335">
        <f t="shared" si="1"/>
        <v>4.4208979893394937E-2</v>
      </c>
      <c r="AK48" s="335">
        <f t="shared" si="1"/>
        <v>4.4208979893394937E-2</v>
      </c>
      <c r="AL48" s="335">
        <f t="shared" si="1"/>
        <v>4.4208979893394937E-2</v>
      </c>
      <c r="AM48" s="335">
        <f t="shared" si="1"/>
        <v>4.4208979893394937E-2</v>
      </c>
      <c r="AN48" s="335">
        <f t="shared" si="1"/>
        <v>4.4208979893394937E-2</v>
      </c>
      <c r="AO48" s="335">
        <f t="shared" si="1"/>
        <v>4.4208979893394937E-2</v>
      </c>
      <c r="AP48" s="335">
        <f t="shared" si="1"/>
        <v>4.4208979893394937E-2</v>
      </c>
    </row>
    <row r="49" spans="1:45" s="203" customFormat="1" x14ac:dyDescent="0.2">
      <c r="A49" s="204" t="s">
        <v>322</v>
      </c>
      <c r="B49" s="335">
        <f>B137</f>
        <v>6.8263986418270001E-2</v>
      </c>
      <c r="C49" s="335">
        <f t="shared" ref="C49:AP49" si="2">C137</f>
        <v>0.12767960324240435</v>
      </c>
      <c r="D49" s="335">
        <f t="shared" si="2"/>
        <v>0.18333510238082984</v>
      </c>
      <c r="E49" s="335">
        <f t="shared" si="2"/>
        <v>0.35647391796309091</v>
      </c>
      <c r="F49" s="335">
        <f t="shared" si="2"/>
        <v>0.47986511024752598</v>
      </c>
      <c r="G49" s="335">
        <f t="shared" si="2"/>
        <v>0.6147326653461731</v>
      </c>
      <c r="H49" s="335">
        <f t="shared" si="2"/>
        <v>0.74094529020502997</v>
      </c>
      <c r="I49" s="335">
        <f t="shared" si="2"/>
        <v>0.83256944537356614</v>
      </c>
      <c r="J49" s="335">
        <f t="shared" si="2"/>
        <v>0.9135854711373359</v>
      </c>
      <c r="K49" s="335">
        <f t="shared" si="2"/>
        <v>0.99818313275513892</v>
      </c>
      <c r="L49" s="335">
        <f t="shared" si="2"/>
        <v>1.0865207706944315</v>
      </c>
      <c r="M49" s="335">
        <f t="shared" si="2"/>
        <v>1.1787637254932126</v>
      </c>
      <c r="N49" s="335">
        <f t="shared" si="2"/>
        <v>1.275084647226</v>
      </c>
      <c r="O49" s="335">
        <f t="shared" si="2"/>
        <v>1.3756638186509855</v>
      </c>
      <c r="P49" s="335">
        <f t="shared" si="2"/>
        <v>1.4806894926431928</v>
      </c>
      <c r="Q49" s="335">
        <f t="shared" si="2"/>
        <v>1.5903582445452118</v>
      </c>
      <c r="R49" s="335">
        <f t="shared" si="2"/>
        <v>1.704875340095001</v>
      </c>
      <c r="S49" s="335">
        <f t="shared" si="2"/>
        <v>1.8244551196194005</v>
      </c>
      <c r="T49" s="335">
        <f t="shared" si="2"/>
        <v>1.949321399212451</v>
      </c>
      <c r="U49" s="335">
        <f t="shared" si="2"/>
        <v>2.0797078896493937</v>
      </c>
      <c r="V49" s="335">
        <f t="shared" si="2"/>
        <v>2.2158586338204334</v>
      </c>
      <c r="W49" s="335">
        <f t="shared" si="2"/>
        <v>2.3580284635030013</v>
      </c>
      <c r="X49" s="335">
        <f t="shared" si="2"/>
        <v>2.5064834763274533</v>
      </c>
      <c r="Y49" s="335">
        <f t="shared" si="2"/>
        <v>2.6615015338289352</v>
      </c>
      <c r="Z49" s="335">
        <f t="shared" si="2"/>
        <v>2.8233727815176133</v>
      </c>
      <c r="AA49" s="335">
        <f t="shared" si="2"/>
        <v>2.9924001919406789</v>
      </c>
      <c r="AB49" s="335">
        <f t="shared" si="2"/>
        <v>3.1689001317525705</v>
      </c>
      <c r="AC49" s="335">
        <f t="shared" si="2"/>
        <v>3.3532029538547912</v>
      </c>
      <c r="AD49" s="335">
        <f t="shared" si="2"/>
        <v>3.5456536157136247</v>
      </c>
      <c r="AE49" s="335">
        <f t="shared" si="2"/>
        <v>3.7466123250130465</v>
      </c>
      <c r="AF49" s="335">
        <f t="shared" si="2"/>
        <v>3.9564552138512887</v>
      </c>
      <c r="AG49" s="335">
        <f t="shared" si="2"/>
        <v>4.1755750427429525</v>
      </c>
      <c r="AH49" s="335">
        <f t="shared" si="2"/>
        <v>4.4043819357443326</v>
      </c>
      <c r="AI49" s="335">
        <f t="shared" si="2"/>
        <v>4.6433041480778803</v>
      </c>
      <c r="AJ49" s="335">
        <f t="shared" si="2"/>
        <v>4.892788867692567</v>
      </c>
      <c r="AK49" s="335">
        <f t="shared" si="2"/>
        <v>5.1533030522604086</v>
      </c>
      <c r="AL49" s="335">
        <f t="shared" si="2"/>
        <v>5.4253343031757542</v>
      </c>
      <c r="AM49" s="335">
        <f t="shared" si="2"/>
        <v>5.7093917781931918</v>
      </c>
      <c r="AN49" s="335">
        <f t="shared" si="2"/>
        <v>6.0060071444122434</v>
      </c>
      <c r="AO49" s="335">
        <f t="shared" si="2"/>
        <v>6.3157355733925451</v>
      </c>
      <c r="AP49" s="335">
        <f t="shared" si="2"/>
        <v>6.6391567802620495</v>
      </c>
    </row>
    <row r="50" spans="1:45" s="203" customFormat="1" ht="16.5" thickBot="1" x14ac:dyDescent="0.25">
      <c r="A50" s="205" t="s">
        <v>536</v>
      </c>
      <c r="B50" s="206">
        <f>IF($B$124="да",($B$126-0.05),0)</f>
        <v>296524.34999999998</v>
      </c>
      <c r="C50" s="206">
        <f>C108*(1+C49)</f>
        <v>0</v>
      </c>
      <c r="D50" s="206">
        <f t="shared" ref="D50:AP50" si="3">D108*(1+D49)</f>
        <v>0</v>
      </c>
      <c r="E50" s="206">
        <f t="shared" si="3"/>
        <v>0</v>
      </c>
      <c r="F50" s="206">
        <f t="shared" si="3"/>
        <v>0</v>
      </c>
      <c r="G50" s="206">
        <f t="shared" si="3"/>
        <v>0</v>
      </c>
      <c r="H50" s="206">
        <f t="shared" si="3"/>
        <v>0</v>
      </c>
      <c r="I50" s="206">
        <f t="shared" si="3"/>
        <v>0</v>
      </c>
      <c r="J50" s="206">
        <f t="shared" si="3"/>
        <v>0</v>
      </c>
      <c r="K50" s="206">
        <f t="shared" si="3"/>
        <v>0</v>
      </c>
      <c r="L50" s="206">
        <f t="shared" si="3"/>
        <v>0</v>
      </c>
      <c r="M50" s="206">
        <f t="shared" si="3"/>
        <v>0</v>
      </c>
      <c r="N50" s="206">
        <f t="shared" si="3"/>
        <v>0</v>
      </c>
      <c r="O50" s="206">
        <f t="shared" si="3"/>
        <v>0</v>
      </c>
      <c r="P50" s="206">
        <f t="shared" si="3"/>
        <v>0</v>
      </c>
      <c r="Q50" s="206">
        <f t="shared" si="3"/>
        <v>0</v>
      </c>
      <c r="R50" s="206">
        <f t="shared" si="3"/>
        <v>0</v>
      </c>
      <c r="S50" s="206">
        <f t="shared" si="3"/>
        <v>0</v>
      </c>
      <c r="T50" s="206">
        <f t="shared" si="3"/>
        <v>0</v>
      </c>
      <c r="U50" s="206">
        <f t="shared" si="3"/>
        <v>0</v>
      </c>
      <c r="V50" s="206">
        <f t="shared" si="3"/>
        <v>0</v>
      </c>
      <c r="W50" s="206">
        <f t="shared" si="3"/>
        <v>0</v>
      </c>
      <c r="X50" s="206">
        <f t="shared" si="3"/>
        <v>0</v>
      </c>
      <c r="Y50" s="206">
        <f t="shared" si="3"/>
        <v>0</v>
      </c>
      <c r="Z50" s="206">
        <f t="shared" si="3"/>
        <v>0</v>
      </c>
      <c r="AA50" s="206">
        <f t="shared" si="3"/>
        <v>0</v>
      </c>
      <c r="AB50" s="206">
        <f t="shared" si="3"/>
        <v>0</v>
      </c>
      <c r="AC50" s="206">
        <f t="shared" si="3"/>
        <v>0</v>
      </c>
      <c r="AD50" s="206">
        <f t="shared" si="3"/>
        <v>0</v>
      </c>
      <c r="AE50" s="206">
        <f t="shared" si="3"/>
        <v>0</v>
      </c>
      <c r="AF50" s="206">
        <f t="shared" si="3"/>
        <v>0</v>
      </c>
      <c r="AG50" s="206">
        <f t="shared" si="3"/>
        <v>0</v>
      </c>
      <c r="AH50" s="206">
        <f t="shared" si="3"/>
        <v>0</v>
      </c>
      <c r="AI50" s="206">
        <f t="shared" si="3"/>
        <v>0</v>
      </c>
      <c r="AJ50" s="206">
        <f t="shared" si="3"/>
        <v>0</v>
      </c>
      <c r="AK50" s="206">
        <f t="shared" si="3"/>
        <v>0</v>
      </c>
      <c r="AL50" s="206">
        <f t="shared" si="3"/>
        <v>0</v>
      </c>
      <c r="AM50" s="206">
        <f t="shared" si="3"/>
        <v>0</v>
      </c>
      <c r="AN50" s="206">
        <f t="shared" si="3"/>
        <v>0</v>
      </c>
      <c r="AO50" s="206">
        <f t="shared" si="3"/>
        <v>0</v>
      </c>
      <c r="AP50" s="206">
        <f t="shared" si="3"/>
        <v>0</v>
      </c>
    </row>
    <row r="51" spans="1:45" ht="16.5" thickBot="1" x14ac:dyDescent="0.25"/>
    <row r="52" spans="1:45" x14ac:dyDescent="0.2">
      <c r="A52" s="207" t="s">
        <v>321</v>
      </c>
      <c r="B52" s="208">
        <f>B58</f>
        <v>1</v>
      </c>
      <c r="C52" s="208">
        <f t="shared" ref="C52:AO52" si="4">C58</f>
        <v>2</v>
      </c>
      <c r="D52" s="208">
        <f t="shared" si="4"/>
        <v>3</v>
      </c>
      <c r="E52" s="208">
        <f t="shared" si="4"/>
        <v>4</v>
      </c>
      <c r="F52" s="208">
        <f t="shared" si="4"/>
        <v>5</v>
      </c>
      <c r="G52" s="208">
        <f t="shared" si="4"/>
        <v>6</v>
      </c>
      <c r="H52" s="208">
        <f t="shared" si="4"/>
        <v>7</v>
      </c>
      <c r="I52" s="208">
        <f t="shared" si="4"/>
        <v>8</v>
      </c>
      <c r="J52" s="208">
        <f t="shared" si="4"/>
        <v>9</v>
      </c>
      <c r="K52" s="208">
        <f t="shared" si="4"/>
        <v>10</v>
      </c>
      <c r="L52" s="208">
        <f t="shared" si="4"/>
        <v>11</v>
      </c>
      <c r="M52" s="208">
        <f t="shared" si="4"/>
        <v>12</v>
      </c>
      <c r="N52" s="208">
        <f t="shared" si="4"/>
        <v>13</v>
      </c>
      <c r="O52" s="208">
        <f t="shared" si="4"/>
        <v>14</v>
      </c>
      <c r="P52" s="208">
        <f t="shared" si="4"/>
        <v>15</v>
      </c>
      <c r="Q52" s="208">
        <f t="shared" si="4"/>
        <v>16</v>
      </c>
      <c r="R52" s="208">
        <f t="shared" si="4"/>
        <v>17</v>
      </c>
      <c r="S52" s="208">
        <f t="shared" si="4"/>
        <v>18</v>
      </c>
      <c r="T52" s="208">
        <f t="shared" si="4"/>
        <v>19</v>
      </c>
      <c r="U52" s="208">
        <f t="shared" si="4"/>
        <v>20</v>
      </c>
      <c r="V52" s="208">
        <f t="shared" si="4"/>
        <v>21</v>
      </c>
      <c r="W52" s="208">
        <f t="shared" si="4"/>
        <v>22</v>
      </c>
      <c r="X52" s="208">
        <f t="shared" si="4"/>
        <v>23</v>
      </c>
      <c r="Y52" s="208">
        <f t="shared" si="4"/>
        <v>24</v>
      </c>
      <c r="Z52" s="208">
        <f t="shared" si="4"/>
        <v>25</v>
      </c>
      <c r="AA52" s="208">
        <f t="shared" si="4"/>
        <v>26</v>
      </c>
      <c r="AB52" s="208">
        <f t="shared" si="4"/>
        <v>27</v>
      </c>
      <c r="AC52" s="208">
        <f t="shared" si="4"/>
        <v>28</v>
      </c>
      <c r="AD52" s="208">
        <f t="shared" si="4"/>
        <v>29</v>
      </c>
      <c r="AE52" s="208">
        <f t="shared" si="4"/>
        <v>30</v>
      </c>
      <c r="AF52" s="208">
        <f t="shared" si="4"/>
        <v>31</v>
      </c>
      <c r="AG52" s="208">
        <f t="shared" si="4"/>
        <v>32</v>
      </c>
      <c r="AH52" s="208">
        <f t="shared" si="4"/>
        <v>33</v>
      </c>
      <c r="AI52" s="208">
        <f t="shared" si="4"/>
        <v>34</v>
      </c>
      <c r="AJ52" s="208">
        <f t="shared" si="4"/>
        <v>35</v>
      </c>
      <c r="AK52" s="208">
        <f t="shared" si="4"/>
        <v>36</v>
      </c>
      <c r="AL52" s="208">
        <f t="shared" si="4"/>
        <v>37</v>
      </c>
      <c r="AM52" s="208">
        <f t="shared" si="4"/>
        <v>38</v>
      </c>
      <c r="AN52" s="208">
        <f t="shared" si="4"/>
        <v>39</v>
      </c>
      <c r="AO52" s="208">
        <f t="shared" si="4"/>
        <v>40</v>
      </c>
      <c r="AP52" s="208">
        <f>AP58</f>
        <v>41</v>
      </c>
    </row>
    <row r="53" spans="1:45" x14ac:dyDescent="0.2">
      <c r="A53" s="209" t="s">
        <v>320</v>
      </c>
      <c r="B53" s="336">
        <v>0</v>
      </c>
      <c r="C53" s="336">
        <f t="shared" ref="C53:AP53" si="5">B53+B54-B55</f>
        <v>0</v>
      </c>
      <c r="D53" s="336">
        <f t="shared" si="5"/>
        <v>0</v>
      </c>
      <c r="E53" s="336">
        <f t="shared" si="5"/>
        <v>0</v>
      </c>
      <c r="F53" s="336">
        <f t="shared" si="5"/>
        <v>0</v>
      </c>
      <c r="G53" s="336">
        <f t="shared" si="5"/>
        <v>0</v>
      </c>
      <c r="H53" s="336">
        <f t="shared" si="5"/>
        <v>0</v>
      </c>
      <c r="I53" s="336">
        <f t="shared" si="5"/>
        <v>0</v>
      </c>
      <c r="J53" s="336">
        <f t="shared" si="5"/>
        <v>0</v>
      </c>
      <c r="K53" s="336">
        <f t="shared" si="5"/>
        <v>0</v>
      </c>
      <c r="L53" s="336">
        <f t="shared" si="5"/>
        <v>0</v>
      </c>
      <c r="M53" s="336">
        <f t="shared" si="5"/>
        <v>0</v>
      </c>
      <c r="N53" s="336">
        <f t="shared" si="5"/>
        <v>0</v>
      </c>
      <c r="O53" s="336">
        <f t="shared" si="5"/>
        <v>0</v>
      </c>
      <c r="P53" s="336">
        <f t="shared" si="5"/>
        <v>0</v>
      </c>
      <c r="Q53" s="336">
        <f t="shared" si="5"/>
        <v>0</v>
      </c>
      <c r="R53" s="336">
        <f t="shared" si="5"/>
        <v>0</v>
      </c>
      <c r="S53" s="336">
        <f t="shared" si="5"/>
        <v>0</v>
      </c>
      <c r="T53" s="336">
        <f t="shared" si="5"/>
        <v>0</v>
      </c>
      <c r="U53" s="336">
        <f t="shared" si="5"/>
        <v>0</v>
      </c>
      <c r="V53" s="336">
        <f t="shared" si="5"/>
        <v>0</v>
      </c>
      <c r="W53" s="336">
        <f t="shared" si="5"/>
        <v>0</v>
      </c>
      <c r="X53" s="336">
        <f t="shared" si="5"/>
        <v>0</v>
      </c>
      <c r="Y53" s="336">
        <f t="shared" si="5"/>
        <v>0</v>
      </c>
      <c r="Z53" s="336">
        <f t="shared" si="5"/>
        <v>0</v>
      </c>
      <c r="AA53" s="336">
        <f t="shared" si="5"/>
        <v>0</v>
      </c>
      <c r="AB53" s="336">
        <f t="shared" si="5"/>
        <v>0</v>
      </c>
      <c r="AC53" s="336">
        <f t="shared" si="5"/>
        <v>0</v>
      </c>
      <c r="AD53" s="336">
        <f t="shared" si="5"/>
        <v>0</v>
      </c>
      <c r="AE53" s="336">
        <f t="shared" si="5"/>
        <v>0</v>
      </c>
      <c r="AF53" s="336">
        <f t="shared" si="5"/>
        <v>0</v>
      </c>
      <c r="AG53" s="336">
        <f t="shared" si="5"/>
        <v>0</v>
      </c>
      <c r="AH53" s="336">
        <f t="shared" si="5"/>
        <v>0</v>
      </c>
      <c r="AI53" s="336">
        <f t="shared" si="5"/>
        <v>0</v>
      </c>
      <c r="AJ53" s="336">
        <f t="shared" si="5"/>
        <v>0</v>
      </c>
      <c r="AK53" s="336">
        <f t="shared" si="5"/>
        <v>0</v>
      </c>
      <c r="AL53" s="336">
        <f t="shared" si="5"/>
        <v>0</v>
      </c>
      <c r="AM53" s="336">
        <f t="shared" si="5"/>
        <v>0</v>
      </c>
      <c r="AN53" s="336">
        <f t="shared" si="5"/>
        <v>0</v>
      </c>
      <c r="AO53" s="336">
        <f t="shared" si="5"/>
        <v>0</v>
      </c>
      <c r="AP53" s="336">
        <f t="shared" si="5"/>
        <v>0</v>
      </c>
    </row>
    <row r="54" spans="1:45" x14ac:dyDescent="0.2">
      <c r="A54" s="209" t="s">
        <v>319</v>
      </c>
      <c r="B54" s="336">
        <f>B25*B28*B43*1.18</f>
        <v>0</v>
      </c>
      <c r="C54" s="336">
        <v>0</v>
      </c>
      <c r="D54" s="336">
        <v>0</v>
      </c>
      <c r="E54" s="336">
        <v>0</v>
      </c>
      <c r="F54" s="336">
        <v>0</v>
      </c>
      <c r="G54" s="336">
        <v>0</v>
      </c>
      <c r="H54" s="336">
        <v>0</v>
      </c>
      <c r="I54" s="336">
        <v>0</v>
      </c>
      <c r="J54" s="336">
        <v>0</v>
      </c>
      <c r="K54" s="336">
        <v>0</v>
      </c>
      <c r="L54" s="336">
        <v>0</v>
      </c>
      <c r="M54" s="336">
        <v>0</v>
      </c>
      <c r="N54" s="336">
        <v>0</v>
      </c>
      <c r="O54" s="336">
        <v>0</v>
      </c>
      <c r="P54" s="336">
        <v>0</v>
      </c>
      <c r="Q54" s="336">
        <v>0</v>
      </c>
      <c r="R54" s="336">
        <v>0</v>
      </c>
      <c r="S54" s="336">
        <v>0</v>
      </c>
      <c r="T54" s="336">
        <v>0</v>
      </c>
      <c r="U54" s="336">
        <v>0</v>
      </c>
      <c r="V54" s="336">
        <v>0</v>
      </c>
      <c r="W54" s="336">
        <v>0</v>
      </c>
      <c r="X54" s="336">
        <v>0</v>
      </c>
      <c r="Y54" s="336">
        <v>0</v>
      </c>
      <c r="Z54" s="336">
        <v>0</v>
      </c>
      <c r="AA54" s="336">
        <v>0</v>
      </c>
      <c r="AB54" s="336">
        <v>0</v>
      </c>
      <c r="AC54" s="336">
        <v>0</v>
      </c>
      <c r="AD54" s="336">
        <v>0</v>
      </c>
      <c r="AE54" s="336">
        <v>0</v>
      </c>
      <c r="AF54" s="336">
        <v>0</v>
      </c>
      <c r="AG54" s="336">
        <v>0</v>
      </c>
      <c r="AH54" s="336">
        <v>0</v>
      </c>
      <c r="AI54" s="336">
        <v>0</v>
      </c>
      <c r="AJ54" s="336">
        <v>0</v>
      </c>
      <c r="AK54" s="336">
        <v>0</v>
      </c>
      <c r="AL54" s="336">
        <v>0</v>
      </c>
      <c r="AM54" s="336">
        <v>0</v>
      </c>
      <c r="AN54" s="336">
        <v>0</v>
      </c>
      <c r="AO54" s="336">
        <v>0</v>
      </c>
      <c r="AP54" s="336">
        <v>0</v>
      </c>
    </row>
    <row r="55" spans="1:45" x14ac:dyDescent="0.2">
      <c r="A55" s="209" t="s">
        <v>318</v>
      </c>
      <c r="B55" s="336">
        <f>$B$54/$B$40</f>
        <v>0</v>
      </c>
      <c r="C55" s="336">
        <f t="shared" ref="C55:AP55" si="6">IF(ROUND(C53,1)=0,0,B55+C54/$B$40)</f>
        <v>0</v>
      </c>
      <c r="D55" s="336">
        <f t="shared" si="6"/>
        <v>0</v>
      </c>
      <c r="E55" s="336">
        <f t="shared" si="6"/>
        <v>0</v>
      </c>
      <c r="F55" s="336">
        <f t="shared" si="6"/>
        <v>0</v>
      </c>
      <c r="G55" s="336">
        <f t="shared" si="6"/>
        <v>0</v>
      </c>
      <c r="H55" s="336">
        <f t="shared" si="6"/>
        <v>0</v>
      </c>
      <c r="I55" s="336">
        <f t="shared" si="6"/>
        <v>0</v>
      </c>
      <c r="J55" s="336">
        <f t="shared" si="6"/>
        <v>0</v>
      </c>
      <c r="K55" s="336">
        <f t="shared" si="6"/>
        <v>0</v>
      </c>
      <c r="L55" s="336">
        <f t="shared" si="6"/>
        <v>0</v>
      </c>
      <c r="M55" s="336">
        <f t="shared" si="6"/>
        <v>0</v>
      </c>
      <c r="N55" s="336">
        <f t="shared" si="6"/>
        <v>0</v>
      </c>
      <c r="O55" s="336">
        <f t="shared" si="6"/>
        <v>0</v>
      </c>
      <c r="P55" s="336">
        <f t="shared" si="6"/>
        <v>0</v>
      </c>
      <c r="Q55" s="336">
        <f t="shared" si="6"/>
        <v>0</v>
      </c>
      <c r="R55" s="336">
        <f t="shared" si="6"/>
        <v>0</v>
      </c>
      <c r="S55" s="336">
        <f t="shared" si="6"/>
        <v>0</v>
      </c>
      <c r="T55" s="336">
        <f t="shared" si="6"/>
        <v>0</v>
      </c>
      <c r="U55" s="336">
        <f t="shared" si="6"/>
        <v>0</v>
      </c>
      <c r="V55" s="336">
        <f t="shared" si="6"/>
        <v>0</v>
      </c>
      <c r="W55" s="336">
        <f t="shared" si="6"/>
        <v>0</v>
      </c>
      <c r="X55" s="336">
        <f t="shared" si="6"/>
        <v>0</v>
      </c>
      <c r="Y55" s="336">
        <f t="shared" si="6"/>
        <v>0</v>
      </c>
      <c r="Z55" s="336">
        <f t="shared" si="6"/>
        <v>0</v>
      </c>
      <c r="AA55" s="336">
        <f t="shared" si="6"/>
        <v>0</v>
      </c>
      <c r="AB55" s="336">
        <f t="shared" si="6"/>
        <v>0</v>
      </c>
      <c r="AC55" s="336">
        <f t="shared" si="6"/>
        <v>0</v>
      </c>
      <c r="AD55" s="336">
        <f t="shared" si="6"/>
        <v>0</v>
      </c>
      <c r="AE55" s="336">
        <f t="shared" si="6"/>
        <v>0</v>
      </c>
      <c r="AF55" s="336">
        <f t="shared" si="6"/>
        <v>0</v>
      </c>
      <c r="AG55" s="336">
        <f t="shared" si="6"/>
        <v>0</v>
      </c>
      <c r="AH55" s="336">
        <f t="shared" si="6"/>
        <v>0</v>
      </c>
      <c r="AI55" s="336">
        <f t="shared" si="6"/>
        <v>0</v>
      </c>
      <c r="AJ55" s="336">
        <f t="shared" si="6"/>
        <v>0</v>
      </c>
      <c r="AK55" s="336">
        <f t="shared" si="6"/>
        <v>0</v>
      </c>
      <c r="AL55" s="336">
        <f t="shared" si="6"/>
        <v>0</v>
      </c>
      <c r="AM55" s="336">
        <f t="shared" si="6"/>
        <v>0</v>
      </c>
      <c r="AN55" s="336">
        <f t="shared" si="6"/>
        <v>0</v>
      </c>
      <c r="AO55" s="336">
        <f t="shared" si="6"/>
        <v>0</v>
      </c>
      <c r="AP55" s="336">
        <f t="shared" si="6"/>
        <v>0</v>
      </c>
    </row>
    <row r="56" spans="1:45" ht="16.5" thickBot="1" x14ac:dyDescent="0.25">
      <c r="A56" s="210" t="s">
        <v>317</v>
      </c>
      <c r="B56" s="211">
        <f t="shared" ref="B56:AP56" si="7">AVERAGE(SUM(B53:B54),(SUM(B53:B54)-B55))*$B$42</f>
        <v>0</v>
      </c>
      <c r="C56" s="211">
        <f t="shared" si="7"/>
        <v>0</v>
      </c>
      <c r="D56" s="211">
        <f t="shared" si="7"/>
        <v>0</v>
      </c>
      <c r="E56" s="211">
        <f t="shared" si="7"/>
        <v>0</v>
      </c>
      <c r="F56" s="211">
        <f t="shared" si="7"/>
        <v>0</v>
      </c>
      <c r="G56" s="211">
        <f t="shared" si="7"/>
        <v>0</v>
      </c>
      <c r="H56" s="211">
        <f t="shared" si="7"/>
        <v>0</v>
      </c>
      <c r="I56" s="211">
        <f t="shared" si="7"/>
        <v>0</v>
      </c>
      <c r="J56" s="211">
        <f t="shared" si="7"/>
        <v>0</v>
      </c>
      <c r="K56" s="211">
        <f t="shared" si="7"/>
        <v>0</v>
      </c>
      <c r="L56" s="211">
        <f t="shared" si="7"/>
        <v>0</v>
      </c>
      <c r="M56" s="211">
        <f t="shared" si="7"/>
        <v>0</v>
      </c>
      <c r="N56" s="211">
        <f t="shared" si="7"/>
        <v>0</v>
      </c>
      <c r="O56" s="211">
        <f t="shared" si="7"/>
        <v>0</v>
      </c>
      <c r="P56" s="211">
        <f t="shared" si="7"/>
        <v>0</v>
      </c>
      <c r="Q56" s="211">
        <f t="shared" si="7"/>
        <v>0</v>
      </c>
      <c r="R56" s="211">
        <f t="shared" si="7"/>
        <v>0</v>
      </c>
      <c r="S56" s="211">
        <f t="shared" si="7"/>
        <v>0</v>
      </c>
      <c r="T56" s="211">
        <f t="shared" si="7"/>
        <v>0</v>
      </c>
      <c r="U56" s="211">
        <f t="shared" si="7"/>
        <v>0</v>
      </c>
      <c r="V56" s="211">
        <f t="shared" si="7"/>
        <v>0</v>
      </c>
      <c r="W56" s="211">
        <f t="shared" si="7"/>
        <v>0</v>
      </c>
      <c r="X56" s="211">
        <f t="shared" si="7"/>
        <v>0</v>
      </c>
      <c r="Y56" s="211">
        <f t="shared" si="7"/>
        <v>0</v>
      </c>
      <c r="Z56" s="211">
        <f t="shared" si="7"/>
        <v>0</v>
      </c>
      <c r="AA56" s="211">
        <f t="shared" si="7"/>
        <v>0</v>
      </c>
      <c r="AB56" s="211">
        <f t="shared" si="7"/>
        <v>0</v>
      </c>
      <c r="AC56" s="211">
        <f t="shared" si="7"/>
        <v>0</v>
      </c>
      <c r="AD56" s="211">
        <f t="shared" si="7"/>
        <v>0</v>
      </c>
      <c r="AE56" s="211">
        <f t="shared" si="7"/>
        <v>0</v>
      </c>
      <c r="AF56" s="211">
        <f t="shared" si="7"/>
        <v>0</v>
      </c>
      <c r="AG56" s="211">
        <f t="shared" si="7"/>
        <v>0</v>
      </c>
      <c r="AH56" s="211">
        <f t="shared" si="7"/>
        <v>0</v>
      </c>
      <c r="AI56" s="211">
        <f t="shared" si="7"/>
        <v>0</v>
      </c>
      <c r="AJ56" s="211">
        <f t="shared" si="7"/>
        <v>0</v>
      </c>
      <c r="AK56" s="211">
        <f t="shared" si="7"/>
        <v>0</v>
      </c>
      <c r="AL56" s="211">
        <f t="shared" si="7"/>
        <v>0</v>
      </c>
      <c r="AM56" s="211">
        <f t="shared" si="7"/>
        <v>0</v>
      </c>
      <c r="AN56" s="211">
        <f t="shared" si="7"/>
        <v>0</v>
      </c>
      <c r="AO56" s="211">
        <f t="shared" si="7"/>
        <v>0</v>
      </c>
      <c r="AP56" s="211">
        <f t="shared" si="7"/>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8">C58+1</f>
        <v>3</v>
      </c>
      <c r="E58" s="208">
        <f t="shared" si="8"/>
        <v>4</v>
      </c>
      <c r="F58" s="208">
        <f t="shared" si="8"/>
        <v>5</v>
      </c>
      <c r="G58" s="208">
        <f t="shared" si="8"/>
        <v>6</v>
      </c>
      <c r="H58" s="208">
        <f t="shared" si="8"/>
        <v>7</v>
      </c>
      <c r="I58" s="208">
        <f t="shared" si="8"/>
        <v>8</v>
      </c>
      <c r="J58" s="208">
        <f t="shared" si="8"/>
        <v>9</v>
      </c>
      <c r="K58" s="208">
        <f t="shared" si="8"/>
        <v>10</v>
      </c>
      <c r="L58" s="208">
        <f t="shared" si="8"/>
        <v>11</v>
      </c>
      <c r="M58" s="208">
        <f t="shared" si="8"/>
        <v>12</v>
      </c>
      <c r="N58" s="208">
        <f t="shared" si="8"/>
        <v>13</v>
      </c>
      <c r="O58" s="208">
        <f t="shared" si="8"/>
        <v>14</v>
      </c>
      <c r="P58" s="208">
        <f t="shared" si="8"/>
        <v>15</v>
      </c>
      <c r="Q58" s="208">
        <f t="shared" si="8"/>
        <v>16</v>
      </c>
      <c r="R58" s="208">
        <f t="shared" si="8"/>
        <v>17</v>
      </c>
      <c r="S58" s="208">
        <f t="shared" si="8"/>
        <v>18</v>
      </c>
      <c r="T58" s="208">
        <f t="shared" si="8"/>
        <v>19</v>
      </c>
      <c r="U58" s="208">
        <f t="shared" si="8"/>
        <v>20</v>
      </c>
      <c r="V58" s="208">
        <f t="shared" si="8"/>
        <v>21</v>
      </c>
      <c r="W58" s="208">
        <f t="shared" si="8"/>
        <v>22</v>
      </c>
      <c r="X58" s="208">
        <f t="shared" si="8"/>
        <v>23</v>
      </c>
      <c r="Y58" s="208">
        <f t="shared" si="8"/>
        <v>24</v>
      </c>
      <c r="Z58" s="208">
        <f t="shared" si="8"/>
        <v>25</v>
      </c>
      <c r="AA58" s="208">
        <f t="shared" si="8"/>
        <v>26</v>
      </c>
      <c r="AB58" s="208">
        <f t="shared" si="8"/>
        <v>27</v>
      </c>
      <c r="AC58" s="208">
        <f t="shared" si="8"/>
        <v>28</v>
      </c>
      <c r="AD58" s="208">
        <f t="shared" si="8"/>
        <v>29</v>
      </c>
      <c r="AE58" s="208">
        <f t="shared" si="8"/>
        <v>30</v>
      </c>
      <c r="AF58" s="208">
        <f t="shared" si="8"/>
        <v>31</v>
      </c>
      <c r="AG58" s="208">
        <f t="shared" si="8"/>
        <v>32</v>
      </c>
      <c r="AH58" s="208">
        <f t="shared" si="8"/>
        <v>33</v>
      </c>
      <c r="AI58" s="208">
        <f t="shared" si="8"/>
        <v>34</v>
      </c>
      <c r="AJ58" s="208">
        <f t="shared" si="8"/>
        <v>35</v>
      </c>
      <c r="AK58" s="208">
        <f t="shared" si="8"/>
        <v>36</v>
      </c>
      <c r="AL58" s="208">
        <f t="shared" si="8"/>
        <v>37</v>
      </c>
      <c r="AM58" s="208">
        <f t="shared" si="8"/>
        <v>38</v>
      </c>
      <c r="AN58" s="208">
        <f t="shared" si="8"/>
        <v>39</v>
      </c>
      <c r="AO58" s="208">
        <f t="shared" si="8"/>
        <v>40</v>
      </c>
      <c r="AP58" s="208">
        <f t="shared" si="8"/>
        <v>41</v>
      </c>
    </row>
    <row r="59" spans="1:45" ht="14.25" x14ac:dyDescent="0.2">
      <c r="A59" s="215" t="s">
        <v>316</v>
      </c>
      <c r="B59" s="337">
        <f t="shared" ref="B59:AP59" si="9">B50*$B$28</f>
        <v>296524.34999999998</v>
      </c>
      <c r="C59" s="337">
        <f t="shared" si="9"/>
        <v>0</v>
      </c>
      <c r="D59" s="337">
        <f t="shared" si="9"/>
        <v>0</v>
      </c>
      <c r="E59" s="337">
        <f t="shared" si="9"/>
        <v>0</v>
      </c>
      <c r="F59" s="337">
        <f t="shared" si="9"/>
        <v>0</v>
      </c>
      <c r="G59" s="337">
        <f t="shared" si="9"/>
        <v>0</v>
      </c>
      <c r="H59" s="337">
        <f t="shared" si="9"/>
        <v>0</v>
      </c>
      <c r="I59" s="337">
        <f t="shared" si="9"/>
        <v>0</v>
      </c>
      <c r="J59" s="337">
        <f t="shared" si="9"/>
        <v>0</v>
      </c>
      <c r="K59" s="337">
        <f t="shared" si="9"/>
        <v>0</v>
      </c>
      <c r="L59" s="337">
        <f t="shared" si="9"/>
        <v>0</v>
      </c>
      <c r="M59" s="337">
        <f t="shared" si="9"/>
        <v>0</v>
      </c>
      <c r="N59" s="337">
        <f t="shared" si="9"/>
        <v>0</v>
      </c>
      <c r="O59" s="337">
        <f t="shared" si="9"/>
        <v>0</v>
      </c>
      <c r="P59" s="337">
        <f t="shared" si="9"/>
        <v>0</v>
      </c>
      <c r="Q59" s="337">
        <f t="shared" si="9"/>
        <v>0</v>
      </c>
      <c r="R59" s="337">
        <f t="shared" si="9"/>
        <v>0</v>
      </c>
      <c r="S59" s="337">
        <f t="shared" si="9"/>
        <v>0</v>
      </c>
      <c r="T59" s="337">
        <f t="shared" si="9"/>
        <v>0</v>
      </c>
      <c r="U59" s="337">
        <f t="shared" si="9"/>
        <v>0</v>
      </c>
      <c r="V59" s="337">
        <f t="shared" si="9"/>
        <v>0</v>
      </c>
      <c r="W59" s="337">
        <f t="shared" si="9"/>
        <v>0</v>
      </c>
      <c r="X59" s="337">
        <f t="shared" si="9"/>
        <v>0</v>
      </c>
      <c r="Y59" s="337">
        <f t="shared" si="9"/>
        <v>0</v>
      </c>
      <c r="Z59" s="337">
        <f t="shared" si="9"/>
        <v>0</v>
      </c>
      <c r="AA59" s="337">
        <f t="shared" si="9"/>
        <v>0</v>
      </c>
      <c r="AB59" s="337">
        <f t="shared" si="9"/>
        <v>0</v>
      </c>
      <c r="AC59" s="337">
        <f t="shared" si="9"/>
        <v>0</v>
      </c>
      <c r="AD59" s="337">
        <f t="shared" si="9"/>
        <v>0</v>
      </c>
      <c r="AE59" s="337">
        <f t="shared" si="9"/>
        <v>0</v>
      </c>
      <c r="AF59" s="337">
        <f t="shared" si="9"/>
        <v>0</v>
      </c>
      <c r="AG59" s="337">
        <f t="shared" si="9"/>
        <v>0</v>
      </c>
      <c r="AH59" s="337">
        <f t="shared" si="9"/>
        <v>0</v>
      </c>
      <c r="AI59" s="337">
        <f t="shared" si="9"/>
        <v>0</v>
      </c>
      <c r="AJ59" s="337">
        <f t="shared" si="9"/>
        <v>0</v>
      </c>
      <c r="AK59" s="337">
        <f t="shared" si="9"/>
        <v>0</v>
      </c>
      <c r="AL59" s="337">
        <f t="shared" si="9"/>
        <v>0</v>
      </c>
      <c r="AM59" s="337">
        <f t="shared" si="9"/>
        <v>0</v>
      </c>
      <c r="AN59" s="337">
        <f t="shared" si="9"/>
        <v>0</v>
      </c>
      <c r="AO59" s="337">
        <f t="shared" si="9"/>
        <v>0</v>
      </c>
      <c r="AP59" s="337">
        <f t="shared" si="9"/>
        <v>0</v>
      </c>
    </row>
    <row r="60" spans="1:45" x14ac:dyDescent="0.2">
      <c r="A60" s="209" t="s">
        <v>315</v>
      </c>
      <c r="B60" s="336">
        <f t="shared" ref="B60:Z60" si="10">SUM(B61:B65)</f>
        <v>0</v>
      </c>
      <c r="C60" s="336">
        <f t="shared" si="10"/>
        <v>0</v>
      </c>
      <c r="D60" s="336">
        <f>SUM(D61:D65)</f>
        <v>0</v>
      </c>
      <c r="E60" s="336">
        <f t="shared" si="10"/>
        <v>0</v>
      </c>
      <c r="F60" s="336">
        <f t="shared" si="10"/>
        <v>0</v>
      </c>
      <c r="G60" s="336">
        <f t="shared" si="10"/>
        <v>0</v>
      </c>
      <c r="H60" s="336">
        <f t="shared" si="10"/>
        <v>0</v>
      </c>
      <c r="I60" s="336">
        <f t="shared" si="10"/>
        <v>0</v>
      </c>
      <c r="J60" s="336">
        <f t="shared" si="10"/>
        <v>0</v>
      </c>
      <c r="K60" s="336">
        <f t="shared" si="10"/>
        <v>0</v>
      </c>
      <c r="L60" s="336">
        <f t="shared" si="10"/>
        <v>0</v>
      </c>
      <c r="M60" s="336">
        <f t="shared" si="10"/>
        <v>0</v>
      </c>
      <c r="N60" s="336">
        <f t="shared" si="10"/>
        <v>-17256.540027564148</v>
      </c>
      <c r="O60" s="336">
        <f t="shared" si="10"/>
        <v>-18019.434058672294</v>
      </c>
      <c r="P60" s="336">
        <f t="shared" si="10"/>
        <v>-18816.054856662493</v>
      </c>
      <c r="Q60" s="336">
        <f t="shared" si="10"/>
        <v>-19647.893447493701</v>
      </c>
      <c r="R60" s="336">
        <f t="shared" si="10"/>
        <v>-20516.506773861518</v>
      </c>
      <c r="S60" s="336">
        <f t="shared" si="10"/>
        <v>-21423.520609309864</v>
      </c>
      <c r="T60" s="336">
        <f t="shared" si="10"/>
        <v>-22370.632601172572</v>
      </c>
      <c r="U60" s="336">
        <f t="shared" si="10"/>
        <v>-23359.615448040338</v>
      </c>
      <c r="V60" s="336">
        <f t="shared" si="10"/>
        <v>-24392.320217700191</v>
      </c>
      <c r="W60" s="336">
        <f t="shared" si="10"/>
        <v>-25470.679811757749</v>
      </c>
      <c r="X60" s="336">
        <f t="shared" si="10"/>
        <v>-26596.712583426845</v>
      </c>
      <c r="Y60" s="336">
        <f t="shared" si="10"/>
        <v>-27772.526115257966</v>
      </c>
      <c r="Z60" s="336">
        <f t="shared" si="10"/>
        <v>-29000.321163876193</v>
      </c>
      <c r="AA60" s="336">
        <f t="shared" ref="AA60:AP60" si="11">SUM(AA61:AA65)</f>
        <v>-30282.39577911199</v>
      </c>
      <c r="AB60" s="336">
        <f t="shared" si="11"/>
        <v>-31621.149605234579</v>
      </c>
      <c r="AC60" s="336">
        <f t="shared" si="11"/>
        <v>-33019.088372338425</v>
      </c>
      <c r="AD60" s="336">
        <f t="shared" si="11"/>
        <v>-34478.828586289361</v>
      </c>
      <c r="AE60" s="336">
        <f t="shared" si="11"/>
        <v>-36003.102426008445</v>
      </c>
      <c r="AF60" s="336">
        <f t="shared" si="11"/>
        <v>-37594.762857259688</v>
      </c>
      <c r="AG60" s="336">
        <f t="shared" si="11"/>
        <v>-39256.788972513226</v>
      </c>
      <c r="AH60" s="336">
        <f t="shared" si="11"/>
        <v>-40992.291566878317</v>
      </c>
      <c r="AI60" s="336">
        <f t="shared" si="11"/>
        <v>-42804.51896054262</v>
      </c>
      <c r="AJ60" s="336">
        <f t="shared" si="11"/>
        <v>-44696.863078615686</v>
      </c>
      <c r="AK60" s="336">
        <f t="shared" si="11"/>
        <v>-46672.865799756029</v>
      </c>
      <c r="AL60" s="336">
        <f t="shared" si="11"/>
        <v>-48736.225585464563</v>
      </c>
      <c r="AM60" s="336">
        <f t="shared" si="11"/>
        <v>-50890.804402452319</v>
      </c>
      <c r="AN60" s="336">
        <f t="shared" si="11"/>
        <v>-53140.634951039028</v>
      </c>
      <c r="AO60" s="336">
        <f t="shared" si="11"/>
        <v>-55489.928213111751</v>
      </c>
      <c r="AP60" s="336">
        <f t="shared" si="11"/>
        <v>-57943.08133377113</v>
      </c>
    </row>
    <row r="61" spans="1:45" x14ac:dyDescent="0.2">
      <c r="A61" s="216" t="s">
        <v>314</v>
      </c>
      <c r="B61" s="336"/>
      <c r="C61" s="336">
        <f>-IF(C$47&lt;=$B$30,0,$B$29*(1+C$49)*$B$28)</f>
        <v>0</v>
      </c>
      <c r="D61" s="336">
        <f>-IF(D$47&lt;=$B$30,0,$B$29*(1+D$49)*$B$28)</f>
        <v>0</v>
      </c>
      <c r="E61" s="336">
        <f t="shared" ref="E61:AP61" si="12">-IF(E$47&lt;=$B$30,0,$B$29*(1+E$49)*$B$28)</f>
        <v>0</v>
      </c>
      <c r="F61" s="336">
        <f t="shared" si="12"/>
        <v>0</v>
      </c>
      <c r="G61" s="336">
        <f t="shared" si="12"/>
        <v>0</v>
      </c>
      <c r="H61" s="336">
        <f t="shared" si="12"/>
        <v>0</v>
      </c>
      <c r="I61" s="336">
        <f t="shared" si="12"/>
        <v>0</v>
      </c>
      <c r="J61" s="336">
        <f t="shared" si="12"/>
        <v>0</v>
      </c>
      <c r="K61" s="336">
        <f t="shared" si="12"/>
        <v>0</v>
      </c>
      <c r="L61" s="336">
        <f t="shared" si="12"/>
        <v>0</v>
      </c>
      <c r="M61" s="336">
        <f t="shared" si="12"/>
        <v>0</v>
      </c>
      <c r="N61" s="336">
        <f t="shared" si="12"/>
        <v>-17256.540027564148</v>
      </c>
      <c r="O61" s="336">
        <f t="shared" si="12"/>
        <v>-18019.434058672294</v>
      </c>
      <c r="P61" s="336">
        <f t="shared" si="12"/>
        <v>-18816.054856662493</v>
      </c>
      <c r="Q61" s="336">
        <f t="shared" si="12"/>
        <v>-19647.893447493701</v>
      </c>
      <c r="R61" s="336">
        <f t="shared" si="12"/>
        <v>-20516.506773861518</v>
      </c>
      <c r="S61" s="336">
        <f t="shared" si="12"/>
        <v>-21423.520609309864</v>
      </c>
      <c r="T61" s="336">
        <f t="shared" si="12"/>
        <v>-22370.632601172572</v>
      </c>
      <c r="U61" s="336">
        <f t="shared" si="12"/>
        <v>-23359.615448040338</v>
      </c>
      <c r="V61" s="336">
        <f t="shared" si="12"/>
        <v>-24392.320217700191</v>
      </c>
      <c r="W61" s="336">
        <f t="shared" si="12"/>
        <v>-25470.679811757749</v>
      </c>
      <c r="X61" s="336">
        <f t="shared" si="12"/>
        <v>-26596.712583426845</v>
      </c>
      <c r="Y61" s="336">
        <f t="shared" si="12"/>
        <v>-27772.526115257966</v>
      </c>
      <c r="Z61" s="336">
        <f t="shared" si="12"/>
        <v>-29000.321163876193</v>
      </c>
      <c r="AA61" s="336">
        <f t="shared" si="12"/>
        <v>-30282.39577911199</v>
      </c>
      <c r="AB61" s="336">
        <f t="shared" si="12"/>
        <v>-31621.149605234579</v>
      </c>
      <c r="AC61" s="336">
        <f t="shared" si="12"/>
        <v>-33019.088372338425</v>
      </c>
      <c r="AD61" s="336">
        <f t="shared" si="12"/>
        <v>-34478.828586289361</v>
      </c>
      <c r="AE61" s="336">
        <f t="shared" si="12"/>
        <v>-36003.102426008445</v>
      </c>
      <c r="AF61" s="336">
        <f t="shared" si="12"/>
        <v>-37594.762857259688</v>
      </c>
      <c r="AG61" s="336">
        <f t="shared" si="12"/>
        <v>-39256.788972513226</v>
      </c>
      <c r="AH61" s="336">
        <f t="shared" si="12"/>
        <v>-40992.291566878317</v>
      </c>
      <c r="AI61" s="336">
        <f t="shared" si="12"/>
        <v>-42804.51896054262</v>
      </c>
      <c r="AJ61" s="336">
        <f t="shared" si="12"/>
        <v>-44696.863078615686</v>
      </c>
      <c r="AK61" s="336">
        <f t="shared" si="12"/>
        <v>-46672.865799756029</v>
      </c>
      <c r="AL61" s="336">
        <f t="shared" si="12"/>
        <v>-48736.225585464563</v>
      </c>
      <c r="AM61" s="336">
        <f t="shared" si="12"/>
        <v>-50890.804402452319</v>
      </c>
      <c r="AN61" s="336">
        <f t="shared" si="12"/>
        <v>-53140.634951039028</v>
      </c>
      <c r="AO61" s="336">
        <f t="shared" si="12"/>
        <v>-55489.928213111751</v>
      </c>
      <c r="AP61" s="336">
        <f t="shared" si="12"/>
        <v>-57943.08133377113</v>
      </c>
    </row>
    <row r="62" spans="1:45" x14ac:dyDescent="0.2">
      <c r="A62" s="216" t="str">
        <f>A32</f>
        <v>Прочие расходы при эксплуатации объекта, руб. без НДС</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6"/>
      <c r="AL62" s="336"/>
      <c r="AM62" s="336"/>
      <c r="AN62" s="336"/>
      <c r="AO62" s="336"/>
      <c r="AP62" s="336"/>
    </row>
    <row r="63" spans="1:45" x14ac:dyDescent="0.2">
      <c r="A63" s="216" t="s">
        <v>534</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6"/>
      <c r="AL63" s="336"/>
      <c r="AM63" s="336"/>
      <c r="AN63" s="336"/>
      <c r="AO63" s="336"/>
      <c r="AP63" s="336"/>
    </row>
    <row r="64" spans="1:45" x14ac:dyDescent="0.2">
      <c r="A64" s="216" t="s">
        <v>534</v>
      </c>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6"/>
      <c r="AL64" s="336"/>
      <c r="AM64" s="336"/>
      <c r="AN64" s="336"/>
      <c r="AO64" s="336"/>
      <c r="AP64" s="336"/>
    </row>
    <row r="65" spans="1:46" ht="31.5" x14ac:dyDescent="0.2">
      <c r="A65" s="216" t="s">
        <v>538</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6"/>
      <c r="AL65" s="336"/>
      <c r="AM65" s="336"/>
      <c r="AN65" s="336"/>
      <c r="AO65" s="336"/>
      <c r="AP65" s="336"/>
    </row>
    <row r="66" spans="1:46" ht="28.5" x14ac:dyDescent="0.2">
      <c r="A66" s="217" t="s">
        <v>312</v>
      </c>
      <c r="B66" s="337">
        <f t="shared" ref="B66:AO66" si="13">B59+B60</f>
        <v>296524.34999999998</v>
      </c>
      <c r="C66" s="337">
        <f t="shared" si="13"/>
        <v>0</v>
      </c>
      <c r="D66" s="337">
        <f t="shared" si="13"/>
        <v>0</v>
      </c>
      <c r="E66" s="337">
        <f t="shared" si="13"/>
        <v>0</v>
      </c>
      <c r="F66" s="337">
        <f t="shared" si="13"/>
        <v>0</v>
      </c>
      <c r="G66" s="337">
        <f t="shared" si="13"/>
        <v>0</v>
      </c>
      <c r="H66" s="337">
        <f t="shared" si="13"/>
        <v>0</v>
      </c>
      <c r="I66" s="337">
        <f t="shared" si="13"/>
        <v>0</v>
      </c>
      <c r="J66" s="337">
        <f t="shared" si="13"/>
        <v>0</v>
      </c>
      <c r="K66" s="337">
        <f t="shared" si="13"/>
        <v>0</v>
      </c>
      <c r="L66" s="337">
        <f t="shared" si="13"/>
        <v>0</v>
      </c>
      <c r="M66" s="337">
        <f t="shared" si="13"/>
        <v>0</v>
      </c>
      <c r="N66" s="337">
        <f t="shared" si="13"/>
        <v>-17256.540027564148</v>
      </c>
      <c r="O66" s="337">
        <f t="shared" si="13"/>
        <v>-18019.434058672294</v>
      </c>
      <c r="P66" s="337">
        <f t="shared" si="13"/>
        <v>-18816.054856662493</v>
      </c>
      <c r="Q66" s="337">
        <f t="shared" si="13"/>
        <v>-19647.893447493701</v>
      </c>
      <c r="R66" s="337">
        <f t="shared" si="13"/>
        <v>-20516.506773861518</v>
      </c>
      <c r="S66" s="337">
        <f t="shared" si="13"/>
        <v>-21423.520609309864</v>
      </c>
      <c r="T66" s="337">
        <f t="shared" si="13"/>
        <v>-22370.632601172572</v>
      </c>
      <c r="U66" s="337">
        <f t="shared" si="13"/>
        <v>-23359.615448040338</v>
      </c>
      <c r="V66" s="337">
        <f t="shared" si="13"/>
        <v>-24392.320217700191</v>
      </c>
      <c r="W66" s="337">
        <f t="shared" si="13"/>
        <v>-25470.679811757749</v>
      </c>
      <c r="X66" s="337">
        <f t="shared" si="13"/>
        <v>-26596.712583426845</v>
      </c>
      <c r="Y66" s="337">
        <f t="shared" si="13"/>
        <v>-27772.526115257966</v>
      </c>
      <c r="Z66" s="337">
        <f t="shared" si="13"/>
        <v>-29000.321163876193</v>
      </c>
      <c r="AA66" s="337">
        <f t="shared" si="13"/>
        <v>-30282.39577911199</v>
      </c>
      <c r="AB66" s="337">
        <f t="shared" si="13"/>
        <v>-31621.149605234579</v>
      </c>
      <c r="AC66" s="337">
        <f t="shared" si="13"/>
        <v>-33019.088372338425</v>
      </c>
      <c r="AD66" s="337">
        <f t="shared" si="13"/>
        <v>-34478.828586289361</v>
      </c>
      <c r="AE66" s="337">
        <f t="shared" si="13"/>
        <v>-36003.102426008445</v>
      </c>
      <c r="AF66" s="337">
        <f t="shared" si="13"/>
        <v>-37594.762857259688</v>
      </c>
      <c r="AG66" s="337">
        <f t="shared" si="13"/>
        <v>-39256.788972513226</v>
      </c>
      <c r="AH66" s="337">
        <f t="shared" si="13"/>
        <v>-40992.291566878317</v>
      </c>
      <c r="AI66" s="337">
        <f t="shared" si="13"/>
        <v>-42804.51896054262</v>
      </c>
      <c r="AJ66" s="337">
        <f t="shared" si="13"/>
        <v>-44696.863078615686</v>
      </c>
      <c r="AK66" s="337">
        <f t="shared" si="13"/>
        <v>-46672.865799756029</v>
      </c>
      <c r="AL66" s="337">
        <f t="shared" si="13"/>
        <v>-48736.225585464563</v>
      </c>
      <c r="AM66" s="337">
        <f t="shared" si="13"/>
        <v>-50890.804402452319</v>
      </c>
      <c r="AN66" s="337">
        <f t="shared" si="13"/>
        <v>-53140.634951039028</v>
      </c>
      <c r="AO66" s="337">
        <f t="shared" si="13"/>
        <v>-55489.928213111751</v>
      </c>
      <c r="AP66" s="337">
        <f>AP59+AP60</f>
        <v>-57943.08133377113</v>
      </c>
    </row>
    <row r="67" spans="1:46" x14ac:dyDescent="0.2">
      <c r="A67" s="216" t="s">
        <v>307</v>
      </c>
      <c r="B67" s="218"/>
      <c r="C67" s="336"/>
      <c r="D67" s="336"/>
      <c r="E67" s="336"/>
      <c r="F67" s="336"/>
      <c r="G67" s="336"/>
      <c r="H67" s="336"/>
      <c r="I67" s="336">
        <f>-($B$25)*$B$28/$B$27</f>
        <v>-7223.8191428571436</v>
      </c>
      <c r="J67" s="336">
        <f t="shared" ref="J67:AP67" si="14">I67</f>
        <v>-7223.8191428571436</v>
      </c>
      <c r="K67" s="336">
        <f t="shared" si="14"/>
        <v>-7223.8191428571436</v>
      </c>
      <c r="L67" s="336">
        <f t="shared" si="14"/>
        <v>-7223.8191428571436</v>
      </c>
      <c r="M67" s="336">
        <f t="shared" si="14"/>
        <v>-7223.8191428571436</v>
      </c>
      <c r="N67" s="336">
        <f t="shared" si="14"/>
        <v>-7223.8191428571436</v>
      </c>
      <c r="O67" s="336">
        <f t="shared" si="14"/>
        <v>-7223.8191428571436</v>
      </c>
      <c r="P67" s="336">
        <f t="shared" si="14"/>
        <v>-7223.8191428571436</v>
      </c>
      <c r="Q67" s="336">
        <f t="shared" si="14"/>
        <v>-7223.8191428571436</v>
      </c>
      <c r="R67" s="336">
        <f t="shared" si="14"/>
        <v>-7223.8191428571436</v>
      </c>
      <c r="S67" s="336">
        <f t="shared" si="14"/>
        <v>-7223.8191428571436</v>
      </c>
      <c r="T67" s="336">
        <f t="shared" si="14"/>
        <v>-7223.8191428571436</v>
      </c>
      <c r="U67" s="336">
        <f t="shared" si="14"/>
        <v>-7223.8191428571436</v>
      </c>
      <c r="V67" s="336">
        <f t="shared" si="14"/>
        <v>-7223.8191428571436</v>
      </c>
      <c r="W67" s="336">
        <f t="shared" si="14"/>
        <v>-7223.8191428571436</v>
      </c>
      <c r="X67" s="336">
        <f t="shared" si="14"/>
        <v>-7223.8191428571436</v>
      </c>
      <c r="Y67" s="336">
        <f t="shared" si="14"/>
        <v>-7223.8191428571436</v>
      </c>
      <c r="Z67" s="336">
        <f t="shared" si="14"/>
        <v>-7223.8191428571436</v>
      </c>
      <c r="AA67" s="336">
        <f t="shared" si="14"/>
        <v>-7223.8191428571436</v>
      </c>
      <c r="AB67" s="336">
        <f t="shared" si="14"/>
        <v>-7223.8191428571436</v>
      </c>
      <c r="AC67" s="336">
        <f t="shared" si="14"/>
        <v>-7223.8191428571436</v>
      </c>
      <c r="AD67" s="336">
        <f t="shared" si="14"/>
        <v>-7223.8191428571436</v>
      </c>
      <c r="AE67" s="336">
        <f t="shared" si="14"/>
        <v>-7223.8191428571436</v>
      </c>
      <c r="AF67" s="336">
        <f t="shared" si="14"/>
        <v>-7223.8191428571436</v>
      </c>
      <c r="AG67" s="336">
        <f t="shared" si="14"/>
        <v>-7223.8191428571436</v>
      </c>
      <c r="AH67" s="336">
        <f t="shared" si="14"/>
        <v>-7223.8191428571436</v>
      </c>
      <c r="AI67" s="336">
        <f t="shared" si="14"/>
        <v>-7223.8191428571436</v>
      </c>
      <c r="AJ67" s="336">
        <f t="shared" si="14"/>
        <v>-7223.8191428571436</v>
      </c>
      <c r="AK67" s="336">
        <f t="shared" si="14"/>
        <v>-7223.8191428571436</v>
      </c>
      <c r="AL67" s="336">
        <f t="shared" si="14"/>
        <v>-7223.8191428571436</v>
      </c>
      <c r="AM67" s="336">
        <f t="shared" si="14"/>
        <v>-7223.8191428571436</v>
      </c>
      <c r="AN67" s="336">
        <f t="shared" si="14"/>
        <v>-7223.8191428571436</v>
      </c>
      <c r="AO67" s="336">
        <f t="shared" si="14"/>
        <v>-7223.8191428571436</v>
      </c>
      <c r="AP67" s="336">
        <f t="shared" si="14"/>
        <v>-7223.8191428571436</v>
      </c>
      <c r="AQ67" s="219">
        <f>SUM(B67:AA67)/1.18</f>
        <v>-116315.73196125909</v>
      </c>
      <c r="AR67" s="220">
        <f>SUM(B67:AF67)/1.18</f>
        <v>-146925.13510895881</v>
      </c>
      <c r="AS67" s="220">
        <f>SUM(B67:AP67)/1.18</f>
        <v>-208143.94140435822</v>
      </c>
    </row>
    <row r="68" spans="1:46" ht="28.5" x14ac:dyDescent="0.2">
      <c r="A68" s="217" t="s">
        <v>308</v>
      </c>
      <c r="B68" s="337">
        <f t="shared" ref="B68:J68" si="15">B66+B67</f>
        <v>296524.34999999998</v>
      </c>
      <c r="C68" s="337">
        <f>C66+C67</f>
        <v>0</v>
      </c>
      <c r="D68" s="337">
        <f>D66+D67</f>
        <v>0</v>
      </c>
      <c r="E68" s="337">
        <f t="shared" si="15"/>
        <v>0</v>
      </c>
      <c r="F68" s="337">
        <f>F66+C67</f>
        <v>0</v>
      </c>
      <c r="G68" s="337">
        <f t="shared" si="15"/>
        <v>0</v>
      </c>
      <c r="H68" s="337">
        <f t="shared" si="15"/>
        <v>0</v>
      </c>
      <c r="I68" s="337">
        <f t="shared" si="15"/>
        <v>-7223.8191428571436</v>
      </c>
      <c r="J68" s="337">
        <f t="shared" si="15"/>
        <v>-7223.8191428571436</v>
      </c>
      <c r="K68" s="337">
        <f>K66+K67</f>
        <v>-7223.8191428571436</v>
      </c>
      <c r="L68" s="337">
        <f>L66+L67</f>
        <v>-7223.8191428571436</v>
      </c>
      <c r="M68" s="337">
        <f t="shared" ref="M68:AO68" si="16">M66+M67</f>
        <v>-7223.8191428571436</v>
      </c>
      <c r="N68" s="337">
        <f t="shared" si="16"/>
        <v>-24480.359170421292</v>
      </c>
      <c r="O68" s="337">
        <f t="shared" si="16"/>
        <v>-25243.253201529438</v>
      </c>
      <c r="P68" s="337">
        <f t="shared" si="16"/>
        <v>-26039.873999519637</v>
      </c>
      <c r="Q68" s="337">
        <f t="shared" si="16"/>
        <v>-26871.712590350846</v>
      </c>
      <c r="R68" s="337">
        <f t="shared" si="16"/>
        <v>-27740.325916718662</v>
      </c>
      <c r="S68" s="337">
        <f t="shared" si="16"/>
        <v>-28647.339752167009</v>
      </c>
      <c r="T68" s="337">
        <f t="shared" si="16"/>
        <v>-29594.451744029717</v>
      </c>
      <c r="U68" s="337">
        <f t="shared" si="16"/>
        <v>-30583.434590897483</v>
      </c>
      <c r="V68" s="337">
        <f t="shared" si="16"/>
        <v>-31616.139360557336</v>
      </c>
      <c r="W68" s="337">
        <f t="shared" si="16"/>
        <v>-32694.498954614894</v>
      </c>
      <c r="X68" s="337">
        <f t="shared" si="16"/>
        <v>-33820.531726283989</v>
      </c>
      <c r="Y68" s="337">
        <f t="shared" si="16"/>
        <v>-34996.345258115107</v>
      </c>
      <c r="Z68" s="337">
        <f t="shared" si="16"/>
        <v>-36224.140306733338</v>
      </c>
      <c r="AA68" s="337">
        <f t="shared" si="16"/>
        <v>-37506.214921969135</v>
      </c>
      <c r="AB68" s="337">
        <f t="shared" si="16"/>
        <v>-38844.96874809172</v>
      </c>
      <c r="AC68" s="337">
        <f t="shared" si="16"/>
        <v>-40242.907515195569</v>
      </c>
      <c r="AD68" s="337">
        <f t="shared" si="16"/>
        <v>-41702.647729146505</v>
      </c>
      <c r="AE68" s="337">
        <f t="shared" si="16"/>
        <v>-43226.92156886559</v>
      </c>
      <c r="AF68" s="337">
        <f t="shared" si="16"/>
        <v>-44818.582000116832</v>
      </c>
      <c r="AG68" s="337">
        <f t="shared" si="16"/>
        <v>-46480.608115370371</v>
      </c>
      <c r="AH68" s="337">
        <f t="shared" si="16"/>
        <v>-48216.110709735462</v>
      </c>
      <c r="AI68" s="337">
        <f t="shared" si="16"/>
        <v>-50028.338103399765</v>
      </c>
      <c r="AJ68" s="337">
        <f t="shared" si="16"/>
        <v>-51920.682221472831</v>
      </c>
      <c r="AK68" s="337">
        <f t="shared" si="16"/>
        <v>-53896.684942613174</v>
      </c>
      <c r="AL68" s="337">
        <f t="shared" si="16"/>
        <v>-55960.044728321707</v>
      </c>
      <c r="AM68" s="337">
        <f t="shared" si="16"/>
        <v>-58114.623545309463</v>
      </c>
      <c r="AN68" s="337">
        <f t="shared" si="16"/>
        <v>-60364.454093896173</v>
      </c>
      <c r="AO68" s="337">
        <f t="shared" si="16"/>
        <v>-62713.747355968895</v>
      </c>
      <c r="AP68" s="337">
        <f>AP66+AP67</f>
        <v>-65166.900476628274</v>
      </c>
      <c r="AQ68" s="169">
        <v>25</v>
      </c>
      <c r="AR68" s="169">
        <v>30</v>
      </c>
      <c r="AS68" s="169">
        <v>40</v>
      </c>
    </row>
    <row r="69" spans="1:46" x14ac:dyDescent="0.2">
      <c r="A69" s="216" t="s">
        <v>306</v>
      </c>
      <c r="B69" s="336">
        <f t="shared" ref="B69:AO69" si="17">-B56</f>
        <v>0</v>
      </c>
      <c r="C69" s="336">
        <f t="shared" si="17"/>
        <v>0</v>
      </c>
      <c r="D69" s="336">
        <f t="shared" si="17"/>
        <v>0</v>
      </c>
      <c r="E69" s="336">
        <f t="shared" si="17"/>
        <v>0</v>
      </c>
      <c r="F69" s="336">
        <f t="shared" si="17"/>
        <v>0</v>
      </c>
      <c r="G69" s="336">
        <f t="shared" si="17"/>
        <v>0</v>
      </c>
      <c r="H69" s="336">
        <f t="shared" si="17"/>
        <v>0</v>
      </c>
      <c r="I69" s="336">
        <f t="shared" si="17"/>
        <v>0</v>
      </c>
      <c r="J69" s="336">
        <f t="shared" si="17"/>
        <v>0</v>
      </c>
      <c r="K69" s="336">
        <f t="shared" si="17"/>
        <v>0</v>
      </c>
      <c r="L69" s="336">
        <f t="shared" si="17"/>
        <v>0</v>
      </c>
      <c r="M69" s="336">
        <f t="shared" si="17"/>
        <v>0</v>
      </c>
      <c r="N69" s="336">
        <f t="shared" si="17"/>
        <v>0</v>
      </c>
      <c r="O69" s="336">
        <f t="shared" si="17"/>
        <v>0</v>
      </c>
      <c r="P69" s="336">
        <f t="shared" si="17"/>
        <v>0</v>
      </c>
      <c r="Q69" s="336">
        <f t="shared" si="17"/>
        <v>0</v>
      </c>
      <c r="R69" s="336">
        <f t="shared" si="17"/>
        <v>0</v>
      </c>
      <c r="S69" s="336">
        <f t="shared" si="17"/>
        <v>0</v>
      </c>
      <c r="T69" s="336">
        <f t="shared" si="17"/>
        <v>0</v>
      </c>
      <c r="U69" s="336">
        <f t="shared" si="17"/>
        <v>0</v>
      </c>
      <c r="V69" s="336">
        <f t="shared" si="17"/>
        <v>0</v>
      </c>
      <c r="W69" s="336">
        <f t="shared" si="17"/>
        <v>0</v>
      </c>
      <c r="X69" s="336">
        <f t="shared" si="17"/>
        <v>0</v>
      </c>
      <c r="Y69" s="336">
        <f t="shared" si="17"/>
        <v>0</v>
      </c>
      <c r="Z69" s="336">
        <f t="shared" si="17"/>
        <v>0</v>
      </c>
      <c r="AA69" s="336">
        <f t="shared" si="17"/>
        <v>0</v>
      </c>
      <c r="AB69" s="336">
        <f t="shared" si="17"/>
        <v>0</v>
      </c>
      <c r="AC69" s="336">
        <f t="shared" si="17"/>
        <v>0</v>
      </c>
      <c r="AD69" s="336">
        <f t="shared" si="17"/>
        <v>0</v>
      </c>
      <c r="AE69" s="336">
        <f t="shared" si="17"/>
        <v>0</v>
      </c>
      <c r="AF69" s="336">
        <f t="shared" si="17"/>
        <v>0</v>
      </c>
      <c r="AG69" s="336">
        <f t="shared" si="17"/>
        <v>0</v>
      </c>
      <c r="AH69" s="336">
        <f t="shared" si="17"/>
        <v>0</v>
      </c>
      <c r="AI69" s="336">
        <f t="shared" si="17"/>
        <v>0</v>
      </c>
      <c r="AJ69" s="336">
        <f t="shared" si="17"/>
        <v>0</v>
      </c>
      <c r="AK69" s="336">
        <f t="shared" si="17"/>
        <v>0</v>
      </c>
      <c r="AL69" s="336">
        <f t="shared" si="17"/>
        <v>0</v>
      </c>
      <c r="AM69" s="336">
        <f t="shared" si="17"/>
        <v>0</v>
      </c>
      <c r="AN69" s="336">
        <f t="shared" si="17"/>
        <v>0</v>
      </c>
      <c r="AO69" s="336">
        <f t="shared" si="17"/>
        <v>0</v>
      </c>
      <c r="AP69" s="336">
        <f>-AP56</f>
        <v>0</v>
      </c>
    </row>
    <row r="70" spans="1:46" ht="14.25" x14ac:dyDescent="0.2">
      <c r="A70" s="217" t="s">
        <v>311</v>
      </c>
      <c r="B70" s="337">
        <f t="shared" ref="B70:AO70" si="18">B68+B69</f>
        <v>296524.34999999998</v>
      </c>
      <c r="C70" s="337">
        <f t="shared" si="18"/>
        <v>0</v>
      </c>
      <c r="D70" s="337">
        <f t="shared" si="18"/>
        <v>0</v>
      </c>
      <c r="E70" s="337">
        <f t="shared" si="18"/>
        <v>0</v>
      </c>
      <c r="F70" s="337">
        <f t="shared" si="18"/>
        <v>0</v>
      </c>
      <c r="G70" s="337">
        <f t="shared" si="18"/>
        <v>0</v>
      </c>
      <c r="H70" s="337">
        <f t="shared" si="18"/>
        <v>0</v>
      </c>
      <c r="I70" s="337">
        <f t="shared" si="18"/>
        <v>-7223.8191428571436</v>
      </c>
      <c r="J70" s="337">
        <f t="shared" si="18"/>
        <v>-7223.8191428571436</v>
      </c>
      <c r="K70" s="337">
        <f t="shared" si="18"/>
        <v>-7223.8191428571436</v>
      </c>
      <c r="L70" s="337">
        <f t="shared" si="18"/>
        <v>-7223.8191428571436</v>
      </c>
      <c r="M70" s="337">
        <f t="shared" si="18"/>
        <v>-7223.8191428571436</v>
      </c>
      <c r="N70" s="337">
        <f t="shared" si="18"/>
        <v>-24480.359170421292</v>
      </c>
      <c r="O70" s="337">
        <f t="shared" si="18"/>
        <v>-25243.253201529438</v>
      </c>
      <c r="P70" s="337">
        <f t="shared" si="18"/>
        <v>-26039.873999519637</v>
      </c>
      <c r="Q70" s="337">
        <f t="shared" si="18"/>
        <v>-26871.712590350846</v>
      </c>
      <c r="R70" s="337">
        <f t="shared" si="18"/>
        <v>-27740.325916718662</v>
      </c>
      <c r="S70" s="337">
        <f t="shared" si="18"/>
        <v>-28647.339752167009</v>
      </c>
      <c r="T70" s="337">
        <f t="shared" si="18"/>
        <v>-29594.451744029717</v>
      </c>
      <c r="U70" s="337">
        <f t="shared" si="18"/>
        <v>-30583.434590897483</v>
      </c>
      <c r="V70" s="337">
        <f t="shared" si="18"/>
        <v>-31616.139360557336</v>
      </c>
      <c r="W70" s="337">
        <f t="shared" si="18"/>
        <v>-32694.498954614894</v>
      </c>
      <c r="X70" s="337">
        <f t="shared" si="18"/>
        <v>-33820.531726283989</v>
      </c>
      <c r="Y70" s="337">
        <f t="shared" si="18"/>
        <v>-34996.345258115107</v>
      </c>
      <c r="Z70" s="337">
        <f t="shared" si="18"/>
        <v>-36224.140306733338</v>
      </c>
      <c r="AA70" s="337">
        <f t="shared" si="18"/>
        <v>-37506.214921969135</v>
      </c>
      <c r="AB70" s="337">
        <f t="shared" si="18"/>
        <v>-38844.96874809172</v>
      </c>
      <c r="AC70" s="337">
        <f t="shared" si="18"/>
        <v>-40242.907515195569</v>
      </c>
      <c r="AD70" s="337">
        <f t="shared" si="18"/>
        <v>-41702.647729146505</v>
      </c>
      <c r="AE70" s="337">
        <f t="shared" si="18"/>
        <v>-43226.92156886559</v>
      </c>
      <c r="AF70" s="337">
        <f t="shared" si="18"/>
        <v>-44818.582000116832</v>
      </c>
      <c r="AG70" s="337">
        <f t="shared" si="18"/>
        <v>-46480.608115370371</v>
      </c>
      <c r="AH70" s="337">
        <f t="shared" si="18"/>
        <v>-48216.110709735462</v>
      </c>
      <c r="AI70" s="337">
        <f t="shared" si="18"/>
        <v>-50028.338103399765</v>
      </c>
      <c r="AJ70" s="337">
        <f t="shared" si="18"/>
        <v>-51920.682221472831</v>
      </c>
      <c r="AK70" s="337">
        <f t="shared" si="18"/>
        <v>-53896.684942613174</v>
      </c>
      <c r="AL70" s="337">
        <f t="shared" si="18"/>
        <v>-55960.044728321707</v>
      </c>
      <c r="AM70" s="337">
        <f t="shared" si="18"/>
        <v>-58114.623545309463</v>
      </c>
      <c r="AN70" s="337">
        <f t="shared" si="18"/>
        <v>-60364.454093896173</v>
      </c>
      <c r="AO70" s="337">
        <f t="shared" si="18"/>
        <v>-62713.747355968895</v>
      </c>
      <c r="AP70" s="337">
        <f>AP68+AP69</f>
        <v>-65166.900476628274</v>
      </c>
    </row>
    <row r="71" spans="1:46" x14ac:dyDescent="0.2">
      <c r="A71" s="216" t="s">
        <v>305</v>
      </c>
      <c r="B71" s="336">
        <f t="shared" ref="B71:AP71" si="19">-B70*$B$36</f>
        <v>-59304.869999999995</v>
      </c>
      <c r="C71" s="336">
        <f t="shared" si="19"/>
        <v>0</v>
      </c>
      <c r="D71" s="336">
        <f t="shared" si="19"/>
        <v>0</v>
      </c>
      <c r="E71" s="336">
        <f t="shared" si="19"/>
        <v>0</v>
      </c>
      <c r="F71" s="336">
        <f t="shared" si="19"/>
        <v>0</v>
      </c>
      <c r="G71" s="336">
        <f t="shared" si="19"/>
        <v>0</v>
      </c>
      <c r="H71" s="336">
        <f t="shared" si="19"/>
        <v>0</v>
      </c>
      <c r="I71" s="336">
        <f t="shared" si="19"/>
        <v>1444.7638285714288</v>
      </c>
      <c r="J71" s="336">
        <f t="shared" si="19"/>
        <v>1444.7638285714288</v>
      </c>
      <c r="K71" s="336">
        <f t="shared" si="19"/>
        <v>1444.7638285714288</v>
      </c>
      <c r="L71" s="336">
        <f t="shared" si="19"/>
        <v>1444.7638285714288</v>
      </c>
      <c r="M71" s="336">
        <f t="shared" si="19"/>
        <v>1444.7638285714288</v>
      </c>
      <c r="N71" s="336">
        <f t="shared" si="19"/>
        <v>4896.0718340842586</v>
      </c>
      <c r="O71" s="336">
        <f t="shared" si="19"/>
        <v>5048.6506403058884</v>
      </c>
      <c r="P71" s="336">
        <f t="shared" si="19"/>
        <v>5207.9747999039282</v>
      </c>
      <c r="Q71" s="336">
        <f t="shared" si="19"/>
        <v>5374.3425180701697</v>
      </c>
      <c r="R71" s="336">
        <f t="shared" si="19"/>
        <v>5548.0651833437332</v>
      </c>
      <c r="S71" s="336">
        <f t="shared" si="19"/>
        <v>5729.4679504334017</v>
      </c>
      <c r="T71" s="336">
        <f t="shared" si="19"/>
        <v>5918.8903488059441</v>
      </c>
      <c r="U71" s="336">
        <f t="shared" si="19"/>
        <v>6116.6869181794973</v>
      </c>
      <c r="V71" s="336">
        <f t="shared" si="19"/>
        <v>6323.2278721114671</v>
      </c>
      <c r="W71" s="336">
        <f t="shared" si="19"/>
        <v>6538.8997909229793</v>
      </c>
      <c r="X71" s="336">
        <f t="shared" si="19"/>
        <v>6764.1063452567978</v>
      </c>
      <c r="Y71" s="336">
        <f t="shared" si="19"/>
        <v>6999.2690516230214</v>
      </c>
      <c r="Z71" s="336">
        <f t="shared" si="19"/>
        <v>7244.8280613466677</v>
      </c>
      <c r="AA71" s="336">
        <f t="shared" si="19"/>
        <v>7501.2429843938271</v>
      </c>
      <c r="AB71" s="336">
        <f t="shared" si="19"/>
        <v>7768.9937496183447</v>
      </c>
      <c r="AC71" s="336">
        <f t="shared" si="19"/>
        <v>8048.5815030391141</v>
      </c>
      <c r="AD71" s="336">
        <f t="shared" si="19"/>
        <v>8340.5295458293022</v>
      </c>
      <c r="AE71" s="336">
        <f t="shared" si="19"/>
        <v>8645.3843137731183</v>
      </c>
      <c r="AF71" s="336">
        <f t="shared" si="19"/>
        <v>8963.7164000233661</v>
      </c>
      <c r="AG71" s="336">
        <f t="shared" si="19"/>
        <v>9296.1216230740738</v>
      </c>
      <c r="AH71" s="336">
        <f t="shared" si="19"/>
        <v>9643.2221419470934</v>
      </c>
      <c r="AI71" s="336">
        <f t="shared" si="19"/>
        <v>10005.667620679953</v>
      </c>
      <c r="AJ71" s="336">
        <f t="shared" si="19"/>
        <v>10384.136444294567</v>
      </c>
      <c r="AK71" s="336">
        <f t="shared" si="19"/>
        <v>10779.336988522635</v>
      </c>
      <c r="AL71" s="336">
        <f t="shared" si="19"/>
        <v>11192.008945664342</v>
      </c>
      <c r="AM71" s="336">
        <f t="shared" si="19"/>
        <v>11622.924709061894</v>
      </c>
      <c r="AN71" s="336">
        <f t="shared" si="19"/>
        <v>12072.890818779235</v>
      </c>
      <c r="AO71" s="336">
        <f t="shared" si="19"/>
        <v>12542.74947119378</v>
      </c>
      <c r="AP71" s="336">
        <f t="shared" si="19"/>
        <v>13033.380095325656</v>
      </c>
    </row>
    <row r="72" spans="1:46" ht="15" thickBot="1" x14ac:dyDescent="0.25">
      <c r="A72" s="221" t="s">
        <v>310</v>
      </c>
      <c r="B72" s="222">
        <f t="shared" ref="B72:AO72" si="20">B70+B71</f>
        <v>237219.47999999998</v>
      </c>
      <c r="C72" s="222">
        <f t="shared" si="20"/>
        <v>0</v>
      </c>
      <c r="D72" s="222">
        <f t="shared" si="20"/>
        <v>0</v>
      </c>
      <c r="E72" s="222">
        <f t="shared" si="20"/>
        <v>0</v>
      </c>
      <c r="F72" s="222">
        <f t="shared" si="20"/>
        <v>0</v>
      </c>
      <c r="G72" s="222">
        <f t="shared" si="20"/>
        <v>0</v>
      </c>
      <c r="H72" s="222">
        <f t="shared" si="20"/>
        <v>0</v>
      </c>
      <c r="I72" s="222">
        <f t="shared" si="20"/>
        <v>-5779.0553142857152</v>
      </c>
      <c r="J72" s="222">
        <f t="shared" si="20"/>
        <v>-5779.0553142857152</v>
      </c>
      <c r="K72" s="222">
        <f t="shared" si="20"/>
        <v>-5779.0553142857152</v>
      </c>
      <c r="L72" s="222">
        <f t="shared" si="20"/>
        <v>-5779.0553142857152</v>
      </c>
      <c r="M72" s="222">
        <f t="shared" si="20"/>
        <v>-5779.0553142857152</v>
      </c>
      <c r="N72" s="222">
        <f t="shared" si="20"/>
        <v>-19584.287336337035</v>
      </c>
      <c r="O72" s="222">
        <f t="shared" si="20"/>
        <v>-20194.60256122355</v>
      </c>
      <c r="P72" s="222">
        <f t="shared" si="20"/>
        <v>-20831.899199615709</v>
      </c>
      <c r="Q72" s="222">
        <f t="shared" si="20"/>
        <v>-21497.370072280675</v>
      </c>
      <c r="R72" s="222">
        <f t="shared" si="20"/>
        <v>-22192.260733374929</v>
      </c>
      <c r="S72" s="222">
        <f t="shared" si="20"/>
        <v>-22917.871801733607</v>
      </c>
      <c r="T72" s="222">
        <f t="shared" si="20"/>
        <v>-23675.561395223773</v>
      </c>
      <c r="U72" s="222">
        <f t="shared" si="20"/>
        <v>-24466.747672717986</v>
      </c>
      <c r="V72" s="222">
        <f t="shared" si="20"/>
        <v>-25292.911488445869</v>
      </c>
      <c r="W72" s="222">
        <f t="shared" si="20"/>
        <v>-26155.599163691913</v>
      </c>
      <c r="X72" s="222">
        <f t="shared" si="20"/>
        <v>-27056.425381027191</v>
      </c>
      <c r="Y72" s="222">
        <f t="shared" si="20"/>
        <v>-27997.076206492085</v>
      </c>
      <c r="Z72" s="222">
        <f t="shared" si="20"/>
        <v>-28979.312245386671</v>
      </c>
      <c r="AA72" s="222">
        <f t="shared" si="20"/>
        <v>-30004.971937575308</v>
      </c>
      <c r="AB72" s="222">
        <f t="shared" si="20"/>
        <v>-31075.974998473375</v>
      </c>
      <c r="AC72" s="222">
        <f t="shared" si="20"/>
        <v>-32194.326012156456</v>
      </c>
      <c r="AD72" s="222">
        <f t="shared" si="20"/>
        <v>-33362.118183317201</v>
      </c>
      <c r="AE72" s="222">
        <f t="shared" si="20"/>
        <v>-34581.537255092473</v>
      </c>
      <c r="AF72" s="222">
        <f t="shared" si="20"/>
        <v>-35854.865600093464</v>
      </c>
      <c r="AG72" s="222">
        <f t="shared" si="20"/>
        <v>-37184.486492296295</v>
      </c>
      <c r="AH72" s="222">
        <f t="shared" si="20"/>
        <v>-38572.888567788366</v>
      </c>
      <c r="AI72" s="222">
        <f t="shared" si="20"/>
        <v>-40022.670482719812</v>
      </c>
      <c r="AJ72" s="222">
        <f t="shared" si="20"/>
        <v>-41536.545777178268</v>
      </c>
      <c r="AK72" s="222">
        <f t="shared" si="20"/>
        <v>-43117.347954090539</v>
      </c>
      <c r="AL72" s="222">
        <f t="shared" si="20"/>
        <v>-44768.035782657367</v>
      </c>
      <c r="AM72" s="222">
        <f t="shared" si="20"/>
        <v>-46491.698836247568</v>
      </c>
      <c r="AN72" s="222">
        <f t="shared" si="20"/>
        <v>-48291.56327511694</v>
      </c>
      <c r="AO72" s="222">
        <f t="shared" si="20"/>
        <v>-50170.997884775119</v>
      </c>
      <c r="AP72" s="222">
        <f>AP70+AP71</f>
        <v>-52133.520381302616</v>
      </c>
    </row>
    <row r="73" spans="1:46" s="224" customFormat="1" ht="16.5" thickBot="1" x14ac:dyDescent="0.25">
      <c r="A73" s="212"/>
      <c r="B73" s="223">
        <f>B141</f>
        <v>0.5</v>
      </c>
      <c r="C73" s="223">
        <f t="shared" ref="C73:AT73" si="21">C141</f>
        <v>1.5</v>
      </c>
      <c r="D73" s="223">
        <f t="shared" si="21"/>
        <v>2.5</v>
      </c>
      <c r="E73" s="223">
        <f t="shared" si="21"/>
        <v>3.5</v>
      </c>
      <c r="F73" s="223">
        <f t="shared" si="21"/>
        <v>4.5</v>
      </c>
      <c r="G73" s="223">
        <f t="shared" si="21"/>
        <v>5.5</v>
      </c>
      <c r="H73" s="223">
        <f t="shared" si="21"/>
        <v>6.5</v>
      </c>
      <c r="I73" s="223">
        <f t="shared" si="21"/>
        <v>7.5</v>
      </c>
      <c r="J73" s="223">
        <f t="shared" si="21"/>
        <v>8.5</v>
      </c>
      <c r="K73" s="223">
        <f t="shared" si="21"/>
        <v>9.5</v>
      </c>
      <c r="L73" s="223">
        <f t="shared" si="21"/>
        <v>10.5</v>
      </c>
      <c r="M73" s="223">
        <f t="shared" si="21"/>
        <v>11.5</v>
      </c>
      <c r="N73" s="223">
        <f t="shared" si="21"/>
        <v>12.5</v>
      </c>
      <c r="O73" s="223">
        <f t="shared" si="21"/>
        <v>13.5</v>
      </c>
      <c r="P73" s="223">
        <f t="shared" si="21"/>
        <v>14.5</v>
      </c>
      <c r="Q73" s="223">
        <f t="shared" si="21"/>
        <v>15.5</v>
      </c>
      <c r="R73" s="223">
        <f t="shared" si="21"/>
        <v>16.5</v>
      </c>
      <c r="S73" s="223">
        <f t="shared" si="21"/>
        <v>17.5</v>
      </c>
      <c r="T73" s="223">
        <f t="shared" si="21"/>
        <v>18.5</v>
      </c>
      <c r="U73" s="223">
        <f t="shared" si="21"/>
        <v>19.5</v>
      </c>
      <c r="V73" s="223">
        <f t="shared" si="21"/>
        <v>20.5</v>
      </c>
      <c r="W73" s="223">
        <f t="shared" si="21"/>
        <v>21.5</v>
      </c>
      <c r="X73" s="223">
        <f t="shared" si="21"/>
        <v>22.5</v>
      </c>
      <c r="Y73" s="223">
        <f t="shared" si="21"/>
        <v>23.5</v>
      </c>
      <c r="Z73" s="223">
        <f t="shared" si="21"/>
        <v>24.5</v>
      </c>
      <c r="AA73" s="223">
        <f t="shared" si="21"/>
        <v>25.5</v>
      </c>
      <c r="AB73" s="223">
        <f t="shared" si="21"/>
        <v>26.5</v>
      </c>
      <c r="AC73" s="223">
        <f t="shared" si="21"/>
        <v>27.5</v>
      </c>
      <c r="AD73" s="223">
        <f t="shared" si="21"/>
        <v>28.5</v>
      </c>
      <c r="AE73" s="223">
        <f t="shared" si="21"/>
        <v>29.5</v>
      </c>
      <c r="AF73" s="223">
        <f t="shared" si="21"/>
        <v>30.5</v>
      </c>
      <c r="AG73" s="223">
        <f t="shared" si="21"/>
        <v>31.5</v>
      </c>
      <c r="AH73" s="223">
        <f t="shared" si="21"/>
        <v>32.5</v>
      </c>
      <c r="AI73" s="223">
        <f t="shared" si="21"/>
        <v>33.5</v>
      </c>
      <c r="AJ73" s="223">
        <f t="shared" si="21"/>
        <v>34.5</v>
      </c>
      <c r="AK73" s="223">
        <f t="shared" si="21"/>
        <v>35.5</v>
      </c>
      <c r="AL73" s="223">
        <f t="shared" si="21"/>
        <v>36.5</v>
      </c>
      <c r="AM73" s="223">
        <f t="shared" si="21"/>
        <v>37.5</v>
      </c>
      <c r="AN73" s="223">
        <f t="shared" si="21"/>
        <v>38.5</v>
      </c>
      <c r="AO73" s="223">
        <f t="shared" si="21"/>
        <v>39.5</v>
      </c>
      <c r="AP73" s="223">
        <f t="shared" si="21"/>
        <v>40.5</v>
      </c>
      <c r="AQ73" s="223">
        <f t="shared" si="21"/>
        <v>41.5</v>
      </c>
      <c r="AR73" s="223">
        <f t="shared" si="21"/>
        <v>42.5</v>
      </c>
      <c r="AS73" s="223">
        <f t="shared" si="21"/>
        <v>43.5</v>
      </c>
      <c r="AT73" s="223">
        <f t="shared" si="21"/>
        <v>44.5</v>
      </c>
    </row>
    <row r="74" spans="1:46" x14ac:dyDescent="0.2">
      <c r="A74" s="207" t="s">
        <v>309</v>
      </c>
      <c r="B74" s="208">
        <f t="shared" ref="B74:AO74" si="22">B58</f>
        <v>1</v>
      </c>
      <c r="C74" s="208">
        <f t="shared" si="22"/>
        <v>2</v>
      </c>
      <c r="D74" s="208">
        <f t="shared" si="22"/>
        <v>3</v>
      </c>
      <c r="E74" s="208">
        <f t="shared" si="22"/>
        <v>4</v>
      </c>
      <c r="F74" s="208">
        <f t="shared" si="22"/>
        <v>5</v>
      </c>
      <c r="G74" s="208">
        <f t="shared" si="22"/>
        <v>6</v>
      </c>
      <c r="H74" s="208">
        <f t="shared" si="22"/>
        <v>7</v>
      </c>
      <c r="I74" s="208">
        <f t="shared" si="22"/>
        <v>8</v>
      </c>
      <c r="J74" s="208">
        <f t="shared" si="22"/>
        <v>9</v>
      </c>
      <c r="K74" s="208">
        <f t="shared" si="22"/>
        <v>10</v>
      </c>
      <c r="L74" s="208">
        <f t="shared" si="22"/>
        <v>11</v>
      </c>
      <c r="M74" s="208">
        <f t="shared" si="22"/>
        <v>12</v>
      </c>
      <c r="N74" s="208">
        <f t="shared" si="22"/>
        <v>13</v>
      </c>
      <c r="O74" s="208">
        <f t="shared" si="22"/>
        <v>14</v>
      </c>
      <c r="P74" s="208">
        <f t="shared" si="22"/>
        <v>15</v>
      </c>
      <c r="Q74" s="208">
        <f t="shared" si="22"/>
        <v>16</v>
      </c>
      <c r="R74" s="208">
        <f t="shared" si="22"/>
        <v>17</v>
      </c>
      <c r="S74" s="208">
        <f t="shared" si="22"/>
        <v>18</v>
      </c>
      <c r="T74" s="208">
        <f t="shared" si="22"/>
        <v>19</v>
      </c>
      <c r="U74" s="208">
        <f t="shared" si="22"/>
        <v>20</v>
      </c>
      <c r="V74" s="208">
        <f t="shared" si="22"/>
        <v>21</v>
      </c>
      <c r="W74" s="208">
        <f t="shared" si="22"/>
        <v>22</v>
      </c>
      <c r="X74" s="208">
        <f t="shared" si="22"/>
        <v>23</v>
      </c>
      <c r="Y74" s="208">
        <f t="shared" si="22"/>
        <v>24</v>
      </c>
      <c r="Z74" s="208">
        <f t="shared" si="22"/>
        <v>25</v>
      </c>
      <c r="AA74" s="208">
        <f t="shared" si="22"/>
        <v>26</v>
      </c>
      <c r="AB74" s="208">
        <f t="shared" si="22"/>
        <v>27</v>
      </c>
      <c r="AC74" s="208">
        <f t="shared" si="22"/>
        <v>28</v>
      </c>
      <c r="AD74" s="208">
        <f t="shared" si="22"/>
        <v>29</v>
      </c>
      <c r="AE74" s="208">
        <f t="shared" si="22"/>
        <v>30</v>
      </c>
      <c r="AF74" s="208">
        <f t="shared" si="22"/>
        <v>31</v>
      </c>
      <c r="AG74" s="208">
        <f t="shared" si="22"/>
        <v>32</v>
      </c>
      <c r="AH74" s="208">
        <f t="shared" si="22"/>
        <v>33</v>
      </c>
      <c r="AI74" s="208">
        <f t="shared" si="22"/>
        <v>34</v>
      </c>
      <c r="AJ74" s="208">
        <f t="shared" si="22"/>
        <v>35</v>
      </c>
      <c r="AK74" s="208">
        <f t="shared" si="22"/>
        <v>36</v>
      </c>
      <c r="AL74" s="208">
        <f t="shared" si="22"/>
        <v>37</v>
      </c>
      <c r="AM74" s="208">
        <f t="shared" si="22"/>
        <v>38</v>
      </c>
      <c r="AN74" s="208">
        <f t="shared" si="22"/>
        <v>39</v>
      </c>
      <c r="AO74" s="208">
        <f t="shared" si="22"/>
        <v>40</v>
      </c>
      <c r="AP74" s="208">
        <f>AP58</f>
        <v>41</v>
      </c>
    </row>
    <row r="75" spans="1:46" ht="28.5" x14ac:dyDescent="0.2">
      <c r="A75" s="215" t="s">
        <v>308</v>
      </c>
      <c r="B75" s="337">
        <f t="shared" ref="B75:AO75" si="23">B68</f>
        <v>296524.34999999998</v>
      </c>
      <c r="C75" s="337">
        <f t="shared" si="23"/>
        <v>0</v>
      </c>
      <c r="D75" s="337">
        <f>D68</f>
        <v>0</v>
      </c>
      <c r="E75" s="337">
        <f t="shared" si="23"/>
        <v>0</v>
      </c>
      <c r="F75" s="337">
        <f t="shared" si="23"/>
        <v>0</v>
      </c>
      <c r="G75" s="337">
        <f t="shared" si="23"/>
        <v>0</v>
      </c>
      <c r="H75" s="337">
        <f t="shared" si="23"/>
        <v>0</v>
      </c>
      <c r="I75" s="337">
        <f t="shared" si="23"/>
        <v>-7223.8191428571436</v>
      </c>
      <c r="J75" s="337">
        <f t="shared" si="23"/>
        <v>-7223.8191428571436</v>
      </c>
      <c r="K75" s="337">
        <f t="shared" si="23"/>
        <v>-7223.8191428571436</v>
      </c>
      <c r="L75" s="337">
        <f t="shared" si="23"/>
        <v>-7223.8191428571436</v>
      </c>
      <c r="M75" s="337">
        <f t="shared" si="23"/>
        <v>-7223.8191428571436</v>
      </c>
      <c r="N75" s="337">
        <f t="shared" si="23"/>
        <v>-24480.359170421292</v>
      </c>
      <c r="O75" s="337">
        <f t="shared" si="23"/>
        <v>-25243.253201529438</v>
      </c>
      <c r="P75" s="337">
        <f t="shared" si="23"/>
        <v>-26039.873999519637</v>
      </c>
      <c r="Q75" s="337">
        <f t="shared" si="23"/>
        <v>-26871.712590350846</v>
      </c>
      <c r="R75" s="337">
        <f t="shared" si="23"/>
        <v>-27740.325916718662</v>
      </c>
      <c r="S75" s="337">
        <f t="shared" si="23"/>
        <v>-28647.339752167009</v>
      </c>
      <c r="T75" s="337">
        <f t="shared" si="23"/>
        <v>-29594.451744029717</v>
      </c>
      <c r="U75" s="337">
        <f t="shared" si="23"/>
        <v>-30583.434590897483</v>
      </c>
      <c r="V75" s="337">
        <f t="shared" si="23"/>
        <v>-31616.139360557336</v>
      </c>
      <c r="W75" s="337">
        <f t="shared" si="23"/>
        <v>-32694.498954614894</v>
      </c>
      <c r="X75" s="337">
        <f t="shared" si="23"/>
        <v>-33820.531726283989</v>
      </c>
      <c r="Y75" s="337">
        <f t="shared" si="23"/>
        <v>-34996.345258115107</v>
      </c>
      <c r="Z75" s="337">
        <f t="shared" si="23"/>
        <v>-36224.140306733338</v>
      </c>
      <c r="AA75" s="337">
        <f t="shared" si="23"/>
        <v>-37506.214921969135</v>
      </c>
      <c r="AB75" s="337">
        <f t="shared" si="23"/>
        <v>-38844.96874809172</v>
      </c>
      <c r="AC75" s="337">
        <f t="shared" si="23"/>
        <v>-40242.907515195569</v>
      </c>
      <c r="AD75" s="337">
        <f t="shared" si="23"/>
        <v>-41702.647729146505</v>
      </c>
      <c r="AE75" s="337">
        <f t="shared" si="23"/>
        <v>-43226.92156886559</v>
      </c>
      <c r="AF75" s="337">
        <f t="shared" si="23"/>
        <v>-44818.582000116832</v>
      </c>
      <c r="AG75" s="337">
        <f t="shared" si="23"/>
        <v>-46480.608115370371</v>
      </c>
      <c r="AH75" s="337">
        <f t="shared" si="23"/>
        <v>-48216.110709735462</v>
      </c>
      <c r="AI75" s="337">
        <f t="shared" si="23"/>
        <v>-50028.338103399765</v>
      </c>
      <c r="AJ75" s="337">
        <f t="shared" si="23"/>
        <v>-51920.682221472831</v>
      </c>
      <c r="AK75" s="337">
        <f t="shared" si="23"/>
        <v>-53896.684942613174</v>
      </c>
      <c r="AL75" s="337">
        <f t="shared" si="23"/>
        <v>-55960.044728321707</v>
      </c>
      <c r="AM75" s="337">
        <f t="shared" si="23"/>
        <v>-58114.623545309463</v>
      </c>
      <c r="AN75" s="337">
        <f t="shared" si="23"/>
        <v>-60364.454093896173</v>
      </c>
      <c r="AO75" s="337">
        <f t="shared" si="23"/>
        <v>-62713.747355968895</v>
      </c>
      <c r="AP75" s="337">
        <f>AP68</f>
        <v>-65166.900476628274</v>
      </c>
    </row>
    <row r="76" spans="1:46" x14ac:dyDescent="0.2">
      <c r="A76" s="216" t="s">
        <v>307</v>
      </c>
      <c r="B76" s="336">
        <f t="shared" ref="B76:AO76" si="24">-B67</f>
        <v>0</v>
      </c>
      <c r="C76" s="336">
        <f>-C67</f>
        <v>0</v>
      </c>
      <c r="D76" s="336">
        <f t="shared" si="24"/>
        <v>0</v>
      </c>
      <c r="E76" s="336">
        <f t="shared" si="24"/>
        <v>0</v>
      </c>
      <c r="F76" s="336">
        <f>-C67</f>
        <v>0</v>
      </c>
      <c r="G76" s="336">
        <f t="shared" si="24"/>
        <v>0</v>
      </c>
      <c r="H76" s="336">
        <f t="shared" si="24"/>
        <v>0</v>
      </c>
      <c r="I76" s="336">
        <f t="shared" si="24"/>
        <v>7223.8191428571436</v>
      </c>
      <c r="J76" s="336">
        <f t="shared" si="24"/>
        <v>7223.8191428571436</v>
      </c>
      <c r="K76" s="336">
        <f t="shared" si="24"/>
        <v>7223.8191428571436</v>
      </c>
      <c r="L76" s="336">
        <f>-L67</f>
        <v>7223.8191428571436</v>
      </c>
      <c r="M76" s="336">
        <f>-M67</f>
        <v>7223.8191428571436</v>
      </c>
      <c r="N76" s="336">
        <f t="shared" si="24"/>
        <v>7223.8191428571436</v>
      </c>
      <c r="O76" s="336">
        <f t="shared" si="24"/>
        <v>7223.8191428571436</v>
      </c>
      <c r="P76" s="336">
        <f t="shared" si="24"/>
        <v>7223.8191428571436</v>
      </c>
      <c r="Q76" s="336">
        <f t="shared" si="24"/>
        <v>7223.8191428571436</v>
      </c>
      <c r="R76" s="336">
        <f t="shared" si="24"/>
        <v>7223.8191428571436</v>
      </c>
      <c r="S76" s="336">
        <f t="shared" si="24"/>
        <v>7223.8191428571436</v>
      </c>
      <c r="T76" s="336">
        <f t="shared" si="24"/>
        <v>7223.8191428571436</v>
      </c>
      <c r="U76" s="336">
        <f t="shared" si="24"/>
        <v>7223.8191428571436</v>
      </c>
      <c r="V76" s="336">
        <f t="shared" si="24"/>
        <v>7223.8191428571436</v>
      </c>
      <c r="W76" s="336">
        <f t="shared" si="24"/>
        <v>7223.8191428571436</v>
      </c>
      <c r="X76" s="336">
        <f t="shared" si="24"/>
        <v>7223.8191428571436</v>
      </c>
      <c r="Y76" s="336">
        <f t="shared" si="24"/>
        <v>7223.8191428571436</v>
      </c>
      <c r="Z76" s="336">
        <f t="shared" si="24"/>
        <v>7223.8191428571436</v>
      </c>
      <c r="AA76" s="336">
        <f t="shared" si="24"/>
        <v>7223.8191428571436</v>
      </c>
      <c r="AB76" s="336">
        <f t="shared" si="24"/>
        <v>7223.8191428571436</v>
      </c>
      <c r="AC76" s="336">
        <f t="shared" si="24"/>
        <v>7223.8191428571436</v>
      </c>
      <c r="AD76" s="336">
        <f t="shared" si="24"/>
        <v>7223.8191428571436</v>
      </c>
      <c r="AE76" s="336">
        <f t="shared" si="24"/>
        <v>7223.8191428571436</v>
      </c>
      <c r="AF76" s="336">
        <f t="shared" si="24"/>
        <v>7223.8191428571436</v>
      </c>
      <c r="AG76" s="336">
        <f t="shared" si="24"/>
        <v>7223.8191428571436</v>
      </c>
      <c r="AH76" s="336">
        <f t="shared" si="24"/>
        <v>7223.8191428571436</v>
      </c>
      <c r="AI76" s="336">
        <f t="shared" si="24"/>
        <v>7223.8191428571436</v>
      </c>
      <c r="AJ76" s="336">
        <f t="shared" si="24"/>
        <v>7223.8191428571436</v>
      </c>
      <c r="AK76" s="336">
        <f t="shared" si="24"/>
        <v>7223.8191428571436</v>
      </c>
      <c r="AL76" s="336">
        <f t="shared" si="24"/>
        <v>7223.8191428571436</v>
      </c>
      <c r="AM76" s="336">
        <f t="shared" si="24"/>
        <v>7223.8191428571436</v>
      </c>
      <c r="AN76" s="336">
        <f t="shared" si="24"/>
        <v>7223.8191428571436</v>
      </c>
      <c r="AO76" s="336">
        <f t="shared" si="24"/>
        <v>7223.8191428571436</v>
      </c>
      <c r="AP76" s="336">
        <f>-AP67</f>
        <v>7223.8191428571436</v>
      </c>
    </row>
    <row r="77" spans="1:46" x14ac:dyDescent="0.2">
      <c r="A77" s="216" t="s">
        <v>306</v>
      </c>
      <c r="B77" s="336">
        <f t="shared" ref="B77:AO77" si="25">B69</f>
        <v>0</v>
      </c>
      <c r="C77" s="336">
        <f t="shared" si="25"/>
        <v>0</v>
      </c>
      <c r="D77" s="336">
        <f t="shared" si="25"/>
        <v>0</v>
      </c>
      <c r="E77" s="336">
        <f t="shared" si="25"/>
        <v>0</v>
      </c>
      <c r="F77" s="336">
        <f t="shared" si="25"/>
        <v>0</v>
      </c>
      <c r="G77" s="336">
        <f t="shared" si="25"/>
        <v>0</v>
      </c>
      <c r="H77" s="336">
        <f t="shared" si="25"/>
        <v>0</v>
      </c>
      <c r="I77" s="336">
        <f t="shared" si="25"/>
        <v>0</v>
      </c>
      <c r="J77" s="336">
        <f t="shared" si="25"/>
        <v>0</v>
      </c>
      <c r="K77" s="336">
        <f t="shared" si="25"/>
        <v>0</v>
      </c>
      <c r="L77" s="336">
        <f t="shared" si="25"/>
        <v>0</v>
      </c>
      <c r="M77" s="336">
        <f t="shared" si="25"/>
        <v>0</v>
      </c>
      <c r="N77" s="336">
        <f t="shared" si="25"/>
        <v>0</v>
      </c>
      <c r="O77" s="336">
        <f t="shared" si="25"/>
        <v>0</v>
      </c>
      <c r="P77" s="336">
        <f t="shared" si="25"/>
        <v>0</v>
      </c>
      <c r="Q77" s="336">
        <f t="shared" si="25"/>
        <v>0</v>
      </c>
      <c r="R77" s="336">
        <f t="shared" si="25"/>
        <v>0</v>
      </c>
      <c r="S77" s="336">
        <f t="shared" si="25"/>
        <v>0</v>
      </c>
      <c r="T77" s="336">
        <f t="shared" si="25"/>
        <v>0</v>
      </c>
      <c r="U77" s="336">
        <f t="shared" si="25"/>
        <v>0</v>
      </c>
      <c r="V77" s="336">
        <f t="shared" si="25"/>
        <v>0</v>
      </c>
      <c r="W77" s="336">
        <f t="shared" si="25"/>
        <v>0</v>
      </c>
      <c r="X77" s="336">
        <f t="shared" si="25"/>
        <v>0</v>
      </c>
      <c r="Y77" s="336">
        <f t="shared" si="25"/>
        <v>0</v>
      </c>
      <c r="Z77" s="336">
        <f t="shared" si="25"/>
        <v>0</v>
      </c>
      <c r="AA77" s="336">
        <f t="shared" si="25"/>
        <v>0</v>
      </c>
      <c r="AB77" s="336">
        <f t="shared" si="25"/>
        <v>0</v>
      </c>
      <c r="AC77" s="336">
        <f t="shared" si="25"/>
        <v>0</v>
      </c>
      <c r="AD77" s="336">
        <f t="shared" si="25"/>
        <v>0</v>
      </c>
      <c r="AE77" s="336">
        <f t="shared" si="25"/>
        <v>0</v>
      </c>
      <c r="AF77" s="336">
        <f t="shared" si="25"/>
        <v>0</v>
      </c>
      <c r="AG77" s="336">
        <f t="shared" si="25"/>
        <v>0</v>
      </c>
      <c r="AH77" s="336">
        <f t="shared" si="25"/>
        <v>0</v>
      </c>
      <c r="AI77" s="336">
        <f t="shared" si="25"/>
        <v>0</v>
      </c>
      <c r="AJ77" s="336">
        <f t="shared" si="25"/>
        <v>0</v>
      </c>
      <c r="AK77" s="336">
        <f t="shared" si="25"/>
        <v>0</v>
      </c>
      <c r="AL77" s="336">
        <f t="shared" si="25"/>
        <v>0</v>
      </c>
      <c r="AM77" s="336">
        <f t="shared" si="25"/>
        <v>0</v>
      </c>
      <c r="AN77" s="336">
        <f t="shared" si="25"/>
        <v>0</v>
      </c>
      <c r="AO77" s="336">
        <f t="shared" si="25"/>
        <v>0</v>
      </c>
      <c r="AP77" s="336">
        <f>AP69</f>
        <v>0</v>
      </c>
    </row>
    <row r="78" spans="1:46" x14ac:dyDescent="0.2">
      <c r="A78" s="216" t="s">
        <v>305</v>
      </c>
      <c r="B78" s="336">
        <f>IF(SUM($B$71:B71)+SUM($A$78:A78)&gt;0,0,SUM($B$71:B71)-SUM($A$78:A78))</f>
        <v>-59304.869999999995</v>
      </c>
      <c r="C78" s="336">
        <f>IF(SUM($B$71:C71)+SUM($A$78:B78)&gt;0,0,SUM($B$71:C71)-SUM($A$78:B78))</f>
        <v>0</v>
      </c>
      <c r="D78" s="336">
        <f>IF(SUM($B$71:D71)+SUM($A$78:C78)&gt;0,0,SUM($B$71:D71)-SUM($A$78:C78))</f>
        <v>0</v>
      </c>
      <c r="E78" s="336">
        <f>IF(SUM($B$71:E71)+SUM($A$78:D78)&gt;0,0,SUM($B$71:E71)-SUM($A$78:D78))</f>
        <v>0</v>
      </c>
      <c r="F78" s="336">
        <f>IF(SUM($B$71:F71)+SUM($A$78:E78)&gt;0,0,SUM($B$71:F71)-SUM($A$78:E78))</f>
        <v>0</v>
      </c>
      <c r="G78" s="336">
        <f>IF(SUM($B$71:G71)+SUM($A$78:F78)&gt;0,0,SUM($B$71:G71)-SUM($A$78:F78))</f>
        <v>0</v>
      </c>
      <c r="H78" s="336">
        <f>IF(SUM($B$71:H71)+SUM($A$78:G78)&gt;0,0,SUM($B$71:H71)-SUM($A$78:G78))</f>
        <v>0</v>
      </c>
      <c r="I78" s="336">
        <f>IF(SUM($B$71:I71)+SUM($A$78:H78)&gt;0,0,SUM($B$71:I71)-SUM($A$78:H78))</f>
        <v>1444.7638285714274</v>
      </c>
      <c r="J78" s="336">
        <f>IF(SUM($B$71:J71)+SUM($A$78:I78)&gt;0,0,SUM($B$71:J71)-SUM($A$78:I78))</f>
        <v>1444.7638285714274</v>
      </c>
      <c r="K78" s="336">
        <f>IF(SUM($B$71:K71)+SUM($A$78:J78)&gt;0,0,SUM($B$71:K71)-SUM($A$78:J78))</f>
        <v>1444.7638285714274</v>
      </c>
      <c r="L78" s="336">
        <f>IF(SUM($B$71:L71)+SUM($A$78:K78)&gt;0,0,SUM($B$71:L71)-SUM($A$78:K78))</f>
        <v>1444.7638285714274</v>
      </c>
      <c r="M78" s="336">
        <f>IF(SUM($B$71:M71)+SUM($A$78:L78)&gt;0,0,SUM($B$71:M71)-SUM($A$78:L78))</f>
        <v>1444.7638285714274</v>
      </c>
      <c r="N78" s="336">
        <f>IF(SUM($B$71:N71)+SUM($A$78:M78)&gt;0,0,SUM($B$71:N71)-SUM($A$78:M78))</f>
        <v>4896.0718340842577</v>
      </c>
      <c r="O78" s="336">
        <f>IF(SUM($B$71:O71)+SUM($A$78:N78)&gt;0,0,SUM($B$71:O71)-SUM($A$78:N78))</f>
        <v>5048.6506403058884</v>
      </c>
      <c r="P78" s="336">
        <f>IF(SUM($B$71:P71)+SUM($A$78:O78)&gt;0,0,SUM($B$71:P71)-SUM($A$78:O78))</f>
        <v>5207.9747999039319</v>
      </c>
      <c r="Q78" s="336">
        <f>IF(SUM($B$71:Q71)+SUM($A$78:P78)&gt;0,0,SUM($B$71:Q71)-SUM($A$78:P78))</f>
        <v>5374.3425180701706</v>
      </c>
      <c r="R78" s="336">
        <f>IF(SUM($B$71:R71)+SUM($A$78:Q78)&gt;0,0,SUM($B$71:R71)-SUM($A$78:Q78))</f>
        <v>5548.0651833437332</v>
      </c>
      <c r="S78" s="336">
        <f>IF(SUM($B$71:S71)+SUM($A$78:R78)&gt;0,0,SUM($B$71:S71)-SUM($A$78:R78))</f>
        <v>5729.4679504334017</v>
      </c>
      <c r="T78" s="336">
        <f>IF(SUM($B$71:T71)+SUM($A$78:S78)&gt;0,0,SUM($B$71:T71)-SUM($A$78:S78))</f>
        <v>5918.8903488059441</v>
      </c>
      <c r="U78" s="336">
        <f>IF(SUM($B$71:U71)+SUM($A$78:T78)&gt;0,0,SUM($B$71:U71)-SUM($A$78:T78))</f>
        <v>6116.6869181794973</v>
      </c>
      <c r="V78" s="336">
        <f>IF(SUM($B$71:V71)+SUM($A$78:U78)&gt;0,0,SUM($B$71:V71)-SUM($A$78:U78))</f>
        <v>6323.2278721114671</v>
      </c>
      <c r="W78" s="336">
        <f>IF(SUM($B$71:W71)+SUM($A$78:V78)&gt;0,0,SUM($B$71:W71)-SUM($A$78:V78))</f>
        <v>0</v>
      </c>
      <c r="X78" s="336">
        <f>IF(SUM($B$71:X71)+SUM($A$78:W78)&gt;0,0,SUM($B$71:X71)-SUM($A$78:W78))</f>
        <v>0</v>
      </c>
      <c r="Y78" s="336">
        <f>IF(SUM($B$71:Y71)+SUM($A$78:X78)&gt;0,0,SUM($B$71:Y71)-SUM($A$78:X78))</f>
        <v>0</v>
      </c>
      <c r="Z78" s="336">
        <f>IF(SUM($B$71:Z71)+SUM($A$78:Y78)&gt;0,0,SUM($B$71:Z71)-SUM($A$78:Y78))</f>
        <v>0</v>
      </c>
      <c r="AA78" s="336">
        <f>IF(SUM($B$71:AA71)+SUM($A$78:Z78)&gt;0,0,SUM($B$71:AA71)-SUM($A$78:Z78))</f>
        <v>0</v>
      </c>
      <c r="AB78" s="336">
        <f>IF(SUM($B$71:AB71)+SUM($A$78:AA78)&gt;0,0,SUM($B$71:AB71)-SUM($A$78:AA78))</f>
        <v>0</v>
      </c>
      <c r="AC78" s="336">
        <f>IF(SUM($B$71:AC71)+SUM($A$78:AB78)&gt;0,0,SUM($B$71:AC71)-SUM($A$78:AB78))</f>
        <v>0</v>
      </c>
      <c r="AD78" s="336">
        <f>IF(SUM($B$71:AD71)+SUM($A$78:AC78)&gt;0,0,SUM($B$71:AD71)-SUM($A$78:AC78))</f>
        <v>0</v>
      </c>
      <c r="AE78" s="336">
        <f>IF(SUM($B$71:AE71)+SUM($A$78:AD78)&gt;0,0,SUM($B$71:AE71)-SUM($A$78:AD78))</f>
        <v>0</v>
      </c>
      <c r="AF78" s="336">
        <f>IF(SUM($B$71:AF71)+SUM($A$78:AE78)&gt;0,0,SUM($B$71:AF71)-SUM($A$78:AE78))</f>
        <v>0</v>
      </c>
      <c r="AG78" s="336">
        <f>IF(SUM($B$71:AG71)+SUM($A$78:AF78)&gt;0,0,SUM($B$71:AG71)-SUM($A$78:AF78))</f>
        <v>0</v>
      </c>
      <c r="AH78" s="336">
        <f>IF(SUM($B$71:AH71)+SUM($A$78:AG78)&gt;0,0,SUM($B$71:AH71)-SUM($A$78:AG78))</f>
        <v>0</v>
      </c>
      <c r="AI78" s="336">
        <f>IF(SUM($B$71:AI71)+SUM($A$78:AH78)&gt;0,0,SUM($B$71:AI71)-SUM($A$78:AH78))</f>
        <v>0</v>
      </c>
      <c r="AJ78" s="336">
        <f>IF(SUM($B$71:AJ71)+SUM($A$78:AI78)&gt;0,0,SUM($B$71:AJ71)-SUM($A$78:AI78))</f>
        <v>0</v>
      </c>
      <c r="AK78" s="336">
        <f>IF(SUM($B$71:AK71)+SUM($A$78:AJ78)&gt;0,0,SUM($B$71:AK71)-SUM($A$78:AJ78))</f>
        <v>0</v>
      </c>
      <c r="AL78" s="336">
        <f>IF(SUM($B$71:AL71)+SUM($A$78:AK78)&gt;0,0,SUM($B$71:AL71)-SUM($A$78:AK78))</f>
        <v>0</v>
      </c>
      <c r="AM78" s="336">
        <f>IF(SUM($B$71:AM71)+SUM($A$78:AL78)&gt;0,0,SUM($B$71:AM71)-SUM($A$78:AL78))</f>
        <v>0</v>
      </c>
      <c r="AN78" s="336">
        <f>IF(SUM($B$71:AN71)+SUM($A$78:AM78)&gt;0,0,SUM($B$71:AN71)-SUM($A$78:AM78))</f>
        <v>0</v>
      </c>
      <c r="AO78" s="336">
        <f>IF(SUM($B$71:AO71)+SUM($A$78:AN78)&gt;0,0,SUM($B$71:AO71)-SUM($A$78:AN78))</f>
        <v>0</v>
      </c>
      <c r="AP78" s="336">
        <f>IF(SUM($B$71:AP71)+SUM($A$78:AO78)&gt;0,0,SUM($B$71:AP71)-SUM($A$78:AO78))</f>
        <v>0</v>
      </c>
    </row>
    <row r="79" spans="1:46" x14ac:dyDescent="0.2">
      <c r="A79" s="216" t="s">
        <v>304</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6"/>
      <c r="AL79" s="336"/>
      <c r="AM79" s="336"/>
      <c r="AN79" s="336"/>
      <c r="AO79" s="336"/>
      <c r="AP79" s="336"/>
    </row>
    <row r="80" spans="1:46" x14ac:dyDescent="0.2">
      <c r="A80" s="216" t="s">
        <v>303</v>
      </c>
      <c r="B80" s="336"/>
      <c r="C80" s="336"/>
      <c r="D80" s="336"/>
      <c r="E80" s="336">
        <f t="shared" ref="C80:AP80" si="26">-(E59-D59)*$B$39</f>
        <v>0</v>
      </c>
      <c r="F80" s="336">
        <f t="shared" si="26"/>
        <v>0</v>
      </c>
      <c r="G80" s="336">
        <f t="shared" si="26"/>
        <v>0</v>
      </c>
      <c r="H80" s="336">
        <f t="shared" si="26"/>
        <v>0</v>
      </c>
      <c r="I80" s="336">
        <f t="shared" si="26"/>
        <v>0</v>
      </c>
      <c r="J80" s="336">
        <f t="shared" si="26"/>
        <v>0</v>
      </c>
      <c r="K80" s="336">
        <f t="shared" si="26"/>
        <v>0</v>
      </c>
      <c r="L80" s="336">
        <f t="shared" si="26"/>
        <v>0</v>
      </c>
      <c r="M80" s="336">
        <f t="shared" si="26"/>
        <v>0</v>
      </c>
      <c r="N80" s="336">
        <f t="shared" si="26"/>
        <v>0</v>
      </c>
      <c r="O80" s="336">
        <f t="shared" si="26"/>
        <v>0</v>
      </c>
      <c r="P80" s="336">
        <f t="shared" si="26"/>
        <v>0</v>
      </c>
      <c r="Q80" s="336">
        <f t="shared" si="26"/>
        <v>0</v>
      </c>
      <c r="R80" s="336">
        <f t="shared" si="26"/>
        <v>0</v>
      </c>
      <c r="S80" s="336">
        <f t="shared" si="26"/>
        <v>0</v>
      </c>
      <c r="T80" s="336">
        <f t="shared" si="26"/>
        <v>0</v>
      </c>
      <c r="U80" s="336">
        <f t="shared" si="26"/>
        <v>0</v>
      </c>
      <c r="V80" s="336">
        <f t="shared" si="26"/>
        <v>0</v>
      </c>
      <c r="W80" s="336">
        <f t="shared" si="26"/>
        <v>0</v>
      </c>
      <c r="X80" s="336">
        <f t="shared" si="26"/>
        <v>0</v>
      </c>
      <c r="Y80" s="336">
        <f t="shared" si="26"/>
        <v>0</v>
      </c>
      <c r="Z80" s="336">
        <f t="shared" si="26"/>
        <v>0</v>
      </c>
      <c r="AA80" s="336">
        <f t="shared" si="26"/>
        <v>0</v>
      </c>
      <c r="AB80" s="336">
        <f t="shared" si="26"/>
        <v>0</v>
      </c>
      <c r="AC80" s="336">
        <f t="shared" si="26"/>
        <v>0</v>
      </c>
      <c r="AD80" s="336">
        <f t="shared" si="26"/>
        <v>0</v>
      </c>
      <c r="AE80" s="336">
        <f t="shared" si="26"/>
        <v>0</v>
      </c>
      <c r="AF80" s="336">
        <f t="shared" si="26"/>
        <v>0</v>
      </c>
      <c r="AG80" s="336">
        <f t="shared" si="26"/>
        <v>0</v>
      </c>
      <c r="AH80" s="336">
        <f t="shared" si="26"/>
        <v>0</v>
      </c>
      <c r="AI80" s="336">
        <f t="shared" si="26"/>
        <v>0</v>
      </c>
      <c r="AJ80" s="336">
        <f t="shared" si="26"/>
        <v>0</v>
      </c>
      <c r="AK80" s="336">
        <f t="shared" si="26"/>
        <v>0</v>
      </c>
      <c r="AL80" s="336">
        <f t="shared" si="26"/>
        <v>0</v>
      </c>
      <c r="AM80" s="336">
        <f t="shared" si="26"/>
        <v>0</v>
      </c>
      <c r="AN80" s="336">
        <f t="shared" si="26"/>
        <v>0</v>
      </c>
      <c r="AO80" s="336">
        <f t="shared" si="26"/>
        <v>0</v>
      </c>
      <c r="AP80" s="336">
        <f t="shared" si="26"/>
        <v>0</v>
      </c>
    </row>
    <row r="81" spans="1:45" x14ac:dyDescent="0.2">
      <c r="A81" s="216" t="s">
        <v>629</v>
      </c>
      <c r="B81" s="336">
        <v>-15959.999999999998</v>
      </c>
      <c r="C81" s="336">
        <v>-57670</v>
      </c>
      <c r="D81" s="336"/>
      <c r="E81" s="336">
        <v>-188580.61</v>
      </c>
      <c r="F81" s="336">
        <v>24013.24</v>
      </c>
      <c r="G81" s="336">
        <v>0</v>
      </c>
      <c r="H81" s="336">
        <f>'6.2. Паспорт фин осв ввод'!R30*-1000000</f>
        <v>0</v>
      </c>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6"/>
      <c r="AL81" s="336"/>
      <c r="AM81" s="336"/>
      <c r="AN81" s="336"/>
      <c r="AO81" s="336"/>
      <c r="AP81" s="336"/>
      <c r="AQ81" s="219">
        <f>SUM(B81:AP81)</f>
        <v>-238197.37</v>
      </c>
      <c r="AR81" s="220"/>
    </row>
    <row r="82" spans="1:45" x14ac:dyDescent="0.2">
      <c r="A82" s="216" t="s">
        <v>302</v>
      </c>
      <c r="B82" s="336">
        <f t="shared" ref="B82:AO82" si="27">B54-B55</f>
        <v>0</v>
      </c>
      <c r="C82" s="336">
        <f t="shared" si="27"/>
        <v>0</v>
      </c>
      <c r="D82" s="336">
        <f t="shared" si="27"/>
        <v>0</v>
      </c>
      <c r="E82" s="336">
        <f t="shared" si="27"/>
        <v>0</v>
      </c>
      <c r="F82" s="336">
        <f t="shared" si="27"/>
        <v>0</v>
      </c>
      <c r="G82" s="336">
        <f t="shared" si="27"/>
        <v>0</v>
      </c>
      <c r="H82" s="336">
        <f t="shared" si="27"/>
        <v>0</v>
      </c>
      <c r="I82" s="336">
        <f t="shared" si="27"/>
        <v>0</v>
      </c>
      <c r="J82" s="336">
        <f t="shared" si="27"/>
        <v>0</v>
      </c>
      <c r="K82" s="336">
        <f t="shared" si="27"/>
        <v>0</v>
      </c>
      <c r="L82" s="336">
        <f t="shared" si="27"/>
        <v>0</v>
      </c>
      <c r="M82" s="336">
        <f t="shared" si="27"/>
        <v>0</v>
      </c>
      <c r="N82" s="336">
        <f t="shared" si="27"/>
        <v>0</v>
      </c>
      <c r="O82" s="336">
        <f t="shared" si="27"/>
        <v>0</v>
      </c>
      <c r="P82" s="336">
        <f t="shared" si="27"/>
        <v>0</v>
      </c>
      <c r="Q82" s="336">
        <f t="shared" si="27"/>
        <v>0</v>
      </c>
      <c r="R82" s="336">
        <f t="shared" si="27"/>
        <v>0</v>
      </c>
      <c r="S82" s="336">
        <f t="shared" si="27"/>
        <v>0</v>
      </c>
      <c r="T82" s="336">
        <f t="shared" si="27"/>
        <v>0</v>
      </c>
      <c r="U82" s="336">
        <f t="shared" si="27"/>
        <v>0</v>
      </c>
      <c r="V82" s="336">
        <f t="shared" si="27"/>
        <v>0</v>
      </c>
      <c r="W82" s="336">
        <f t="shared" si="27"/>
        <v>0</v>
      </c>
      <c r="X82" s="336">
        <f t="shared" si="27"/>
        <v>0</v>
      </c>
      <c r="Y82" s="336">
        <f t="shared" si="27"/>
        <v>0</v>
      </c>
      <c r="Z82" s="336">
        <f t="shared" si="27"/>
        <v>0</v>
      </c>
      <c r="AA82" s="336">
        <f t="shared" si="27"/>
        <v>0</v>
      </c>
      <c r="AB82" s="336">
        <f t="shared" si="27"/>
        <v>0</v>
      </c>
      <c r="AC82" s="336">
        <f t="shared" si="27"/>
        <v>0</v>
      </c>
      <c r="AD82" s="336">
        <f t="shared" si="27"/>
        <v>0</v>
      </c>
      <c r="AE82" s="336">
        <f t="shared" si="27"/>
        <v>0</v>
      </c>
      <c r="AF82" s="336">
        <f t="shared" si="27"/>
        <v>0</v>
      </c>
      <c r="AG82" s="336">
        <f t="shared" si="27"/>
        <v>0</v>
      </c>
      <c r="AH82" s="336">
        <f t="shared" si="27"/>
        <v>0</v>
      </c>
      <c r="AI82" s="336">
        <f t="shared" si="27"/>
        <v>0</v>
      </c>
      <c r="AJ82" s="336">
        <f t="shared" si="27"/>
        <v>0</v>
      </c>
      <c r="AK82" s="336">
        <f t="shared" si="27"/>
        <v>0</v>
      </c>
      <c r="AL82" s="336">
        <f t="shared" si="27"/>
        <v>0</v>
      </c>
      <c r="AM82" s="336">
        <f t="shared" si="27"/>
        <v>0</v>
      </c>
      <c r="AN82" s="336">
        <f t="shared" si="27"/>
        <v>0</v>
      </c>
      <c r="AO82" s="336">
        <f t="shared" si="27"/>
        <v>0</v>
      </c>
      <c r="AP82" s="336">
        <f>AP54-AP55</f>
        <v>0</v>
      </c>
    </row>
    <row r="83" spans="1:45" ht="14.25" x14ac:dyDescent="0.2">
      <c r="A83" s="217" t="s">
        <v>301</v>
      </c>
      <c r="B83" s="337">
        <f>SUM(B75:B82)</f>
        <v>221259.47999999998</v>
      </c>
      <c r="C83" s="337">
        <f t="shared" ref="C83:V83" si="28">SUM(C75:C82)</f>
        <v>-57670</v>
      </c>
      <c r="D83" s="337">
        <f t="shared" si="28"/>
        <v>0</v>
      </c>
      <c r="E83" s="337">
        <f t="shared" si="28"/>
        <v>-188580.61</v>
      </c>
      <c r="F83" s="337">
        <f t="shared" si="28"/>
        <v>24013.24</v>
      </c>
      <c r="G83" s="337">
        <f t="shared" si="28"/>
        <v>0</v>
      </c>
      <c r="H83" s="337">
        <f t="shared" si="28"/>
        <v>0</v>
      </c>
      <c r="I83" s="337">
        <f t="shared" si="28"/>
        <v>1444.7638285714274</v>
      </c>
      <c r="J83" s="337">
        <f t="shared" si="28"/>
        <v>1444.7638285714274</v>
      </c>
      <c r="K83" s="337">
        <f t="shared" si="28"/>
        <v>1444.7638285714274</v>
      </c>
      <c r="L83" s="337">
        <f t="shared" si="28"/>
        <v>1444.7638285714274</v>
      </c>
      <c r="M83" s="337">
        <f t="shared" si="28"/>
        <v>1444.7638285714274</v>
      </c>
      <c r="N83" s="337">
        <f t="shared" si="28"/>
        <v>-12360.46819347989</v>
      </c>
      <c r="O83" s="337">
        <f t="shared" si="28"/>
        <v>-12970.783418366405</v>
      </c>
      <c r="P83" s="337">
        <f t="shared" si="28"/>
        <v>-13608.080056758561</v>
      </c>
      <c r="Q83" s="337">
        <f t="shared" si="28"/>
        <v>-14273.550929423531</v>
      </c>
      <c r="R83" s="337">
        <f t="shared" si="28"/>
        <v>-14968.441590517785</v>
      </c>
      <c r="S83" s="337">
        <f t="shared" si="28"/>
        <v>-15694.052658876462</v>
      </c>
      <c r="T83" s="337">
        <f t="shared" si="28"/>
        <v>-16451.742252366628</v>
      </c>
      <c r="U83" s="337">
        <f t="shared" si="28"/>
        <v>-17242.928529860841</v>
      </c>
      <c r="V83" s="337">
        <f t="shared" si="28"/>
        <v>-18069.092345588724</v>
      </c>
      <c r="W83" s="337">
        <f>SUM(W75:W82)</f>
        <v>-25470.679811757749</v>
      </c>
      <c r="X83" s="337">
        <f>SUM(X75:X82)</f>
        <v>-26596.712583426845</v>
      </c>
      <c r="Y83" s="337">
        <f>SUM(Y75:Y82)</f>
        <v>-27772.526115257962</v>
      </c>
      <c r="Z83" s="337">
        <f>SUM(Z75:Z82)</f>
        <v>-29000.321163876193</v>
      </c>
      <c r="AA83" s="337">
        <f t="shared" ref="AA83:AP83" si="29">SUM(AA75:AA82)</f>
        <v>-30282.39577911199</v>
      </c>
      <c r="AB83" s="337">
        <f t="shared" si="29"/>
        <v>-31621.149605234576</v>
      </c>
      <c r="AC83" s="337">
        <f t="shared" si="29"/>
        <v>-33019.088372338425</v>
      </c>
      <c r="AD83" s="337">
        <f t="shared" si="29"/>
        <v>-34478.828586289361</v>
      </c>
      <c r="AE83" s="337">
        <f t="shared" si="29"/>
        <v>-36003.102426008445</v>
      </c>
      <c r="AF83" s="337">
        <f t="shared" si="29"/>
        <v>-37594.762857259688</v>
      </c>
      <c r="AG83" s="337">
        <f t="shared" si="29"/>
        <v>-39256.788972513226</v>
      </c>
      <c r="AH83" s="337">
        <f t="shared" si="29"/>
        <v>-40992.291566878317</v>
      </c>
      <c r="AI83" s="337">
        <f t="shared" si="29"/>
        <v>-42804.51896054262</v>
      </c>
      <c r="AJ83" s="337">
        <f t="shared" si="29"/>
        <v>-44696.863078615686</v>
      </c>
      <c r="AK83" s="337">
        <f t="shared" si="29"/>
        <v>-46672.865799756029</v>
      </c>
      <c r="AL83" s="337">
        <f t="shared" si="29"/>
        <v>-48736.225585464563</v>
      </c>
      <c r="AM83" s="337">
        <f t="shared" si="29"/>
        <v>-50890.804402452319</v>
      </c>
      <c r="AN83" s="337">
        <f t="shared" si="29"/>
        <v>-53140.634951039028</v>
      </c>
      <c r="AO83" s="337">
        <f t="shared" si="29"/>
        <v>-55489.928213111751</v>
      </c>
      <c r="AP83" s="337">
        <f t="shared" si="29"/>
        <v>-57943.08133377113</v>
      </c>
    </row>
    <row r="84" spans="1:45" ht="14.25" x14ac:dyDescent="0.2">
      <c r="A84" s="217" t="s">
        <v>300</v>
      </c>
      <c r="B84" s="337">
        <f>SUM($B$83:B83)</f>
        <v>221259.47999999998</v>
      </c>
      <c r="C84" s="337">
        <f>SUM($B$83:C83)</f>
        <v>163589.47999999998</v>
      </c>
      <c r="D84" s="337">
        <f>SUM($B$83:D83)</f>
        <v>163589.47999999998</v>
      </c>
      <c r="E84" s="337">
        <f>SUM($B$83:E83)</f>
        <v>-24991.130000000005</v>
      </c>
      <c r="F84" s="337">
        <f>SUM($B$83:F83)</f>
        <v>-977.89000000000306</v>
      </c>
      <c r="G84" s="337">
        <f>SUM($B$83:G83)</f>
        <v>-977.89000000000306</v>
      </c>
      <c r="H84" s="337">
        <f>SUM($B$83:H83)</f>
        <v>-977.89000000000306</v>
      </c>
      <c r="I84" s="337">
        <f>SUM($B$83:I83)</f>
        <v>466.87382857142438</v>
      </c>
      <c r="J84" s="337">
        <f>SUM($B$83:J83)</f>
        <v>1911.6376571428518</v>
      </c>
      <c r="K84" s="337">
        <f>SUM($B$83:K83)</f>
        <v>3356.4014857142793</v>
      </c>
      <c r="L84" s="337">
        <f>SUM($B$83:L83)</f>
        <v>4801.1653142857067</v>
      </c>
      <c r="M84" s="337">
        <f>SUM($B$83:M83)</f>
        <v>6245.9291428571341</v>
      </c>
      <c r="N84" s="337">
        <f>SUM($B$83:N83)</f>
        <v>-6114.5390506227559</v>
      </c>
      <c r="O84" s="337">
        <f>SUM($B$83:O83)</f>
        <v>-19085.322468989161</v>
      </c>
      <c r="P84" s="337">
        <f>SUM($B$83:P83)</f>
        <v>-32693.402525747722</v>
      </c>
      <c r="Q84" s="337">
        <f>SUM($B$83:Q83)</f>
        <v>-46966.953455171257</v>
      </c>
      <c r="R84" s="337">
        <f>SUM($B$83:R83)</f>
        <v>-61935.395045689045</v>
      </c>
      <c r="S84" s="337">
        <f>SUM($B$83:S83)</f>
        <v>-77629.447704565508</v>
      </c>
      <c r="T84" s="337">
        <f>SUM($B$83:T83)</f>
        <v>-94081.189956932139</v>
      </c>
      <c r="U84" s="337">
        <f>SUM($B$83:U83)</f>
        <v>-111324.11848679298</v>
      </c>
      <c r="V84" s="337">
        <f>SUM($B$83:V83)</f>
        <v>-129393.21083238171</v>
      </c>
      <c r="W84" s="337">
        <f>SUM($B$83:W83)</f>
        <v>-154863.89064413946</v>
      </c>
      <c r="X84" s="337">
        <f>SUM($B$83:X83)</f>
        <v>-181460.60322756632</v>
      </c>
      <c r="Y84" s="337">
        <f>SUM($B$83:Y83)</f>
        <v>-209233.12934282428</v>
      </c>
      <c r="Z84" s="337">
        <f>SUM($B$83:Z83)</f>
        <v>-238233.45050670046</v>
      </c>
      <c r="AA84" s="337">
        <f>SUM($B$83:AA83)</f>
        <v>-268515.84628581244</v>
      </c>
      <c r="AB84" s="337">
        <f>SUM($B$83:AB83)</f>
        <v>-300136.995891047</v>
      </c>
      <c r="AC84" s="337">
        <f>SUM($B$83:AC83)</f>
        <v>-333156.08426338545</v>
      </c>
      <c r="AD84" s="337">
        <f>SUM($B$83:AD83)</f>
        <v>-367634.91284967482</v>
      </c>
      <c r="AE84" s="337">
        <f>SUM($B$83:AE83)</f>
        <v>-403638.01527568325</v>
      </c>
      <c r="AF84" s="337">
        <f>SUM($B$83:AF83)</f>
        <v>-441232.77813294297</v>
      </c>
      <c r="AG84" s="337">
        <f>SUM($B$83:AG83)</f>
        <v>-480489.5671054562</v>
      </c>
      <c r="AH84" s="337">
        <f>SUM($B$83:AH83)</f>
        <v>-521481.85867233452</v>
      </c>
      <c r="AI84" s="337">
        <f>SUM($B$83:AI83)</f>
        <v>-564286.37763287709</v>
      </c>
      <c r="AJ84" s="337">
        <f>SUM($B$83:AJ83)</f>
        <v>-608983.24071149272</v>
      </c>
      <c r="AK84" s="337">
        <f>SUM($B$83:AK83)</f>
        <v>-655656.10651124874</v>
      </c>
      <c r="AL84" s="337">
        <f>SUM($B$83:AL83)</f>
        <v>-704392.33209671336</v>
      </c>
      <c r="AM84" s="337">
        <f>SUM($B$83:AM83)</f>
        <v>-755283.13649916567</v>
      </c>
      <c r="AN84" s="337">
        <f>SUM($B$83:AN83)</f>
        <v>-808423.77145020466</v>
      </c>
      <c r="AO84" s="337">
        <f>SUM($B$83:AO83)</f>
        <v>-863913.69966331637</v>
      </c>
      <c r="AP84" s="337">
        <f>SUM($B$83:AP83)</f>
        <v>-921856.78099708748</v>
      </c>
    </row>
    <row r="85" spans="1:45" x14ac:dyDescent="0.2">
      <c r="A85" s="216" t="s">
        <v>539</v>
      </c>
      <c r="B85" s="338">
        <f t="shared" ref="B85:AP85" si="30">1/POWER((1+$B$44),B73)</f>
        <v>0.93777936065805434</v>
      </c>
      <c r="C85" s="338">
        <f t="shared" si="30"/>
        <v>0.82471142437609202</v>
      </c>
      <c r="D85" s="338">
        <f t="shared" si="30"/>
        <v>0.7252760745546496</v>
      </c>
      <c r="E85" s="338">
        <f t="shared" si="30"/>
        <v>0.63782963200655141</v>
      </c>
      <c r="F85" s="338">
        <f t="shared" si="30"/>
        <v>0.56092659573173109</v>
      </c>
      <c r="G85" s="338">
        <f t="shared" si="30"/>
        <v>0.49329574859883135</v>
      </c>
      <c r="H85" s="338">
        <f t="shared" si="30"/>
        <v>0.43381914396168442</v>
      </c>
      <c r="I85" s="338">
        <f t="shared" si="30"/>
        <v>0.38151362585672716</v>
      </c>
      <c r="J85" s="338">
        <f t="shared" si="30"/>
        <v>0.33551457730782436</v>
      </c>
      <c r="K85" s="338">
        <f t="shared" si="30"/>
        <v>0.29506162809587938</v>
      </c>
      <c r="L85" s="338">
        <f t="shared" si="30"/>
        <v>0.25948608574081378</v>
      </c>
      <c r="M85" s="338">
        <f t="shared" si="30"/>
        <v>0.2281998819284265</v>
      </c>
      <c r="N85" s="338">
        <f t="shared" si="30"/>
        <v>0.20068585166513633</v>
      </c>
      <c r="O85" s="338">
        <f t="shared" si="30"/>
        <v>0.17648918447378092</v>
      </c>
      <c r="P85" s="338">
        <f t="shared" si="30"/>
        <v>0.15520990631763337</v>
      </c>
      <c r="Q85" s="338">
        <f t="shared" si="30"/>
        <v>0.13649626797786774</v>
      </c>
      <c r="R85" s="338">
        <f t="shared" si="30"/>
        <v>0.12003893059349906</v>
      </c>
      <c r="S85" s="338">
        <f t="shared" si="30"/>
        <v>0.10556585225002113</v>
      </c>
      <c r="T85" s="338">
        <f t="shared" si="30"/>
        <v>9.2837791091391383E-2</v>
      </c>
      <c r="U85" s="338">
        <f t="shared" si="30"/>
        <v>8.1644350621221856E-2</v>
      </c>
      <c r="V85" s="338">
        <f t="shared" si="30"/>
        <v>7.1800501821494903E-2</v>
      </c>
      <c r="W85" s="338">
        <f t="shared" si="30"/>
        <v>6.314352459897539E-2</v>
      </c>
      <c r="X85" s="338">
        <f t="shared" si="30"/>
        <v>5.5530318001033675E-2</v>
      </c>
      <c r="Y85" s="338">
        <f t="shared" si="30"/>
        <v>4.8835034738399147E-2</v>
      </c>
      <c r="Z85" s="338">
        <f t="shared" si="30"/>
        <v>4.2947000913199494E-2</v>
      </c>
      <c r="AA85" s="338">
        <f t="shared" si="30"/>
        <v>3.7768886565121354E-2</v>
      </c>
      <c r="AB85" s="338">
        <f t="shared" si="30"/>
        <v>3.3215096794583898E-2</v>
      </c>
      <c r="AC85" s="338">
        <f t="shared" si="30"/>
        <v>2.9210356867983386E-2</v>
      </c>
      <c r="AD85" s="338">
        <f t="shared" si="30"/>
        <v>2.5688467916615415E-2</v>
      </c>
      <c r="AE85" s="338">
        <f t="shared" si="30"/>
        <v>2.2591212660817352E-2</v>
      </c>
      <c r="AF85" s="338">
        <f t="shared" si="30"/>
        <v>1.9867393070809383E-2</v>
      </c>
      <c r="AG85" s="338">
        <f t="shared" si="30"/>
        <v>1.7471984056643557E-2</v>
      </c>
      <c r="AH85" s="338">
        <f t="shared" si="30"/>
        <v>1.536538919764625E-2</v>
      </c>
      <c r="AI85" s="338">
        <f t="shared" si="30"/>
        <v>1.351278620846562E-2</v>
      </c>
      <c r="AJ85" s="338">
        <f t="shared" si="30"/>
        <v>1.1883551322192957E-2</v>
      </c>
      <c r="AK85" s="338">
        <f t="shared" si="30"/>
        <v>1.0450753075536858E-2</v>
      </c>
      <c r="AL85" s="338">
        <f t="shared" si="30"/>
        <v>9.1907071282533309E-3</v>
      </c>
      <c r="AM85" s="338">
        <f t="shared" si="30"/>
        <v>8.0825847579397824E-3</v>
      </c>
      <c r="AN85" s="338">
        <f t="shared" si="30"/>
        <v>7.1080685585610632E-3</v>
      </c>
      <c r="AO85" s="338">
        <f t="shared" si="30"/>
        <v>6.251049651359651E-3</v>
      </c>
      <c r="AP85" s="338">
        <f t="shared" si="30"/>
        <v>5.4973614030073455E-3</v>
      </c>
    </row>
    <row r="86" spans="1:45" ht="28.5" x14ac:dyDescent="0.2">
      <c r="A86" s="215" t="s">
        <v>299</v>
      </c>
      <c r="B86" s="337">
        <f>B83*B85</f>
        <v>207492.57369393355</v>
      </c>
      <c r="C86" s="337">
        <f>C83*C85</f>
        <v>-47561.107843769227</v>
      </c>
      <c r="D86" s="337">
        <f t="shared" ref="D86:AO86" si="31">D83*D85</f>
        <v>0</v>
      </c>
      <c r="E86" s="337">
        <f t="shared" si="31"/>
        <v>-120282.30107987097</v>
      </c>
      <c r="F86" s="337">
        <f t="shared" si="31"/>
        <v>13469.664965689035</v>
      </c>
      <c r="G86" s="337">
        <f t="shared" si="31"/>
        <v>0</v>
      </c>
      <c r="H86" s="337">
        <f t="shared" si="31"/>
        <v>0</v>
      </c>
      <c r="I86" s="337">
        <f t="shared" si="31"/>
        <v>551.19708674493222</v>
      </c>
      <c r="J86" s="337">
        <f t="shared" si="31"/>
        <v>484.7393252527765</v>
      </c>
      <c r="K86" s="337">
        <f t="shared" si="31"/>
        <v>426.29436747232137</v>
      </c>
      <c r="L86" s="337">
        <f t="shared" si="31"/>
        <v>374.89611069591177</v>
      </c>
      <c r="M86" s="337">
        <f t="shared" si="31"/>
        <v>329.69493509446119</v>
      </c>
      <c r="N86" s="337">
        <f t="shared" si="31"/>
        <v>-2480.571086388341</v>
      </c>
      <c r="O86" s="337">
        <f t="shared" si="31"/>
        <v>-2289.2029874935274</v>
      </c>
      <c r="P86" s="337">
        <f t="shared" si="31"/>
        <v>-2112.1088307723512</v>
      </c>
      <c r="Q86" s="337">
        <f t="shared" si="31"/>
        <v>-1948.2864326583374</v>
      </c>
      <c r="R86" s="337">
        <f t="shared" si="31"/>
        <v>-1796.795721177009</v>
      </c>
      <c r="S86" s="337">
        <f t="shared" si="31"/>
        <v>-1656.7560441910039</v>
      </c>
      <c r="T86" s="337">
        <f t="shared" si="31"/>
        <v>-1527.3434103146299</v>
      </c>
      <c r="U86" s="337">
        <f t="shared" si="31"/>
        <v>-1407.787702628628</v>
      </c>
      <c r="V86" s="337">
        <f t="shared" si="31"/>
        <v>-1297.3698978722027</v>
      </c>
      <c r="W86" s="337">
        <f t="shared" si="31"/>
        <v>-1608.3084972463512</v>
      </c>
      <c r="X86" s="337">
        <f t="shared" si="31"/>
        <v>-1476.9239075397866</v>
      </c>
      <c r="Y86" s="337">
        <f t="shared" si="31"/>
        <v>-1356.27227761172</v>
      </c>
      <c r="Z86" s="337">
        <f t="shared" si="31"/>
        <v>-1245.4768195080694</v>
      </c>
      <c r="AA86" s="337">
        <f t="shared" si="31"/>
        <v>-1143.7323711013905</v>
      </c>
      <c r="AB86" s="337">
        <f t="shared" si="31"/>
        <v>-1050.2995448938848</v>
      </c>
      <c r="AC86" s="337">
        <f t="shared" si="31"/>
        <v>-964.49935481148611</v>
      </c>
      <c r="AD86" s="337">
        <f t="shared" si="31"/>
        <v>-885.70828194137664</v>
      </c>
      <c r="AE86" s="337">
        <f t="shared" si="31"/>
        <v>-813.35374335514587</v>
      </c>
      <c r="AF86" s="337">
        <f t="shared" si="31"/>
        <v>-746.90993108904308</v>
      </c>
      <c r="AG86" s="337">
        <f t="shared" si="31"/>
        <v>-685.89399104277175</v>
      </c>
      <c r="AH86" s="337">
        <f t="shared" si="31"/>
        <v>-629.86251402847756</v>
      </c>
      <c r="AI86" s="337">
        <f t="shared" si="31"/>
        <v>-578.40831347002552</v>
      </c>
      <c r="AJ86" s="337">
        <f t="shared" si="31"/>
        <v>-531.157466335761</v>
      </c>
      <c r="AK86" s="337">
        <f t="shared" si="31"/>
        <v>-487.76659580091939</v>
      </c>
      <c r="AL86" s="337">
        <f t="shared" si="31"/>
        <v>-447.92037589249151</v>
      </c>
      <c r="AM86" s="337">
        <f t="shared" si="31"/>
        <v>-411.32923998255586</v>
      </c>
      <c r="AN86" s="337">
        <f t="shared" si="31"/>
        <v>-377.72727647745165</v>
      </c>
      <c r="AO86" s="337">
        <f t="shared" si="31"/>
        <v>-346.87029641054426</v>
      </c>
      <c r="AP86" s="337">
        <f>AP83*AP85</f>
        <v>-318.53405889558877</v>
      </c>
    </row>
    <row r="87" spans="1:45" ht="14.25" x14ac:dyDescent="0.2">
      <c r="A87" s="215" t="s">
        <v>298</v>
      </c>
      <c r="B87" s="337">
        <f>SUM($B$86:B86)</f>
        <v>207492.57369393355</v>
      </c>
      <c r="C87" s="337">
        <f>SUM($B$86:C86)</f>
        <v>159931.46585016433</v>
      </c>
      <c r="D87" s="337">
        <f>SUM($B$86:D86)</f>
        <v>159931.46585016433</v>
      </c>
      <c r="E87" s="337">
        <f>SUM($B$86:E86)</f>
        <v>39649.164770293355</v>
      </c>
      <c r="F87" s="337">
        <f>SUM($B$86:F86)</f>
        <v>53118.829735982392</v>
      </c>
      <c r="G87" s="337">
        <f>SUM($B$86:G86)</f>
        <v>53118.829735982392</v>
      </c>
      <c r="H87" s="337">
        <f>SUM($B$86:H86)</f>
        <v>53118.829735982392</v>
      </c>
      <c r="I87" s="337">
        <f>SUM($B$86:I86)</f>
        <v>53670.026822727326</v>
      </c>
      <c r="J87" s="337">
        <f>SUM($B$86:J86)</f>
        <v>54154.766147980103</v>
      </c>
      <c r="K87" s="337">
        <f>SUM($B$86:K86)</f>
        <v>54581.060515452424</v>
      </c>
      <c r="L87" s="337">
        <f>SUM($B$86:L86)</f>
        <v>54955.956626148334</v>
      </c>
      <c r="M87" s="337">
        <f>SUM($B$86:M86)</f>
        <v>55285.651561242797</v>
      </c>
      <c r="N87" s="337">
        <f>SUM($B$86:N86)</f>
        <v>52805.080474854454</v>
      </c>
      <c r="O87" s="337">
        <f>SUM($B$86:O86)</f>
        <v>50515.877487360929</v>
      </c>
      <c r="P87" s="337">
        <f>SUM($B$86:P86)</f>
        <v>48403.768656588582</v>
      </c>
      <c r="Q87" s="337">
        <f>SUM($B$86:Q86)</f>
        <v>46455.482223930245</v>
      </c>
      <c r="R87" s="337">
        <f>SUM($B$86:R86)</f>
        <v>44658.686502753233</v>
      </c>
      <c r="S87" s="337">
        <f>SUM($B$86:S86)</f>
        <v>43001.93045856223</v>
      </c>
      <c r="T87" s="337">
        <f>SUM($B$86:T86)</f>
        <v>41474.587048247602</v>
      </c>
      <c r="U87" s="337">
        <f>SUM($B$86:U86)</f>
        <v>40066.799345618972</v>
      </c>
      <c r="V87" s="337">
        <f>SUM($B$86:V86)</f>
        <v>38769.42944774677</v>
      </c>
      <c r="W87" s="337">
        <f>SUM($B$86:W86)</f>
        <v>37161.120950500423</v>
      </c>
      <c r="X87" s="337">
        <f>SUM($B$86:X86)</f>
        <v>35684.197042960637</v>
      </c>
      <c r="Y87" s="337">
        <f>SUM($B$86:Y86)</f>
        <v>34327.924765348915</v>
      </c>
      <c r="Z87" s="337">
        <f>SUM($B$86:Z86)</f>
        <v>33082.447945840846</v>
      </c>
      <c r="AA87" s="337">
        <f>SUM($B$86:AA86)</f>
        <v>31938.715574739457</v>
      </c>
      <c r="AB87" s="337">
        <f>SUM($B$86:AB86)</f>
        <v>30888.416029845572</v>
      </c>
      <c r="AC87" s="337">
        <f>SUM($B$86:AC86)</f>
        <v>29923.916675034085</v>
      </c>
      <c r="AD87" s="337">
        <f>SUM($B$86:AD86)</f>
        <v>29038.208393092707</v>
      </c>
      <c r="AE87" s="337">
        <f>SUM($B$86:AE86)</f>
        <v>28224.854649737561</v>
      </c>
      <c r="AF87" s="337">
        <f>SUM($B$86:AF86)</f>
        <v>27477.944718648519</v>
      </c>
      <c r="AG87" s="337">
        <f>SUM($B$86:AG86)</f>
        <v>26792.050727605747</v>
      </c>
      <c r="AH87" s="337">
        <f>SUM($B$86:AH86)</f>
        <v>26162.188213577268</v>
      </c>
      <c r="AI87" s="337">
        <f>SUM($B$86:AI86)</f>
        <v>25583.779900107242</v>
      </c>
      <c r="AJ87" s="337">
        <f>SUM($B$86:AJ86)</f>
        <v>25052.622433771481</v>
      </c>
      <c r="AK87" s="337">
        <f>SUM($B$86:AK86)</f>
        <v>24564.855837970561</v>
      </c>
      <c r="AL87" s="337">
        <f>SUM($B$86:AL86)</f>
        <v>24116.935462078069</v>
      </c>
      <c r="AM87" s="337">
        <f>SUM($B$86:AM86)</f>
        <v>23705.606222095514</v>
      </c>
      <c r="AN87" s="337">
        <f>SUM($B$86:AN86)</f>
        <v>23327.87894561806</v>
      </c>
      <c r="AO87" s="337">
        <f>SUM($B$86:AO86)</f>
        <v>22981.008649207517</v>
      </c>
      <c r="AP87" s="337">
        <f>SUM($B$86:AP86)</f>
        <v>22662.474590311929</v>
      </c>
    </row>
    <row r="88" spans="1:45" ht="14.25" x14ac:dyDescent="0.2">
      <c r="A88" s="215" t="s">
        <v>297</v>
      </c>
      <c r="B88" s="339">
        <f>IF((ISERR(IRR($B$83:B83))),0,IF(IRR($B$83:B83)&lt;0,0,IRR($B$83:B83)))</f>
        <v>0</v>
      </c>
      <c r="C88" s="339">
        <f>IF((ISERR(IRR($B$83:C83))),0,IF(IRR($B$83:C83)&lt;0,0,IRR($B$83:C83)))</f>
        <v>0</v>
      </c>
      <c r="D88" s="339">
        <f>IF((ISERR(IRR($B$83:D83))),0,IF(IRR($B$83:D83)&lt;0,0,IRR($B$83:D83)))</f>
        <v>0</v>
      </c>
      <c r="E88" s="339">
        <f>IF((ISERR(IRR($B$83:E83))),0,IF(IRR($B$83:E83)&lt;0,0,IRR($B$83:E83)))</f>
        <v>4.3448433446333645E-2</v>
      </c>
      <c r="F88" s="339">
        <f>IF((ISERR(IRR($B$83:F83))),0,IF(IRR($B$83:F83)&lt;0,0,IRR($B$83:F83)))</f>
        <v>1.8605275331502469E-3</v>
      </c>
      <c r="G88" s="339">
        <f>IF((ISERR(IRR($B$83:G83))),0,IF(IRR($B$83:G83)&lt;0,0,IRR($B$83:G83)))</f>
        <v>1.8605275331502469E-3</v>
      </c>
      <c r="H88" s="339">
        <f>IF((ISERR(IRR($B$83:H83))),0,IF(IRR($B$83:H83)&lt;0,0,IRR($B$83:H83)))</f>
        <v>1.8605275331502469E-3</v>
      </c>
      <c r="I88" s="339">
        <f>IF((ISERR(IRR($B$83:I83))),0,IF(IRR($B$83:I83)&lt;0,0,IRR($B$83:I83)))</f>
        <v>0</v>
      </c>
      <c r="J88" s="339">
        <f>IF((ISERR(IRR($B$83:J83))),0,IF(IRR($B$83:J83)&lt;0,0,IRR($B$83:J83)))</f>
        <v>0</v>
      </c>
      <c r="K88" s="339">
        <f>IF((ISERR(IRR($B$83:K83))),0,IF(IRR($B$83:K83)&lt;0,0,IRR($B$83:K83)))</f>
        <v>0</v>
      </c>
      <c r="L88" s="339">
        <f>IF((ISERR(IRR($B$83:L83))),0,IF(IRR($B$83:L83)&lt;0,0,IRR($B$83:L83)))</f>
        <v>0</v>
      </c>
      <c r="M88" s="339">
        <f>IF((ISERR(IRR($B$83:M83))),0,IF(IRR($B$83:M83)&lt;0,0,IRR($B$83:M83)))</f>
        <v>0</v>
      </c>
      <c r="N88" s="339">
        <f>IF((ISERR(IRR($B$83:N83))),0,IF(IRR($B$83:N83)&lt;0,0,IRR($B$83:N83)))</f>
        <v>1.0278220909089475E-2</v>
      </c>
      <c r="O88" s="339">
        <f>IF((ISERR(IRR($B$83:O83))),0,IF(IRR($B$83:O83)&lt;0,0,IRR($B$83:O83)))</f>
        <v>2.679657754725473E-2</v>
      </c>
      <c r="P88" s="339">
        <f>IF((ISERR(IRR($B$83:P83))),0,IF(IRR($B$83:P83)&lt;0,0,IRR($B$83:P83)))</f>
        <v>3.9433215024452961E-2</v>
      </c>
      <c r="Q88" s="339">
        <f>IF((ISERR(IRR($B$83:Q83))),0,IF(IRR($B$83:Q83)&lt;0,0,IRR($B$83:Q83)))</f>
        <v>4.9530598955386251E-2</v>
      </c>
      <c r="R88" s="339">
        <f>IF((ISERR(IRR($B$83:R83))),0,IF(IRR($B$83:R83)&lt;0,0,IRR($B$83:R83)))</f>
        <v>5.7816662254068563E-2</v>
      </c>
      <c r="S88" s="339">
        <f>IF((ISERR(IRR($B$83:S83))),0,IF(IRR($B$83:S83)&lt;0,0,IRR($B$83:S83)))</f>
        <v>6.4741505787413001E-2</v>
      </c>
      <c r="T88" s="339">
        <f>IF((ISERR(IRR($B$83:T83))),0,IF(IRR($B$83:T83)&lt;0,0,IRR($B$83:T83)))</f>
        <v>7.0607248861292549E-2</v>
      </c>
      <c r="U88" s="339">
        <f>IF((ISERR(IRR($B$83:U83))),0,IF(IRR($B$83:U83)&lt;0,0,IRR($B$83:U83)))</f>
        <v>7.5628264700542402E-2</v>
      </c>
      <c r="V88" s="339">
        <f>IF((ISERR(IRR($B$83:V83))),0,IF(IRR($B$83:V83)&lt;0,0,IRR($B$83:V83)))</f>
        <v>7.9962831490097752E-2</v>
      </c>
      <c r="W88" s="339">
        <f>IF((ISERR(IRR($B$83:W83))),0,IF(IRR($B$83:W83)&lt;0,0,IRR($B$83:W83)))</f>
        <v>8.4946951226352985E-2</v>
      </c>
      <c r="X88" s="339">
        <f>IF((ISERR(IRR($B$83:X83))),0,IF(IRR($B$83:X83)&lt;0,0,IRR($B$83:X83)))</f>
        <v>8.9162191483650455E-2</v>
      </c>
      <c r="Y88" s="339">
        <f>IF((ISERR(IRR($B$83:Y83))),0,IF(IRR($B$83:Y83)&lt;0,0,IRR($B$83:Y83)))</f>
        <v>9.2766850326275296E-2</v>
      </c>
      <c r="Z88" s="339">
        <f>IF((ISERR(IRR($B$83:Z83))),0,IF(IRR($B$83:Z83)&lt;0,0,IRR($B$83:Z83)))</f>
        <v>9.587683998047547E-2</v>
      </c>
      <c r="AA88" s="339">
        <f>IF((ISERR(IRR($B$83:AA83))),0,IF(IRR($B$83:AA83)&lt;0,0,IRR($B$83:AA83)))</f>
        <v>9.8579734725309676E-2</v>
      </c>
      <c r="AB88" s="339">
        <f>IF((ISERR(IRR($B$83:AB83))),0,IF(IRR($B$83:AB83)&lt;0,0,IRR($B$83:AB83)))</f>
        <v>0.10094333608170158</v>
      </c>
      <c r="AC88" s="339">
        <f>IF((ISERR(IRR($B$83:AC83))),0,IF(IRR($B$83:AC83)&lt;0,0,IRR($B$83:AC83)))</f>
        <v>0.10302117633641483</v>
      </c>
      <c r="AD88" s="339">
        <f>IF((ISERR(IRR($B$83:AD83))),0,IF(IRR($B$83:AD83)&lt;0,0,IRR($B$83:AD83)))</f>
        <v>0.10485620652819772</v>
      </c>
      <c r="AE88" s="339">
        <f>IF((ISERR(IRR($B$83:AE83))),0,IF(IRR($B$83:AE83)&lt;0,0,IRR($B$83:AE83)))</f>
        <v>0.1064833540399972</v>
      </c>
      <c r="AF88" s="339">
        <f>IF((ISERR(IRR($B$83:AF83))),0,IF(IRR($B$83:AF83)&lt;0,0,IRR($B$83:AF83)))</f>
        <v>0.10793134743633459</v>
      </c>
      <c r="AG88" s="339">
        <f>IF((ISERR(IRR($B$83:AG83))),0,IF(IRR($B$83:AG83)&lt;0,0,IRR($B$83:AG83)))</f>
        <v>0.10922404998212643</v>
      </c>
      <c r="AH88" s="339">
        <f>IF((ISERR(IRR($B$83:AH83))),0,IF(IRR($B$83:AH83)&lt;0,0,IRR($B$83:AH83)))</f>
        <v>0.11038145414398826</v>
      </c>
      <c r="AI88" s="339">
        <f>IF((ISERR(IRR($B$83:AI83))),0,IF(IRR($B$83:AI83)&lt;0,0,IRR($B$83:AI83)))</f>
        <v>0.11142043634448173</v>
      </c>
      <c r="AJ88" s="339">
        <f>IF((ISERR(IRR($B$83:AJ83))),0,IF(IRR($B$83:AJ83)&lt;0,0,IRR($B$83:AJ83)))</f>
        <v>0.11235533852797586</v>
      </c>
      <c r="AK88" s="339">
        <f>IF((ISERR(IRR($B$83:AK83))),0,IF(IRR($B$83:AK83)&lt;0,0,IRR($B$83:AK83)))</f>
        <v>0.11319842227783861</v>
      </c>
      <c r="AL88" s="339">
        <f>IF((ISERR(IRR($B$83:AL83))),0,IF(IRR($B$83:AL83)&lt;0,0,IRR($B$83:AL83)))</f>
        <v>0.11396022760437918</v>
      </c>
      <c r="AM88" s="339">
        <f>IF((ISERR(IRR($B$83:AM83))),0,IF(IRR($B$83:AM83)&lt;0,0,IRR($B$83:AM83)))</f>
        <v>0.11464985939328032</v>
      </c>
      <c r="AN88" s="339">
        <f>IF((ISERR(IRR($B$83:AN83))),0,IF(IRR($B$83:AN83)&lt;0,0,IRR($B$83:AN83)))</f>
        <v>0.11527521825115894</v>
      </c>
      <c r="AO88" s="339">
        <f>IF((ISERR(IRR($B$83:AO83))),0,IF(IRR($B$83:AO83)&lt;0,0,IRR($B$83:AO83)))</f>
        <v>0.11584318811799466</v>
      </c>
      <c r="AP88" s="339">
        <f>IF((ISERR(IRR($B$83:AP83))),0,IF(IRR($B$83:AP83)&lt;0,0,IRR($B$83:AP83)))</f>
        <v>0.116359789915776</v>
      </c>
    </row>
    <row r="89" spans="1:45" ht="14.25" x14ac:dyDescent="0.2">
      <c r="A89" s="215" t="s">
        <v>296</v>
      </c>
      <c r="B89" s="340">
        <f>IF(AND(B84&gt;0,A84&lt;0),(B74-(B84/(B84-A84))),0)</f>
        <v>0</v>
      </c>
      <c r="C89" s="340">
        <f t="shared" ref="C89:AP89" si="32">IF(AND(C84&gt;0,B84&lt;0),(C74-(C84/(C84-B84))),0)</f>
        <v>0</v>
      </c>
      <c r="D89" s="340">
        <f t="shared" si="32"/>
        <v>0</v>
      </c>
      <c r="E89" s="340">
        <f t="shared" si="32"/>
        <v>0</v>
      </c>
      <c r="F89" s="340">
        <f t="shared" si="32"/>
        <v>0</v>
      </c>
      <c r="G89" s="340">
        <f t="shared" si="32"/>
        <v>0</v>
      </c>
      <c r="H89" s="340">
        <f>IF(AND(H84&gt;0,G84&lt;0),(H74-(H84/(H84-G84))),0)</f>
        <v>0</v>
      </c>
      <c r="I89" s="340">
        <f t="shared" si="32"/>
        <v>7.6768511092687959</v>
      </c>
      <c r="J89" s="340">
        <f t="shared" si="32"/>
        <v>0</v>
      </c>
      <c r="K89" s="340">
        <f t="shared" si="32"/>
        <v>0</v>
      </c>
      <c r="L89" s="340">
        <f t="shared" si="32"/>
        <v>0</v>
      </c>
      <c r="M89" s="340">
        <f t="shared" si="32"/>
        <v>0</v>
      </c>
      <c r="N89" s="340">
        <f t="shared" si="32"/>
        <v>0</v>
      </c>
      <c r="O89" s="340">
        <f t="shared" si="32"/>
        <v>0</v>
      </c>
      <c r="P89" s="340">
        <f t="shared" si="32"/>
        <v>0</v>
      </c>
      <c r="Q89" s="340">
        <f t="shared" si="32"/>
        <v>0</v>
      </c>
      <c r="R89" s="340">
        <f t="shared" si="32"/>
        <v>0</v>
      </c>
      <c r="S89" s="340">
        <f t="shared" si="32"/>
        <v>0</v>
      </c>
      <c r="T89" s="340">
        <f t="shared" si="32"/>
        <v>0</v>
      </c>
      <c r="U89" s="340">
        <f t="shared" si="32"/>
        <v>0</v>
      </c>
      <c r="V89" s="340">
        <f t="shared" si="32"/>
        <v>0</v>
      </c>
      <c r="W89" s="340">
        <f t="shared" si="32"/>
        <v>0</v>
      </c>
      <c r="X89" s="340">
        <f t="shared" si="32"/>
        <v>0</v>
      </c>
      <c r="Y89" s="340">
        <f t="shared" si="32"/>
        <v>0</v>
      </c>
      <c r="Z89" s="340">
        <f t="shared" si="32"/>
        <v>0</v>
      </c>
      <c r="AA89" s="340">
        <f t="shared" si="32"/>
        <v>0</v>
      </c>
      <c r="AB89" s="340">
        <f t="shared" si="32"/>
        <v>0</v>
      </c>
      <c r="AC89" s="340">
        <f t="shared" si="32"/>
        <v>0</v>
      </c>
      <c r="AD89" s="340">
        <f t="shared" si="32"/>
        <v>0</v>
      </c>
      <c r="AE89" s="340">
        <f t="shared" si="32"/>
        <v>0</v>
      </c>
      <c r="AF89" s="340">
        <f t="shared" si="32"/>
        <v>0</v>
      </c>
      <c r="AG89" s="340">
        <f t="shared" si="32"/>
        <v>0</v>
      </c>
      <c r="AH89" s="340">
        <f t="shared" si="32"/>
        <v>0</v>
      </c>
      <c r="AI89" s="340">
        <f t="shared" si="32"/>
        <v>0</v>
      </c>
      <c r="AJ89" s="340">
        <f t="shared" si="32"/>
        <v>0</v>
      </c>
      <c r="AK89" s="340">
        <f t="shared" si="32"/>
        <v>0</v>
      </c>
      <c r="AL89" s="340">
        <f t="shared" si="32"/>
        <v>0</v>
      </c>
      <c r="AM89" s="340">
        <f t="shared" si="32"/>
        <v>0</v>
      </c>
      <c r="AN89" s="340">
        <f t="shared" si="32"/>
        <v>0</v>
      </c>
      <c r="AO89" s="340">
        <f t="shared" si="32"/>
        <v>0</v>
      </c>
      <c r="AP89" s="340">
        <f t="shared" si="32"/>
        <v>0</v>
      </c>
    </row>
    <row r="90" spans="1:45" ht="15" thickBot="1" x14ac:dyDescent="0.25">
      <c r="A90" s="225" t="s">
        <v>295</v>
      </c>
      <c r="B90" s="226">
        <f t="shared" ref="B90:AP90" si="33">IF(AND(B87&gt;0,A87&lt;0),(B74-(B87/(B87-A87))),0)</f>
        <v>0</v>
      </c>
      <c r="C90" s="226">
        <f t="shared" si="33"/>
        <v>0</v>
      </c>
      <c r="D90" s="226">
        <f t="shared" si="33"/>
        <v>0</v>
      </c>
      <c r="E90" s="226">
        <f t="shared" si="33"/>
        <v>0</v>
      </c>
      <c r="F90" s="226">
        <f t="shared" si="33"/>
        <v>0</v>
      </c>
      <c r="G90" s="226">
        <f t="shared" si="33"/>
        <v>0</v>
      </c>
      <c r="H90" s="226">
        <f t="shared" si="33"/>
        <v>0</v>
      </c>
      <c r="I90" s="226">
        <f t="shared" si="33"/>
        <v>0</v>
      </c>
      <c r="J90" s="226">
        <f t="shared" si="33"/>
        <v>0</v>
      </c>
      <c r="K90" s="226">
        <f t="shared" si="33"/>
        <v>0</v>
      </c>
      <c r="L90" s="226">
        <f t="shared" si="33"/>
        <v>0</v>
      </c>
      <c r="M90" s="226">
        <f t="shared" si="33"/>
        <v>0</v>
      </c>
      <c r="N90" s="226">
        <f t="shared" si="33"/>
        <v>0</v>
      </c>
      <c r="O90" s="226">
        <f t="shared" si="33"/>
        <v>0</v>
      </c>
      <c r="P90" s="226">
        <f t="shared" si="33"/>
        <v>0</v>
      </c>
      <c r="Q90" s="226">
        <f t="shared" si="33"/>
        <v>0</v>
      </c>
      <c r="R90" s="226">
        <f t="shared" si="33"/>
        <v>0</v>
      </c>
      <c r="S90" s="226">
        <f t="shared" si="33"/>
        <v>0</v>
      </c>
      <c r="T90" s="226">
        <f t="shared" si="33"/>
        <v>0</v>
      </c>
      <c r="U90" s="226">
        <f t="shared" si="33"/>
        <v>0</v>
      </c>
      <c r="V90" s="226">
        <f t="shared" si="33"/>
        <v>0</v>
      </c>
      <c r="W90" s="226">
        <f t="shared" si="33"/>
        <v>0</v>
      </c>
      <c r="X90" s="226">
        <f t="shared" si="33"/>
        <v>0</v>
      </c>
      <c r="Y90" s="226">
        <f t="shared" si="33"/>
        <v>0</v>
      </c>
      <c r="Z90" s="226">
        <f t="shared" si="33"/>
        <v>0</v>
      </c>
      <c r="AA90" s="226">
        <f t="shared" si="33"/>
        <v>0</v>
      </c>
      <c r="AB90" s="226">
        <f t="shared" si="33"/>
        <v>0</v>
      </c>
      <c r="AC90" s="226">
        <f t="shared" si="33"/>
        <v>0</v>
      </c>
      <c r="AD90" s="226">
        <f t="shared" si="33"/>
        <v>0</v>
      </c>
      <c r="AE90" s="226">
        <f t="shared" si="33"/>
        <v>0</v>
      </c>
      <c r="AF90" s="226">
        <f t="shared" si="33"/>
        <v>0</v>
      </c>
      <c r="AG90" s="226">
        <f t="shared" si="33"/>
        <v>0</v>
      </c>
      <c r="AH90" s="226">
        <f t="shared" si="33"/>
        <v>0</v>
      </c>
      <c r="AI90" s="226">
        <f t="shared" si="33"/>
        <v>0</v>
      </c>
      <c r="AJ90" s="226">
        <f t="shared" si="33"/>
        <v>0</v>
      </c>
      <c r="AK90" s="226">
        <f t="shared" si="33"/>
        <v>0</v>
      </c>
      <c r="AL90" s="226">
        <f t="shared" si="33"/>
        <v>0</v>
      </c>
      <c r="AM90" s="226">
        <f t="shared" si="33"/>
        <v>0</v>
      </c>
      <c r="AN90" s="226">
        <f t="shared" si="33"/>
        <v>0</v>
      </c>
      <c r="AO90" s="226">
        <f t="shared" si="33"/>
        <v>0</v>
      </c>
      <c r="AP90" s="226">
        <f t="shared" si="33"/>
        <v>0</v>
      </c>
    </row>
    <row r="91" spans="1:45" s="203" customFormat="1" x14ac:dyDescent="0.2">
      <c r="A91" s="183"/>
      <c r="B91" s="227">
        <v>2019</v>
      </c>
      <c r="C91" s="227">
        <f>B91+1</f>
        <v>2020</v>
      </c>
      <c r="D91" s="168">
        <f t="shared" ref="D91:AP91" si="34">C91+1</f>
        <v>2021</v>
      </c>
      <c r="E91" s="168">
        <f t="shared" si="34"/>
        <v>2022</v>
      </c>
      <c r="F91" s="168">
        <f t="shared" si="34"/>
        <v>2023</v>
      </c>
      <c r="G91" s="168">
        <f t="shared" si="34"/>
        <v>2024</v>
      </c>
      <c r="H91" s="168">
        <f t="shared" si="34"/>
        <v>2025</v>
      </c>
      <c r="I91" s="168">
        <f t="shared" si="34"/>
        <v>2026</v>
      </c>
      <c r="J91" s="168">
        <f t="shared" si="34"/>
        <v>2027</v>
      </c>
      <c r="K91" s="168">
        <f t="shared" si="34"/>
        <v>2028</v>
      </c>
      <c r="L91" s="168">
        <f t="shared" si="34"/>
        <v>2029</v>
      </c>
      <c r="M91" s="168">
        <f t="shared" si="34"/>
        <v>2030</v>
      </c>
      <c r="N91" s="168">
        <f t="shared" si="34"/>
        <v>2031</v>
      </c>
      <c r="O91" s="168">
        <f t="shared" si="34"/>
        <v>2032</v>
      </c>
      <c r="P91" s="168">
        <f t="shared" si="34"/>
        <v>2033</v>
      </c>
      <c r="Q91" s="168">
        <f t="shared" si="34"/>
        <v>2034</v>
      </c>
      <c r="R91" s="168">
        <f t="shared" si="34"/>
        <v>2035</v>
      </c>
      <c r="S91" s="168">
        <f t="shared" si="34"/>
        <v>2036</v>
      </c>
      <c r="T91" s="168">
        <f t="shared" si="34"/>
        <v>2037</v>
      </c>
      <c r="U91" s="168">
        <f t="shared" si="34"/>
        <v>2038</v>
      </c>
      <c r="V91" s="168">
        <f t="shared" si="34"/>
        <v>2039</v>
      </c>
      <c r="W91" s="168">
        <f t="shared" si="34"/>
        <v>2040</v>
      </c>
      <c r="X91" s="168">
        <f t="shared" si="34"/>
        <v>2041</v>
      </c>
      <c r="Y91" s="168">
        <f t="shared" si="34"/>
        <v>2042</v>
      </c>
      <c r="Z91" s="168">
        <f t="shared" si="34"/>
        <v>2043</v>
      </c>
      <c r="AA91" s="168">
        <f t="shared" si="34"/>
        <v>2044</v>
      </c>
      <c r="AB91" s="168">
        <f t="shared" si="34"/>
        <v>2045</v>
      </c>
      <c r="AC91" s="168">
        <f t="shared" si="34"/>
        <v>2046</v>
      </c>
      <c r="AD91" s="168">
        <f t="shared" si="34"/>
        <v>2047</v>
      </c>
      <c r="AE91" s="168">
        <f t="shared" si="34"/>
        <v>2048</v>
      </c>
      <c r="AF91" s="168">
        <f t="shared" si="34"/>
        <v>2049</v>
      </c>
      <c r="AG91" s="168">
        <f t="shared" si="34"/>
        <v>2050</v>
      </c>
      <c r="AH91" s="168">
        <f t="shared" si="34"/>
        <v>2051</v>
      </c>
      <c r="AI91" s="168">
        <f t="shared" si="34"/>
        <v>2052</v>
      </c>
      <c r="AJ91" s="168">
        <f t="shared" si="34"/>
        <v>2053</v>
      </c>
      <c r="AK91" s="168">
        <f t="shared" si="34"/>
        <v>2054</v>
      </c>
      <c r="AL91" s="168">
        <f t="shared" si="34"/>
        <v>2055</v>
      </c>
      <c r="AM91" s="168">
        <f t="shared" si="34"/>
        <v>2056</v>
      </c>
      <c r="AN91" s="168">
        <f t="shared" si="34"/>
        <v>2057</v>
      </c>
      <c r="AO91" s="168">
        <f t="shared" si="34"/>
        <v>2058</v>
      </c>
      <c r="AP91" s="168">
        <f t="shared" si="34"/>
        <v>2059</v>
      </c>
      <c r="AQ91" s="169"/>
      <c r="AR91" s="169"/>
      <c r="AS91" s="169"/>
    </row>
    <row r="92" spans="1:45" ht="15.6" customHeight="1" x14ac:dyDescent="0.2">
      <c r="A92" s="228" t="s">
        <v>294</v>
      </c>
      <c r="B92" s="116"/>
      <c r="C92" s="116"/>
      <c r="D92" s="116"/>
      <c r="E92" s="116"/>
      <c r="F92" s="116"/>
      <c r="G92" s="116"/>
      <c r="H92" s="116"/>
      <c r="I92" s="116"/>
      <c r="J92" s="116"/>
      <c r="K92" s="116"/>
      <c r="L92" s="229">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64" t="s">
        <v>540</v>
      </c>
      <c r="B97" s="464"/>
      <c r="C97" s="464"/>
      <c r="D97" s="464"/>
      <c r="E97" s="464"/>
      <c r="F97" s="464"/>
      <c r="G97" s="464"/>
      <c r="H97" s="464"/>
      <c r="I97" s="464"/>
      <c r="J97" s="464"/>
      <c r="K97" s="464"/>
      <c r="L97" s="464"/>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hidden="1" thickBot="1" x14ac:dyDescent="0.25">
      <c r="C98" s="230"/>
    </row>
    <row r="99" spans="1:71" s="236" customFormat="1" ht="16.5" hidden="1" thickTop="1" x14ac:dyDescent="0.2">
      <c r="A99" s="231" t="s">
        <v>541</v>
      </c>
      <c r="B99" s="232">
        <f>B81*B85</f>
        <v>-14966.958596102546</v>
      </c>
      <c r="C99" s="233">
        <f>C81*C85</f>
        <v>-47561.107843769227</v>
      </c>
      <c r="D99" s="233">
        <f t="shared" ref="D99:AP99" si="35">D81*D85</f>
        <v>0</v>
      </c>
      <c r="E99" s="233">
        <f t="shared" si="35"/>
        <v>-120282.30107987097</v>
      </c>
      <c r="F99" s="233">
        <f t="shared" si="35"/>
        <v>13469.664965689035</v>
      </c>
      <c r="G99" s="233">
        <f t="shared" si="35"/>
        <v>0</v>
      </c>
      <c r="H99" s="233">
        <f t="shared" si="35"/>
        <v>0</v>
      </c>
      <c r="I99" s="233">
        <f t="shared" si="35"/>
        <v>0</v>
      </c>
      <c r="J99" s="233">
        <f>J81*J85</f>
        <v>0</v>
      </c>
      <c r="K99" s="233">
        <f t="shared" si="35"/>
        <v>0</v>
      </c>
      <c r="L99" s="233">
        <f>L81*L85</f>
        <v>0</v>
      </c>
      <c r="M99" s="233">
        <f t="shared" si="35"/>
        <v>0</v>
      </c>
      <c r="N99" s="233">
        <f t="shared" si="35"/>
        <v>0</v>
      </c>
      <c r="O99" s="233">
        <f t="shared" si="35"/>
        <v>0</v>
      </c>
      <c r="P99" s="233">
        <f t="shared" si="35"/>
        <v>0</v>
      </c>
      <c r="Q99" s="233">
        <f t="shared" si="35"/>
        <v>0</v>
      </c>
      <c r="R99" s="233">
        <f t="shared" si="35"/>
        <v>0</v>
      </c>
      <c r="S99" s="233">
        <f t="shared" si="35"/>
        <v>0</v>
      </c>
      <c r="T99" s="233">
        <f t="shared" si="35"/>
        <v>0</v>
      </c>
      <c r="U99" s="233">
        <f t="shared" si="35"/>
        <v>0</v>
      </c>
      <c r="V99" s="233">
        <f t="shared" si="35"/>
        <v>0</v>
      </c>
      <c r="W99" s="233">
        <f t="shared" si="35"/>
        <v>0</v>
      </c>
      <c r="X99" s="233">
        <f t="shared" si="35"/>
        <v>0</v>
      </c>
      <c r="Y99" s="233">
        <f t="shared" si="35"/>
        <v>0</v>
      </c>
      <c r="Z99" s="233">
        <f t="shared" si="35"/>
        <v>0</v>
      </c>
      <c r="AA99" s="233">
        <f t="shared" si="35"/>
        <v>0</v>
      </c>
      <c r="AB99" s="233">
        <f t="shared" si="35"/>
        <v>0</v>
      </c>
      <c r="AC99" s="233">
        <f t="shared" si="35"/>
        <v>0</v>
      </c>
      <c r="AD99" s="233">
        <f t="shared" si="35"/>
        <v>0</v>
      </c>
      <c r="AE99" s="233">
        <f t="shared" si="35"/>
        <v>0</v>
      </c>
      <c r="AF99" s="233">
        <f t="shared" si="35"/>
        <v>0</v>
      </c>
      <c r="AG99" s="233">
        <f t="shared" si="35"/>
        <v>0</v>
      </c>
      <c r="AH99" s="233">
        <f t="shared" si="35"/>
        <v>0</v>
      </c>
      <c r="AI99" s="233">
        <f t="shared" si="35"/>
        <v>0</v>
      </c>
      <c r="AJ99" s="233">
        <f t="shared" si="35"/>
        <v>0</v>
      </c>
      <c r="AK99" s="233">
        <f t="shared" si="35"/>
        <v>0</v>
      </c>
      <c r="AL99" s="233">
        <f t="shared" si="35"/>
        <v>0</v>
      </c>
      <c r="AM99" s="233">
        <f t="shared" si="35"/>
        <v>0</v>
      </c>
      <c r="AN99" s="233">
        <f t="shared" si="35"/>
        <v>0</v>
      </c>
      <c r="AO99" s="233">
        <f t="shared" si="35"/>
        <v>0</v>
      </c>
      <c r="AP99" s="233">
        <f t="shared" si="35"/>
        <v>0</v>
      </c>
      <c r="AQ99" s="234">
        <f>SUM(B99:AP99)</f>
        <v>-169340.70255405371</v>
      </c>
      <c r="AR99" s="235"/>
      <c r="AS99" s="235"/>
    </row>
    <row r="100" spans="1:71" s="239" customFormat="1" hidden="1" x14ac:dyDescent="0.2">
      <c r="A100" s="237">
        <f>AQ99</f>
        <v>-169340.70255405371</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hidden="1" x14ac:dyDescent="0.2">
      <c r="A101" s="237">
        <f>AP87</f>
        <v>22662.474590311929</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hidden="1" x14ac:dyDescent="0.2">
      <c r="A102" s="240" t="s">
        <v>542</v>
      </c>
      <c r="B102" s="341">
        <f>(A101+-A100)/-A100</f>
        <v>1.133827687310309</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hidden="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hidden="1" x14ac:dyDescent="0.2">
      <c r="A104" s="342" t="s">
        <v>543</v>
      </c>
      <c r="B104" s="342" t="s">
        <v>544</v>
      </c>
      <c r="C104" s="342" t="s">
        <v>545</v>
      </c>
      <c r="D104" s="342" t="s">
        <v>546</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hidden="1" x14ac:dyDescent="0.2">
      <c r="A105" s="343">
        <f>G30/1000/1000</f>
        <v>5.4955956626148335E-2</v>
      </c>
      <c r="B105" s="344">
        <f>L88</f>
        <v>0</v>
      </c>
      <c r="C105" s="345">
        <f>G28</f>
        <v>7.6768511092687959</v>
      </c>
      <c r="D105" s="345" t="str">
        <f>G29</f>
        <v>не окупается</v>
      </c>
      <c r="E105" s="244" t="s">
        <v>547</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hidden="1"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hidden="1" x14ac:dyDescent="0.2">
      <c r="A107" s="346"/>
      <c r="B107" s="347">
        <v>2019</v>
      </c>
      <c r="C107" s="348">
        <f t="shared" ref="C107" si="36">B107+1</f>
        <v>2020</v>
      </c>
      <c r="D107" s="348">
        <f t="shared" ref="D107" si="37">C107+1</f>
        <v>2021</v>
      </c>
      <c r="E107" s="348">
        <f t="shared" ref="E107:AP107" si="38">D107+1</f>
        <v>2022</v>
      </c>
      <c r="F107" s="348">
        <f t="shared" si="38"/>
        <v>2023</v>
      </c>
      <c r="G107" s="348">
        <f t="shared" si="38"/>
        <v>2024</v>
      </c>
      <c r="H107" s="348">
        <f t="shared" si="38"/>
        <v>2025</v>
      </c>
      <c r="I107" s="348">
        <f t="shared" si="38"/>
        <v>2026</v>
      </c>
      <c r="J107" s="348">
        <f t="shared" si="38"/>
        <v>2027</v>
      </c>
      <c r="K107" s="348">
        <f t="shared" si="38"/>
        <v>2028</v>
      </c>
      <c r="L107" s="348">
        <f t="shared" si="38"/>
        <v>2029</v>
      </c>
      <c r="M107" s="348">
        <f t="shared" si="38"/>
        <v>2030</v>
      </c>
      <c r="N107" s="348">
        <f t="shared" si="38"/>
        <v>2031</v>
      </c>
      <c r="O107" s="348">
        <f t="shared" si="38"/>
        <v>2032</v>
      </c>
      <c r="P107" s="348">
        <f t="shared" si="38"/>
        <v>2033</v>
      </c>
      <c r="Q107" s="348">
        <f t="shared" si="38"/>
        <v>2034</v>
      </c>
      <c r="R107" s="348">
        <f t="shared" si="38"/>
        <v>2035</v>
      </c>
      <c r="S107" s="348">
        <f t="shared" si="38"/>
        <v>2036</v>
      </c>
      <c r="T107" s="348">
        <f t="shared" si="38"/>
        <v>2037</v>
      </c>
      <c r="U107" s="348">
        <f t="shared" si="38"/>
        <v>2038</v>
      </c>
      <c r="V107" s="348">
        <f t="shared" si="38"/>
        <v>2039</v>
      </c>
      <c r="W107" s="348">
        <f t="shared" si="38"/>
        <v>2040</v>
      </c>
      <c r="X107" s="348">
        <f t="shared" si="38"/>
        <v>2041</v>
      </c>
      <c r="Y107" s="348">
        <f t="shared" si="38"/>
        <v>2042</v>
      </c>
      <c r="Z107" s="348">
        <f t="shared" si="38"/>
        <v>2043</v>
      </c>
      <c r="AA107" s="348">
        <f t="shared" si="38"/>
        <v>2044</v>
      </c>
      <c r="AB107" s="348">
        <f t="shared" si="38"/>
        <v>2045</v>
      </c>
      <c r="AC107" s="348">
        <f t="shared" si="38"/>
        <v>2046</v>
      </c>
      <c r="AD107" s="348">
        <f t="shared" si="38"/>
        <v>2047</v>
      </c>
      <c r="AE107" s="348">
        <f t="shared" si="38"/>
        <v>2048</v>
      </c>
      <c r="AF107" s="348">
        <f t="shared" si="38"/>
        <v>2049</v>
      </c>
      <c r="AG107" s="348">
        <f t="shared" si="38"/>
        <v>2050</v>
      </c>
      <c r="AH107" s="348">
        <f t="shared" si="38"/>
        <v>2051</v>
      </c>
      <c r="AI107" s="348">
        <f t="shared" si="38"/>
        <v>2052</v>
      </c>
      <c r="AJ107" s="348">
        <f t="shared" si="38"/>
        <v>2053</v>
      </c>
      <c r="AK107" s="348">
        <f t="shared" si="38"/>
        <v>2054</v>
      </c>
      <c r="AL107" s="348">
        <f t="shared" si="38"/>
        <v>2055</v>
      </c>
      <c r="AM107" s="348">
        <f t="shared" si="38"/>
        <v>2056</v>
      </c>
      <c r="AN107" s="348">
        <f t="shared" si="38"/>
        <v>2057</v>
      </c>
      <c r="AO107" s="348">
        <f t="shared" si="38"/>
        <v>2058</v>
      </c>
      <c r="AP107" s="348">
        <f t="shared" si="38"/>
        <v>2059</v>
      </c>
      <c r="AT107" s="239"/>
      <c r="AU107" s="239"/>
      <c r="AV107" s="239"/>
      <c r="AW107" s="239"/>
      <c r="AX107" s="239"/>
      <c r="AY107" s="239"/>
      <c r="AZ107" s="239"/>
      <c r="BA107" s="239"/>
      <c r="BB107" s="239"/>
      <c r="BC107" s="239"/>
      <c r="BD107" s="239"/>
      <c r="BE107" s="239"/>
      <c r="BF107" s="239"/>
      <c r="BG107" s="239"/>
    </row>
    <row r="108" spans="1:71" ht="12.75" hidden="1" x14ac:dyDescent="0.2">
      <c r="A108" s="349" t="s">
        <v>548</v>
      </c>
      <c r="B108" s="350"/>
      <c r="C108" s="350">
        <f>C109*$B$111*$B$112*1000</f>
        <v>0</v>
      </c>
      <c r="D108" s="350">
        <f t="shared" ref="D108:AP108" si="39">D109*$B$111*$B$112*1000</f>
        <v>0</v>
      </c>
      <c r="E108" s="350">
        <f>E109*$B$111*$B$112*1000</f>
        <v>0</v>
      </c>
      <c r="F108" s="350">
        <f t="shared" si="39"/>
        <v>0</v>
      </c>
      <c r="G108" s="350">
        <f t="shared" si="39"/>
        <v>0</v>
      </c>
      <c r="H108" s="350">
        <f t="shared" si="39"/>
        <v>0</v>
      </c>
      <c r="I108" s="350">
        <f t="shared" si="39"/>
        <v>0</v>
      </c>
      <c r="J108" s="350">
        <f t="shared" si="39"/>
        <v>0</v>
      </c>
      <c r="K108" s="350">
        <f t="shared" si="39"/>
        <v>0</v>
      </c>
      <c r="L108" s="350">
        <f t="shared" si="39"/>
        <v>0</v>
      </c>
      <c r="M108" s="350">
        <f t="shared" si="39"/>
        <v>0</v>
      </c>
      <c r="N108" s="350">
        <f t="shared" si="39"/>
        <v>0</v>
      </c>
      <c r="O108" s="350">
        <f t="shared" si="39"/>
        <v>0</v>
      </c>
      <c r="P108" s="350">
        <f t="shared" si="39"/>
        <v>0</v>
      </c>
      <c r="Q108" s="350">
        <f t="shared" si="39"/>
        <v>0</v>
      </c>
      <c r="R108" s="350">
        <f t="shared" si="39"/>
        <v>0</v>
      </c>
      <c r="S108" s="350">
        <f t="shared" si="39"/>
        <v>0</v>
      </c>
      <c r="T108" s="350">
        <f t="shared" si="39"/>
        <v>0</v>
      </c>
      <c r="U108" s="350">
        <f t="shared" si="39"/>
        <v>0</v>
      </c>
      <c r="V108" s="350">
        <f t="shared" si="39"/>
        <v>0</v>
      </c>
      <c r="W108" s="350">
        <f t="shared" si="39"/>
        <v>0</v>
      </c>
      <c r="X108" s="350">
        <f t="shared" si="39"/>
        <v>0</v>
      </c>
      <c r="Y108" s="350">
        <f t="shared" si="39"/>
        <v>0</v>
      </c>
      <c r="Z108" s="350">
        <f t="shared" si="39"/>
        <v>0</v>
      </c>
      <c r="AA108" s="350">
        <f t="shared" si="39"/>
        <v>0</v>
      </c>
      <c r="AB108" s="350">
        <f t="shared" si="39"/>
        <v>0</v>
      </c>
      <c r="AC108" s="350">
        <f t="shared" si="39"/>
        <v>0</v>
      </c>
      <c r="AD108" s="350">
        <f t="shared" si="39"/>
        <v>0</v>
      </c>
      <c r="AE108" s="350">
        <f t="shared" si="39"/>
        <v>0</v>
      </c>
      <c r="AF108" s="350">
        <f t="shared" si="39"/>
        <v>0</v>
      </c>
      <c r="AG108" s="350">
        <f t="shared" si="39"/>
        <v>0</v>
      </c>
      <c r="AH108" s="350">
        <f t="shared" si="39"/>
        <v>0</v>
      </c>
      <c r="AI108" s="350">
        <f t="shared" si="39"/>
        <v>0</v>
      </c>
      <c r="AJ108" s="350">
        <f t="shared" si="39"/>
        <v>0</v>
      </c>
      <c r="AK108" s="350">
        <f t="shared" si="39"/>
        <v>0</v>
      </c>
      <c r="AL108" s="350">
        <f t="shared" si="39"/>
        <v>0</v>
      </c>
      <c r="AM108" s="350">
        <f t="shared" si="39"/>
        <v>0</v>
      </c>
      <c r="AN108" s="350">
        <f t="shared" si="39"/>
        <v>0</v>
      </c>
      <c r="AO108" s="350">
        <f t="shared" si="39"/>
        <v>0</v>
      </c>
      <c r="AP108" s="350">
        <f t="shared" si="39"/>
        <v>0</v>
      </c>
      <c r="AT108" s="239"/>
      <c r="AU108" s="239"/>
      <c r="AV108" s="239"/>
      <c r="AW108" s="239"/>
      <c r="AX108" s="239"/>
      <c r="AY108" s="239"/>
      <c r="AZ108" s="239"/>
      <c r="BA108" s="239"/>
      <c r="BB108" s="239"/>
      <c r="BC108" s="239"/>
      <c r="BD108" s="239"/>
      <c r="BE108" s="239"/>
      <c r="BF108" s="239"/>
      <c r="BG108" s="239"/>
    </row>
    <row r="109" spans="1:71" ht="12.75" hidden="1" x14ac:dyDescent="0.2">
      <c r="A109" s="349" t="s">
        <v>549</v>
      </c>
      <c r="B109" s="348"/>
      <c r="C109" s="348">
        <f>B109+$I$120*C113</f>
        <v>0</v>
      </c>
      <c r="D109" s="348">
        <f>C109+$I$120*D113</f>
        <v>0</v>
      </c>
      <c r="E109" s="348">
        <f t="shared" ref="E109:AP109" si="40">D109+$I$120*E113</f>
        <v>0</v>
      </c>
      <c r="F109" s="348">
        <f t="shared" si="40"/>
        <v>0</v>
      </c>
      <c r="G109" s="348">
        <f t="shared" si="40"/>
        <v>0</v>
      </c>
      <c r="H109" s="348">
        <f t="shared" si="40"/>
        <v>0</v>
      </c>
      <c r="I109" s="348">
        <f t="shared" si="40"/>
        <v>0</v>
      </c>
      <c r="J109" s="348">
        <f t="shared" si="40"/>
        <v>0</v>
      </c>
      <c r="K109" s="348">
        <f t="shared" si="40"/>
        <v>0</v>
      </c>
      <c r="L109" s="348">
        <f t="shared" si="40"/>
        <v>0</v>
      </c>
      <c r="M109" s="348">
        <f t="shared" si="40"/>
        <v>0</v>
      </c>
      <c r="N109" s="348">
        <f t="shared" si="40"/>
        <v>0</v>
      </c>
      <c r="O109" s="348">
        <f t="shared" si="40"/>
        <v>0</v>
      </c>
      <c r="P109" s="348">
        <f t="shared" si="40"/>
        <v>0</v>
      </c>
      <c r="Q109" s="348">
        <f t="shared" si="40"/>
        <v>0</v>
      </c>
      <c r="R109" s="348">
        <f t="shared" si="40"/>
        <v>0</v>
      </c>
      <c r="S109" s="348">
        <f t="shared" si="40"/>
        <v>0</v>
      </c>
      <c r="T109" s="348">
        <f t="shared" si="40"/>
        <v>0</v>
      </c>
      <c r="U109" s="348">
        <f t="shared" si="40"/>
        <v>0</v>
      </c>
      <c r="V109" s="348">
        <f t="shared" si="40"/>
        <v>0</v>
      </c>
      <c r="W109" s="348">
        <f t="shared" si="40"/>
        <v>0</v>
      </c>
      <c r="X109" s="348">
        <f t="shared" si="40"/>
        <v>0</v>
      </c>
      <c r="Y109" s="348">
        <f t="shared" si="40"/>
        <v>0</v>
      </c>
      <c r="Z109" s="348">
        <f t="shared" si="40"/>
        <v>0</v>
      </c>
      <c r="AA109" s="348">
        <f t="shared" si="40"/>
        <v>0</v>
      </c>
      <c r="AB109" s="348">
        <f t="shared" si="40"/>
        <v>0</v>
      </c>
      <c r="AC109" s="348">
        <f t="shared" si="40"/>
        <v>0</v>
      </c>
      <c r="AD109" s="348">
        <f t="shared" si="40"/>
        <v>0</v>
      </c>
      <c r="AE109" s="348">
        <f t="shared" si="40"/>
        <v>0</v>
      </c>
      <c r="AF109" s="348">
        <f t="shared" si="40"/>
        <v>0</v>
      </c>
      <c r="AG109" s="348">
        <f t="shared" si="40"/>
        <v>0</v>
      </c>
      <c r="AH109" s="348">
        <f t="shared" si="40"/>
        <v>0</v>
      </c>
      <c r="AI109" s="348">
        <f t="shared" si="40"/>
        <v>0</v>
      </c>
      <c r="AJ109" s="348">
        <f t="shared" si="40"/>
        <v>0</v>
      </c>
      <c r="AK109" s="348">
        <f t="shared" si="40"/>
        <v>0</v>
      </c>
      <c r="AL109" s="348">
        <f t="shared" si="40"/>
        <v>0</v>
      </c>
      <c r="AM109" s="348">
        <f t="shared" si="40"/>
        <v>0</v>
      </c>
      <c r="AN109" s="348">
        <f t="shared" si="40"/>
        <v>0</v>
      </c>
      <c r="AO109" s="348">
        <f t="shared" si="40"/>
        <v>0</v>
      </c>
      <c r="AP109" s="348">
        <f t="shared" si="40"/>
        <v>0</v>
      </c>
      <c r="AT109" s="239"/>
      <c r="AU109" s="239"/>
      <c r="AV109" s="239"/>
      <c r="AW109" s="239"/>
      <c r="AX109" s="239"/>
      <c r="AY109" s="239"/>
      <c r="AZ109" s="239"/>
      <c r="BA109" s="239"/>
      <c r="BB109" s="239"/>
      <c r="BC109" s="239"/>
      <c r="BD109" s="239"/>
      <c r="BE109" s="239"/>
      <c r="BF109" s="239"/>
      <c r="BG109" s="239"/>
    </row>
    <row r="110" spans="1:71" ht="12.75" hidden="1" x14ac:dyDescent="0.2">
      <c r="A110" s="349" t="s">
        <v>550</v>
      </c>
      <c r="B110" s="351">
        <v>0.93</v>
      </c>
      <c r="C110" s="348"/>
      <c r="D110" s="348"/>
      <c r="E110" s="348"/>
      <c r="F110" s="348"/>
      <c r="G110" s="348"/>
      <c r="H110" s="348"/>
      <c r="I110" s="348"/>
      <c r="J110" s="348"/>
      <c r="K110" s="348"/>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348"/>
      <c r="AJ110" s="348"/>
      <c r="AK110" s="348"/>
      <c r="AL110" s="348"/>
      <c r="AM110" s="348"/>
      <c r="AN110" s="348"/>
      <c r="AO110" s="348"/>
      <c r="AP110" s="348"/>
      <c r="AT110" s="239"/>
      <c r="AU110" s="239"/>
      <c r="AV110" s="239"/>
      <c r="AW110" s="239"/>
      <c r="AX110" s="239"/>
      <c r="AY110" s="239"/>
      <c r="AZ110" s="239"/>
      <c r="BA110" s="239"/>
      <c r="BB110" s="239"/>
      <c r="BC110" s="239"/>
      <c r="BD110" s="239"/>
      <c r="BE110" s="239"/>
      <c r="BF110" s="239"/>
      <c r="BG110" s="239"/>
    </row>
    <row r="111" spans="1:71" ht="12.75" hidden="1" x14ac:dyDescent="0.2">
      <c r="A111" s="349" t="s">
        <v>551</v>
      </c>
      <c r="B111" s="351">
        <v>4380</v>
      </c>
      <c r="C111" s="348"/>
      <c r="D111" s="348"/>
      <c r="E111" s="348"/>
      <c r="F111" s="348"/>
      <c r="G111" s="348"/>
      <c r="H111" s="348"/>
      <c r="I111" s="348"/>
      <c r="J111" s="348"/>
      <c r="K111" s="348"/>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348"/>
      <c r="AJ111" s="348"/>
      <c r="AK111" s="348"/>
      <c r="AL111" s="348"/>
      <c r="AM111" s="348"/>
      <c r="AN111" s="348"/>
      <c r="AO111" s="348"/>
      <c r="AP111" s="348"/>
      <c r="AT111" s="239"/>
      <c r="AU111" s="239"/>
      <c r="AV111" s="239"/>
      <c r="AW111" s="239"/>
      <c r="AX111" s="239"/>
      <c r="AY111" s="239"/>
      <c r="AZ111" s="239"/>
      <c r="BA111" s="239"/>
      <c r="BB111" s="239"/>
      <c r="BC111" s="239"/>
      <c r="BD111" s="239"/>
      <c r="BE111" s="239"/>
      <c r="BF111" s="239"/>
      <c r="BG111" s="239"/>
    </row>
    <row r="112" spans="1:71" ht="12.75" hidden="1" x14ac:dyDescent="0.2">
      <c r="A112" s="349" t="s">
        <v>552</v>
      </c>
      <c r="B112" s="347">
        <f>$B$131</f>
        <v>2024</v>
      </c>
      <c r="C112" s="348"/>
      <c r="D112" s="348"/>
      <c r="E112" s="348"/>
      <c r="F112" s="348"/>
      <c r="G112" s="392">
        <v>2449.0500000000002</v>
      </c>
      <c r="H112" s="392">
        <v>2750.9</v>
      </c>
      <c r="I112" s="392">
        <v>3022.14</v>
      </c>
      <c r="J112" s="392">
        <v>3178.91</v>
      </c>
      <c r="K112" s="392">
        <v>3307.64</v>
      </c>
      <c r="L112" s="392">
        <v>3439.95</v>
      </c>
      <c r="M112" s="392">
        <v>3439.95</v>
      </c>
      <c r="N112" s="392">
        <v>3439.95</v>
      </c>
      <c r="O112" s="392">
        <v>3439.95</v>
      </c>
      <c r="P112" s="392">
        <v>3439.95</v>
      </c>
      <c r="Q112" s="392">
        <v>3439.95</v>
      </c>
      <c r="R112" s="392">
        <v>3439.95</v>
      </c>
      <c r="S112" s="392">
        <v>3439.95</v>
      </c>
      <c r="T112" s="392">
        <v>3439.95</v>
      </c>
      <c r="U112" s="392">
        <v>3439.95</v>
      </c>
      <c r="V112" s="392">
        <v>3439.95</v>
      </c>
      <c r="W112" s="392">
        <v>3439.95</v>
      </c>
      <c r="X112" s="392">
        <v>3439.95</v>
      </c>
      <c r="Y112" s="392">
        <v>3439.95</v>
      </c>
      <c r="Z112" s="392">
        <v>3439.95</v>
      </c>
      <c r="AA112" s="392">
        <v>3439.95</v>
      </c>
      <c r="AB112" s="392">
        <v>3439.95</v>
      </c>
      <c r="AC112" s="392">
        <v>3439.95</v>
      </c>
      <c r="AD112" s="392">
        <v>3439.95</v>
      </c>
      <c r="AE112" s="392">
        <v>3439.95</v>
      </c>
      <c r="AF112" s="392">
        <v>3439.95</v>
      </c>
      <c r="AG112" s="392">
        <v>3439.95</v>
      </c>
      <c r="AH112" s="392">
        <v>3439.95</v>
      </c>
      <c r="AI112" s="392">
        <v>3439.95</v>
      </c>
      <c r="AJ112" s="392">
        <v>3439.95</v>
      </c>
      <c r="AK112" s="392">
        <v>3439.95</v>
      </c>
      <c r="AL112" s="392">
        <v>3439.95</v>
      </c>
      <c r="AM112" s="392">
        <v>3439.95</v>
      </c>
      <c r="AN112" s="392">
        <v>3439.95</v>
      </c>
      <c r="AO112" s="392">
        <v>3439.95</v>
      </c>
      <c r="AP112" s="392">
        <v>3439.95</v>
      </c>
      <c r="AT112" s="239"/>
      <c r="AU112" s="239"/>
      <c r="AV112" s="239"/>
      <c r="AW112" s="239"/>
      <c r="AX112" s="239"/>
      <c r="AY112" s="239"/>
      <c r="AZ112" s="239"/>
      <c r="BA112" s="239"/>
      <c r="BB112" s="239"/>
      <c r="BC112" s="239"/>
      <c r="BD112" s="239"/>
      <c r="BE112" s="239"/>
      <c r="BF112" s="239"/>
      <c r="BG112" s="239"/>
    </row>
    <row r="113" spans="1:71" ht="15" hidden="1" x14ac:dyDescent="0.2">
      <c r="A113" s="352" t="s">
        <v>553</v>
      </c>
      <c r="B113" s="353">
        <v>0</v>
      </c>
      <c r="C113" s="354">
        <v>0.33</v>
      </c>
      <c r="D113" s="354">
        <v>0.33</v>
      </c>
      <c r="E113" s="354">
        <v>0.34</v>
      </c>
      <c r="F113" s="353">
        <v>0</v>
      </c>
      <c r="G113" s="353">
        <v>0</v>
      </c>
      <c r="H113" s="353">
        <v>0</v>
      </c>
      <c r="I113" s="353">
        <v>0</v>
      </c>
      <c r="J113" s="353">
        <v>0</v>
      </c>
      <c r="K113" s="353">
        <v>0</v>
      </c>
      <c r="L113" s="353">
        <v>0</v>
      </c>
      <c r="M113" s="353">
        <v>0</v>
      </c>
      <c r="N113" s="353">
        <v>0</v>
      </c>
      <c r="O113" s="353">
        <v>0</v>
      </c>
      <c r="P113" s="353">
        <v>0</v>
      </c>
      <c r="Q113" s="353">
        <v>0</v>
      </c>
      <c r="R113" s="353">
        <v>0</v>
      </c>
      <c r="S113" s="353">
        <v>0</v>
      </c>
      <c r="T113" s="353">
        <v>0</v>
      </c>
      <c r="U113" s="353">
        <v>0</v>
      </c>
      <c r="V113" s="353">
        <v>0</v>
      </c>
      <c r="W113" s="353">
        <v>0</v>
      </c>
      <c r="X113" s="353">
        <v>0</v>
      </c>
      <c r="Y113" s="353">
        <v>0</v>
      </c>
      <c r="Z113" s="353">
        <v>0</v>
      </c>
      <c r="AA113" s="353">
        <v>0</v>
      </c>
      <c r="AB113" s="353">
        <v>0</v>
      </c>
      <c r="AC113" s="353">
        <v>0</v>
      </c>
      <c r="AD113" s="353">
        <v>0</v>
      </c>
      <c r="AE113" s="353">
        <v>0</v>
      </c>
      <c r="AF113" s="353">
        <v>0</v>
      </c>
      <c r="AG113" s="353">
        <v>0</v>
      </c>
      <c r="AH113" s="353">
        <v>0</v>
      </c>
      <c r="AI113" s="353">
        <v>0</v>
      </c>
      <c r="AJ113" s="353">
        <v>0</v>
      </c>
      <c r="AK113" s="353">
        <v>0</v>
      </c>
      <c r="AL113" s="353">
        <v>0</v>
      </c>
      <c r="AM113" s="353">
        <v>0</v>
      </c>
      <c r="AN113" s="353">
        <v>0</v>
      </c>
      <c r="AO113" s="353">
        <v>0</v>
      </c>
      <c r="AP113" s="353">
        <v>0</v>
      </c>
      <c r="AT113" s="239"/>
      <c r="AU113" s="239"/>
      <c r="AV113" s="239"/>
      <c r="AW113" s="239"/>
      <c r="AX113" s="239"/>
      <c r="AY113" s="239"/>
      <c r="AZ113" s="239"/>
      <c r="BA113" s="239"/>
      <c r="BB113" s="239"/>
      <c r="BC113" s="239"/>
      <c r="BD113" s="239"/>
      <c r="BE113" s="239"/>
      <c r="BF113" s="239"/>
      <c r="BG113" s="239"/>
    </row>
    <row r="114" spans="1:71" ht="12.75" hidden="1"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hidden="1"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hidden="1" x14ac:dyDescent="0.2">
      <c r="A116" s="346"/>
      <c r="B116" s="465" t="s">
        <v>554</v>
      </c>
      <c r="C116" s="466"/>
      <c r="D116" s="465" t="s">
        <v>555</v>
      </c>
      <c r="E116" s="466"/>
      <c r="F116" s="346"/>
      <c r="G116" s="346"/>
      <c r="H116" s="346"/>
      <c r="I116" s="346"/>
      <c r="J116" s="346"/>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hidden="1" x14ac:dyDescent="0.2">
      <c r="A117" s="349" t="s">
        <v>556</v>
      </c>
      <c r="B117" s="355"/>
      <c r="C117" s="346" t="s">
        <v>557</v>
      </c>
      <c r="D117" s="355"/>
      <c r="E117" s="346" t="s">
        <v>557</v>
      </c>
      <c r="F117" s="346"/>
      <c r="G117" s="346"/>
      <c r="H117" s="346"/>
      <c r="I117" s="346"/>
      <c r="J117" s="346"/>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hidden="1" x14ac:dyDescent="0.2">
      <c r="A118" s="349" t="s">
        <v>556</v>
      </c>
      <c r="B118" s="346">
        <f>$B$110*B117</f>
        <v>0</v>
      </c>
      <c r="C118" s="346" t="s">
        <v>126</v>
      </c>
      <c r="D118" s="346">
        <f>$B$110*D117</f>
        <v>0</v>
      </c>
      <c r="E118" s="346" t="s">
        <v>126</v>
      </c>
      <c r="F118" s="349" t="s">
        <v>558</v>
      </c>
      <c r="G118" s="346">
        <f>D117-B117</f>
        <v>0</v>
      </c>
      <c r="H118" s="346" t="s">
        <v>557</v>
      </c>
      <c r="I118" s="356">
        <f>$B$110*G118</f>
        <v>0</v>
      </c>
      <c r="J118" s="346"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hidden="1" x14ac:dyDescent="0.2">
      <c r="A119" s="346"/>
      <c r="B119" s="346"/>
      <c r="C119" s="346"/>
      <c r="D119" s="346"/>
      <c r="E119" s="346"/>
      <c r="F119" s="349" t="s">
        <v>559</v>
      </c>
      <c r="G119" s="346">
        <f>I119/$B$110</f>
        <v>0</v>
      </c>
      <c r="H119" s="346" t="s">
        <v>557</v>
      </c>
      <c r="I119" s="355"/>
      <c r="J119" s="346"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hidden="1" x14ac:dyDescent="0.2">
      <c r="A120" s="357"/>
      <c r="B120" s="358"/>
      <c r="C120" s="358"/>
      <c r="D120" s="358"/>
      <c r="E120" s="358"/>
      <c r="F120" s="359" t="s">
        <v>560</v>
      </c>
      <c r="G120" s="356">
        <f>G118</f>
        <v>0</v>
      </c>
      <c r="H120" s="346" t="s">
        <v>557</v>
      </c>
      <c r="I120" s="351">
        <f>I118</f>
        <v>0</v>
      </c>
      <c r="J120" s="346"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hidden="1"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hidden="1" x14ac:dyDescent="0.2">
      <c r="A122" s="360" t="s">
        <v>561</v>
      </c>
      <c r="B122" s="361">
        <f>'6.2. Паспорт фин осв ввод'!AH24</f>
        <v>0.29652439999999997</v>
      </c>
      <c r="C122" s="244"/>
      <c r="D122" s="454" t="s">
        <v>340</v>
      </c>
      <c r="E122" s="312" t="s">
        <v>583</v>
      </c>
      <c r="F122" s="313">
        <v>35</v>
      </c>
      <c r="G122" s="455" t="s">
        <v>584</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hidden="1" x14ac:dyDescent="0.2">
      <c r="A123" s="360" t="s">
        <v>340</v>
      </c>
      <c r="B123" s="362">
        <v>35</v>
      </c>
      <c r="C123" s="244"/>
      <c r="D123" s="454"/>
      <c r="E123" s="312" t="s">
        <v>579</v>
      </c>
      <c r="F123" s="313">
        <v>30</v>
      </c>
      <c r="G123" s="455"/>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hidden="1" x14ac:dyDescent="0.2">
      <c r="A124" s="360" t="s">
        <v>562</v>
      </c>
      <c r="B124" s="362" t="s">
        <v>531</v>
      </c>
      <c r="C124" s="247" t="s">
        <v>563</v>
      </c>
      <c r="D124" s="454"/>
      <c r="E124" s="312" t="s">
        <v>585</v>
      </c>
      <c r="F124" s="313">
        <v>30</v>
      </c>
      <c r="G124" s="455"/>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hidden="1" x14ac:dyDescent="0.2">
      <c r="A125" s="314"/>
      <c r="B125" s="315"/>
      <c r="C125" s="248"/>
      <c r="D125" s="454"/>
      <c r="E125" s="312" t="s">
        <v>586</v>
      </c>
      <c r="F125" s="313">
        <v>30</v>
      </c>
      <c r="G125" s="455"/>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hidden="1" x14ac:dyDescent="0.2">
      <c r="A126" s="360" t="s">
        <v>564</v>
      </c>
      <c r="B126" s="363">
        <f>$B$122*1000*1000</f>
        <v>296524.39999999997</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hidden="1" x14ac:dyDescent="0.2">
      <c r="A127" s="360" t="s">
        <v>565</v>
      </c>
      <c r="B127" s="364">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hidden="1"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hidden="1" x14ac:dyDescent="0.2">
      <c r="A129" s="360" t="s">
        <v>566</v>
      </c>
      <c r="B129" s="365">
        <v>0.1371</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hidden="1" x14ac:dyDescent="0.2">
      <c r="A130" s="316"/>
      <c r="B130" s="317"/>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idden="1" x14ac:dyDescent="0.2">
      <c r="A131" s="389"/>
      <c r="B131" s="390">
        <v>2024</v>
      </c>
      <c r="C131" s="390">
        <v>2025</v>
      </c>
      <c r="D131" s="390">
        <v>2026</v>
      </c>
      <c r="E131" s="390">
        <v>2027</v>
      </c>
      <c r="F131" s="390">
        <v>2028</v>
      </c>
      <c r="G131" s="390">
        <v>2029</v>
      </c>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hidden="1" x14ac:dyDescent="0.2">
      <c r="A132" s="391" t="s">
        <v>630</v>
      </c>
      <c r="B132" s="392">
        <v>2449.0500000000002</v>
      </c>
      <c r="C132" s="392">
        <v>2750.9</v>
      </c>
      <c r="D132" s="392">
        <v>3022.14</v>
      </c>
      <c r="E132" s="392">
        <v>3178.91</v>
      </c>
      <c r="F132" s="392">
        <v>3307.64</v>
      </c>
      <c r="G132" s="392">
        <v>3439.95</v>
      </c>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hidden="1"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hidden="1" x14ac:dyDescent="0.2">
      <c r="A134" s="360" t="s">
        <v>567</v>
      </c>
      <c r="C134" s="249"/>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hidden="1" x14ac:dyDescent="0.2">
      <c r="A135" s="360"/>
      <c r="B135" s="366">
        <v>2019</v>
      </c>
      <c r="C135" s="366">
        <f>B135+1</f>
        <v>2020</v>
      </c>
      <c r="D135" s="366">
        <f t="shared" ref="D135:AY135" si="41">C135+1</f>
        <v>2021</v>
      </c>
      <c r="E135" s="366">
        <f t="shared" si="41"/>
        <v>2022</v>
      </c>
      <c r="F135" s="366">
        <f t="shared" si="41"/>
        <v>2023</v>
      </c>
      <c r="G135" s="366">
        <f t="shared" si="41"/>
        <v>2024</v>
      </c>
      <c r="H135" s="366">
        <f t="shared" si="41"/>
        <v>2025</v>
      </c>
      <c r="I135" s="366">
        <f t="shared" si="41"/>
        <v>2026</v>
      </c>
      <c r="J135" s="366">
        <f t="shared" si="41"/>
        <v>2027</v>
      </c>
      <c r="K135" s="366">
        <f t="shared" si="41"/>
        <v>2028</v>
      </c>
      <c r="L135" s="366">
        <f t="shared" si="41"/>
        <v>2029</v>
      </c>
      <c r="M135" s="366">
        <f t="shared" si="41"/>
        <v>2030</v>
      </c>
      <c r="N135" s="366">
        <f t="shared" si="41"/>
        <v>2031</v>
      </c>
      <c r="O135" s="366">
        <f t="shared" si="41"/>
        <v>2032</v>
      </c>
      <c r="P135" s="366">
        <f t="shared" si="41"/>
        <v>2033</v>
      </c>
      <c r="Q135" s="366">
        <f t="shared" si="41"/>
        <v>2034</v>
      </c>
      <c r="R135" s="366">
        <f t="shared" si="41"/>
        <v>2035</v>
      </c>
      <c r="S135" s="366">
        <f t="shared" si="41"/>
        <v>2036</v>
      </c>
      <c r="T135" s="366">
        <f t="shared" si="41"/>
        <v>2037</v>
      </c>
      <c r="U135" s="366">
        <f t="shared" si="41"/>
        <v>2038</v>
      </c>
      <c r="V135" s="366">
        <f t="shared" si="41"/>
        <v>2039</v>
      </c>
      <c r="W135" s="366">
        <f t="shared" si="41"/>
        <v>2040</v>
      </c>
      <c r="X135" s="366">
        <f t="shared" si="41"/>
        <v>2041</v>
      </c>
      <c r="Y135" s="366">
        <f t="shared" si="41"/>
        <v>2042</v>
      </c>
      <c r="Z135" s="366">
        <f t="shared" si="41"/>
        <v>2043</v>
      </c>
      <c r="AA135" s="366">
        <f t="shared" si="41"/>
        <v>2044</v>
      </c>
      <c r="AB135" s="366">
        <f t="shared" si="41"/>
        <v>2045</v>
      </c>
      <c r="AC135" s="366">
        <f t="shared" si="41"/>
        <v>2046</v>
      </c>
      <c r="AD135" s="366">
        <f t="shared" si="41"/>
        <v>2047</v>
      </c>
      <c r="AE135" s="366">
        <f t="shared" si="41"/>
        <v>2048</v>
      </c>
      <c r="AF135" s="366">
        <f t="shared" si="41"/>
        <v>2049</v>
      </c>
      <c r="AG135" s="366">
        <f t="shared" si="41"/>
        <v>2050</v>
      </c>
      <c r="AH135" s="366">
        <f t="shared" si="41"/>
        <v>2051</v>
      </c>
      <c r="AI135" s="366">
        <f t="shared" si="41"/>
        <v>2052</v>
      </c>
      <c r="AJ135" s="366">
        <f t="shared" si="41"/>
        <v>2053</v>
      </c>
      <c r="AK135" s="366">
        <f t="shared" si="41"/>
        <v>2054</v>
      </c>
      <c r="AL135" s="366">
        <f t="shared" si="41"/>
        <v>2055</v>
      </c>
      <c r="AM135" s="366">
        <f t="shared" si="41"/>
        <v>2056</v>
      </c>
      <c r="AN135" s="366">
        <f t="shared" si="41"/>
        <v>2057</v>
      </c>
      <c r="AO135" s="366">
        <f t="shared" si="41"/>
        <v>2058</v>
      </c>
      <c r="AP135" s="366">
        <f t="shared" si="41"/>
        <v>2059</v>
      </c>
      <c r="AQ135" s="366">
        <f t="shared" si="41"/>
        <v>2060</v>
      </c>
      <c r="AR135" s="366">
        <f t="shared" si="41"/>
        <v>2061</v>
      </c>
      <c r="AS135" s="366">
        <f t="shared" si="41"/>
        <v>2062</v>
      </c>
      <c r="AT135" s="366">
        <f t="shared" si="41"/>
        <v>2063</v>
      </c>
      <c r="AU135" s="366">
        <f t="shared" si="41"/>
        <v>2064</v>
      </c>
      <c r="AV135" s="366">
        <f t="shared" si="41"/>
        <v>2065</v>
      </c>
      <c r="AW135" s="366">
        <f t="shared" si="41"/>
        <v>2066</v>
      </c>
      <c r="AX135" s="366">
        <f t="shared" si="41"/>
        <v>2067</v>
      </c>
      <c r="AY135" s="366">
        <f t="shared" si="41"/>
        <v>2068</v>
      </c>
    </row>
    <row r="136" spans="1:71" ht="15" hidden="1" x14ac:dyDescent="0.2">
      <c r="A136" s="360" t="s">
        <v>568</v>
      </c>
      <c r="B136" s="393">
        <v>6.8263986418270001E-2</v>
      </c>
      <c r="C136" s="393">
        <v>5.561885224957E-2</v>
      </c>
      <c r="D136" s="393">
        <v>4.9354000000000002E-2</v>
      </c>
      <c r="E136" s="394">
        <v>0.14631427330593999</v>
      </c>
      <c r="F136" s="395">
        <v>9.0964662608273128E-2</v>
      </c>
      <c r="G136" s="395">
        <v>9.1135032622053413E-2</v>
      </c>
      <c r="H136" s="395">
        <v>7.8163170639641913E-2</v>
      </c>
      <c r="I136" s="395">
        <v>5.2628968689616612E-2</v>
      </c>
      <c r="J136" s="395">
        <v>4.4208979893394937E-2</v>
      </c>
      <c r="K136" s="394">
        <f>J136</f>
        <v>4.4208979893394937E-2</v>
      </c>
      <c r="L136" s="394">
        <f t="shared" ref="L136:AY136" si="42">K136</f>
        <v>4.4208979893394937E-2</v>
      </c>
      <c r="M136" s="394">
        <f t="shared" si="42"/>
        <v>4.4208979893394937E-2</v>
      </c>
      <c r="N136" s="394">
        <f t="shared" si="42"/>
        <v>4.4208979893394937E-2</v>
      </c>
      <c r="O136" s="394">
        <f t="shared" si="42"/>
        <v>4.4208979893394937E-2</v>
      </c>
      <c r="P136" s="394">
        <f t="shared" si="42"/>
        <v>4.4208979893394937E-2</v>
      </c>
      <c r="Q136" s="394">
        <f t="shared" si="42"/>
        <v>4.4208979893394937E-2</v>
      </c>
      <c r="R136" s="394">
        <f t="shared" si="42"/>
        <v>4.4208979893394937E-2</v>
      </c>
      <c r="S136" s="394">
        <f t="shared" si="42"/>
        <v>4.4208979893394937E-2</v>
      </c>
      <c r="T136" s="394">
        <f t="shared" si="42"/>
        <v>4.4208979893394937E-2</v>
      </c>
      <c r="U136" s="394">
        <f t="shared" si="42"/>
        <v>4.4208979893394937E-2</v>
      </c>
      <c r="V136" s="394">
        <f t="shared" si="42"/>
        <v>4.4208979893394937E-2</v>
      </c>
      <c r="W136" s="394">
        <f t="shared" si="42"/>
        <v>4.4208979893394937E-2</v>
      </c>
      <c r="X136" s="394">
        <f t="shared" si="42"/>
        <v>4.4208979893394937E-2</v>
      </c>
      <c r="Y136" s="394">
        <f t="shared" si="42"/>
        <v>4.4208979893394937E-2</v>
      </c>
      <c r="Z136" s="394">
        <f t="shared" si="42"/>
        <v>4.4208979893394937E-2</v>
      </c>
      <c r="AA136" s="394">
        <f t="shared" si="42"/>
        <v>4.4208979893394937E-2</v>
      </c>
      <c r="AB136" s="394">
        <f t="shared" si="42"/>
        <v>4.4208979893394937E-2</v>
      </c>
      <c r="AC136" s="394">
        <f t="shared" si="42"/>
        <v>4.4208979893394937E-2</v>
      </c>
      <c r="AD136" s="394">
        <f t="shared" si="42"/>
        <v>4.4208979893394937E-2</v>
      </c>
      <c r="AE136" s="394">
        <f t="shared" si="42"/>
        <v>4.4208979893394937E-2</v>
      </c>
      <c r="AF136" s="394">
        <f t="shared" si="42"/>
        <v>4.4208979893394937E-2</v>
      </c>
      <c r="AG136" s="394">
        <f t="shared" si="42"/>
        <v>4.4208979893394937E-2</v>
      </c>
      <c r="AH136" s="394">
        <f t="shared" si="42"/>
        <v>4.4208979893394937E-2</v>
      </c>
      <c r="AI136" s="394">
        <f t="shared" si="42"/>
        <v>4.4208979893394937E-2</v>
      </c>
      <c r="AJ136" s="394">
        <f t="shared" si="42"/>
        <v>4.4208979893394937E-2</v>
      </c>
      <c r="AK136" s="394">
        <f t="shared" si="42"/>
        <v>4.4208979893394937E-2</v>
      </c>
      <c r="AL136" s="394">
        <f t="shared" si="42"/>
        <v>4.4208979893394937E-2</v>
      </c>
      <c r="AM136" s="394">
        <f t="shared" si="42"/>
        <v>4.4208979893394937E-2</v>
      </c>
      <c r="AN136" s="394">
        <f t="shared" si="42"/>
        <v>4.4208979893394937E-2</v>
      </c>
      <c r="AO136" s="394">
        <f t="shared" si="42"/>
        <v>4.4208979893394937E-2</v>
      </c>
      <c r="AP136" s="394">
        <f t="shared" si="42"/>
        <v>4.4208979893394937E-2</v>
      </c>
      <c r="AQ136" s="394">
        <f t="shared" si="42"/>
        <v>4.4208979893394937E-2</v>
      </c>
      <c r="AR136" s="394">
        <f t="shared" si="42"/>
        <v>4.4208979893394937E-2</v>
      </c>
      <c r="AS136" s="394">
        <f t="shared" si="42"/>
        <v>4.4208979893394937E-2</v>
      </c>
      <c r="AT136" s="394">
        <f t="shared" si="42"/>
        <v>4.4208979893394937E-2</v>
      </c>
      <c r="AU136" s="394">
        <f t="shared" si="42"/>
        <v>4.4208979893394937E-2</v>
      </c>
      <c r="AV136" s="394">
        <f t="shared" si="42"/>
        <v>4.4208979893394937E-2</v>
      </c>
      <c r="AW136" s="394">
        <f t="shared" si="42"/>
        <v>4.4208979893394937E-2</v>
      </c>
      <c r="AX136" s="394">
        <f t="shared" si="42"/>
        <v>4.4208979893394937E-2</v>
      </c>
      <c r="AY136" s="394">
        <f t="shared" si="42"/>
        <v>4.4208979893394937E-2</v>
      </c>
    </row>
    <row r="137" spans="1:71" s="203" customFormat="1" ht="15" hidden="1" x14ac:dyDescent="0.2">
      <c r="A137" s="360" t="s">
        <v>569</v>
      </c>
      <c r="B137" s="393">
        <v>6.8263986418270001E-2</v>
      </c>
      <c r="C137" s="368">
        <f>(1+B137)*(1+C136)-1</f>
        <v>0.12767960324240435</v>
      </c>
      <c r="D137" s="368">
        <f>(1+C137)*(1+D136)-1</f>
        <v>0.18333510238082984</v>
      </c>
      <c r="E137" s="368">
        <f>(1+D137)*(1+E136)-1</f>
        <v>0.35647391796309091</v>
      </c>
      <c r="F137" s="368">
        <f t="shared" ref="F137:AY137" si="43">(1+E137)*(1+F136)-1</f>
        <v>0.47986511024752598</v>
      </c>
      <c r="G137" s="368">
        <f>(1+F137)*(1+G136)-1</f>
        <v>0.6147326653461731</v>
      </c>
      <c r="H137" s="368">
        <f t="shared" si="43"/>
        <v>0.74094529020502997</v>
      </c>
      <c r="I137" s="368">
        <f t="shared" si="43"/>
        <v>0.83256944537356614</v>
      </c>
      <c r="J137" s="368">
        <f t="shared" si="43"/>
        <v>0.9135854711373359</v>
      </c>
      <c r="K137" s="368">
        <f t="shared" si="43"/>
        <v>0.99818313275513892</v>
      </c>
      <c r="L137" s="368">
        <f t="shared" si="43"/>
        <v>1.0865207706944315</v>
      </c>
      <c r="M137" s="368">
        <f t="shared" si="43"/>
        <v>1.1787637254932126</v>
      </c>
      <c r="N137" s="368">
        <f t="shared" si="43"/>
        <v>1.275084647226</v>
      </c>
      <c r="O137" s="368">
        <f t="shared" si="43"/>
        <v>1.3756638186509855</v>
      </c>
      <c r="P137" s="368">
        <f t="shared" si="43"/>
        <v>1.4806894926431928</v>
      </c>
      <c r="Q137" s="368">
        <f t="shared" si="43"/>
        <v>1.5903582445452118</v>
      </c>
      <c r="R137" s="368">
        <f t="shared" si="43"/>
        <v>1.704875340095001</v>
      </c>
      <c r="S137" s="368">
        <f t="shared" si="43"/>
        <v>1.8244551196194005</v>
      </c>
      <c r="T137" s="368">
        <f t="shared" si="43"/>
        <v>1.949321399212451</v>
      </c>
      <c r="U137" s="368">
        <f t="shared" si="43"/>
        <v>2.0797078896493937</v>
      </c>
      <c r="V137" s="368">
        <f t="shared" si="43"/>
        <v>2.2158586338204334</v>
      </c>
      <c r="W137" s="368">
        <f t="shared" si="43"/>
        <v>2.3580284635030013</v>
      </c>
      <c r="X137" s="368">
        <f t="shared" si="43"/>
        <v>2.5064834763274533</v>
      </c>
      <c r="Y137" s="368">
        <f t="shared" si="43"/>
        <v>2.6615015338289352</v>
      </c>
      <c r="Z137" s="368">
        <f t="shared" si="43"/>
        <v>2.8233727815176133</v>
      </c>
      <c r="AA137" s="368">
        <f t="shared" si="43"/>
        <v>2.9924001919406789</v>
      </c>
      <c r="AB137" s="368">
        <f t="shared" si="43"/>
        <v>3.1689001317525705</v>
      </c>
      <c r="AC137" s="368">
        <f t="shared" si="43"/>
        <v>3.3532029538547912</v>
      </c>
      <c r="AD137" s="368">
        <f t="shared" si="43"/>
        <v>3.5456536157136247</v>
      </c>
      <c r="AE137" s="368">
        <f t="shared" si="43"/>
        <v>3.7466123250130465</v>
      </c>
      <c r="AF137" s="368">
        <f t="shared" si="43"/>
        <v>3.9564552138512887</v>
      </c>
      <c r="AG137" s="368">
        <f t="shared" si="43"/>
        <v>4.1755750427429525</v>
      </c>
      <c r="AH137" s="368">
        <f t="shared" si="43"/>
        <v>4.4043819357443326</v>
      </c>
      <c r="AI137" s="368">
        <f t="shared" si="43"/>
        <v>4.6433041480778803</v>
      </c>
      <c r="AJ137" s="368">
        <f t="shared" si="43"/>
        <v>4.892788867692567</v>
      </c>
      <c r="AK137" s="368">
        <f t="shared" si="43"/>
        <v>5.1533030522604086</v>
      </c>
      <c r="AL137" s="368">
        <f t="shared" si="43"/>
        <v>5.4253343031757542</v>
      </c>
      <c r="AM137" s="368">
        <f t="shared" si="43"/>
        <v>5.7093917781931918</v>
      </c>
      <c r="AN137" s="368">
        <f t="shared" si="43"/>
        <v>6.0060071444122434</v>
      </c>
      <c r="AO137" s="368">
        <f t="shared" si="43"/>
        <v>6.3157355733925451</v>
      </c>
      <c r="AP137" s="368">
        <f t="shared" si="43"/>
        <v>6.6391567802620495</v>
      </c>
      <c r="AQ137" s="368">
        <f t="shared" si="43"/>
        <v>6.9768761087631459</v>
      </c>
      <c r="AR137" s="368">
        <f t="shared" si="43"/>
        <v>7.3295256642675586</v>
      </c>
      <c r="AS137" s="368">
        <f t="shared" si="43"/>
        <v>7.6977654968806792</v>
      </c>
      <c r="AT137" s="368">
        <f t="shared" si="43"/>
        <v>8.0822848368497411</v>
      </c>
      <c r="AU137" s="368">
        <f t="shared" si="43"/>
        <v>8.483803384588116</v>
      </c>
      <c r="AV137" s="368">
        <f t="shared" si="43"/>
        <v>8.9030726577302826</v>
      </c>
      <c r="AW137" s="368">
        <f>(1+AV137)*(1+AW136)-1</f>
        <v>9.3408773977387085</v>
      </c>
      <c r="AX137" s="368">
        <f t="shared" si="43"/>
        <v>9.7980370386954014</v>
      </c>
      <c r="AY137" s="368">
        <f t="shared" si="43"/>
        <v>10.275407241027219</v>
      </c>
      <c r="AZ137" s="170"/>
    </row>
    <row r="138" spans="1:71" s="203" customFormat="1" hidden="1" x14ac:dyDescent="0.2">
      <c r="A138" s="251"/>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Q138" s="169"/>
      <c r="AZ138" s="170"/>
    </row>
    <row r="139" spans="1:71" ht="12.75" hidden="1" x14ac:dyDescent="0.2">
      <c r="A139" s="246"/>
      <c r="B139" s="367">
        <f>B135</f>
        <v>2019</v>
      </c>
      <c r="C139" s="367">
        <f>B139+1</f>
        <v>2020</v>
      </c>
      <c r="D139" s="367">
        <f t="shared" ref="D139:S140" si="44">C139+1</f>
        <v>2021</v>
      </c>
      <c r="E139" s="367">
        <f t="shared" si="44"/>
        <v>2022</v>
      </c>
      <c r="F139" s="367">
        <f t="shared" si="44"/>
        <v>2023</v>
      </c>
      <c r="G139" s="367">
        <f t="shared" si="44"/>
        <v>2024</v>
      </c>
      <c r="H139" s="367">
        <f t="shared" si="44"/>
        <v>2025</v>
      </c>
      <c r="I139" s="367">
        <f t="shared" si="44"/>
        <v>2026</v>
      </c>
      <c r="J139" s="367">
        <f t="shared" si="44"/>
        <v>2027</v>
      </c>
      <c r="K139" s="367">
        <f t="shared" si="44"/>
        <v>2028</v>
      </c>
      <c r="L139" s="367">
        <f t="shared" si="44"/>
        <v>2029</v>
      </c>
      <c r="M139" s="367">
        <f t="shared" si="44"/>
        <v>2030</v>
      </c>
      <c r="N139" s="367">
        <f t="shared" si="44"/>
        <v>2031</v>
      </c>
      <c r="O139" s="367">
        <f t="shared" si="44"/>
        <v>2032</v>
      </c>
      <c r="P139" s="367">
        <f t="shared" si="44"/>
        <v>2033</v>
      </c>
      <c r="Q139" s="367">
        <f t="shared" si="44"/>
        <v>2034</v>
      </c>
      <c r="R139" s="367">
        <f t="shared" si="44"/>
        <v>2035</v>
      </c>
      <c r="S139" s="367">
        <f t="shared" si="44"/>
        <v>2036</v>
      </c>
      <c r="T139" s="367">
        <f t="shared" ref="T139:AI140" si="45">S139+1</f>
        <v>2037</v>
      </c>
      <c r="U139" s="367">
        <f t="shared" si="45"/>
        <v>2038</v>
      </c>
      <c r="V139" s="367">
        <f t="shared" si="45"/>
        <v>2039</v>
      </c>
      <c r="W139" s="367">
        <f t="shared" si="45"/>
        <v>2040</v>
      </c>
      <c r="X139" s="367">
        <f t="shared" si="45"/>
        <v>2041</v>
      </c>
      <c r="Y139" s="367">
        <f t="shared" si="45"/>
        <v>2042</v>
      </c>
      <c r="Z139" s="367">
        <f t="shared" si="45"/>
        <v>2043</v>
      </c>
      <c r="AA139" s="367">
        <f t="shared" si="45"/>
        <v>2044</v>
      </c>
      <c r="AB139" s="367">
        <f t="shared" si="45"/>
        <v>2045</v>
      </c>
      <c r="AC139" s="367">
        <f t="shared" si="45"/>
        <v>2046</v>
      </c>
      <c r="AD139" s="367">
        <f t="shared" si="45"/>
        <v>2047</v>
      </c>
      <c r="AE139" s="367">
        <f t="shared" si="45"/>
        <v>2048</v>
      </c>
      <c r="AF139" s="367">
        <f t="shared" si="45"/>
        <v>2049</v>
      </c>
      <c r="AG139" s="367">
        <f t="shared" si="45"/>
        <v>2050</v>
      </c>
      <c r="AH139" s="367">
        <f t="shared" si="45"/>
        <v>2051</v>
      </c>
      <c r="AI139" s="367">
        <f t="shared" si="45"/>
        <v>2052</v>
      </c>
      <c r="AJ139" s="367">
        <f t="shared" ref="AJ139:AY140" si="46">AI139+1</f>
        <v>2053</v>
      </c>
      <c r="AK139" s="367">
        <f t="shared" si="46"/>
        <v>2054</v>
      </c>
      <c r="AL139" s="367">
        <f t="shared" si="46"/>
        <v>2055</v>
      </c>
      <c r="AM139" s="367">
        <f t="shared" si="46"/>
        <v>2056</v>
      </c>
      <c r="AN139" s="367">
        <f t="shared" si="46"/>
        <v>2057</v>
      </c>
      <c r="AO139" s="367">
        <f t="shared" si="46"/>
        <v>2058</v>
      </c>
      <c r="AP139" s="367">
        <f t="shared" si="46"/>
        <v>2059</v>
      </c>
      <c r="AQ139" s="367">
        <f t="shared" si="46"/>
        <v>2060</v>
      </c>
      <c r="AR139" s="367">
        <f t="shared" si="46"/>
        <v>2061</v>
      </c>
      <c r="AS139" s="367">
        <f t="shared" si="46"/>
        <v>2062</v>
      </c>
      <c r="AT139" s="367">
        <f t="shared" si="46"/>
        <v>2063</v>
      </c>
      <c r="AU139" s="367">
        <f t="shared" si="46"/>
        <v>2064</v>
      </c>
      <c r="AV139" s="367">
        <f t="shared" si="46"/>
        <v>2065</v>
      </c>
      <c r="AW139" s="367">
        <f t="shared" si="46"/>
        <v>2066</v>
      </c>
      <c r="AX139" s="367">
        <f t="shared" si="46"/>
        <v>2067</v>
      </c>
      <c r="AY139" s="367">
        <f t="shared" si="46"/>
        <v>2068</v>
      </c>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hidden="1" x14ac:dyDescent="0.2">
      <c r="A140" s="246">
        <v>0</v>
      </c>
      <c r="B140" s="369">
        <v>1</v>
      </c>
      <c r="C140" s="369">
        <f t="shared" ref="C140" si="47">B140+1</f>
        <v>2</v>
      </c>
      <c r="D140" s="369">
        <f t="shared" ref="D140" si="48">C140+1</f>
        <v>3</v>
      </c>
      <c r="E140" s="369">
        <f t="shared" ref="E140" si="49">D140+1</f>
        <v>4</v>
      </c>
      <c r="F140" s="369">
        <f t="shared" si="44"/>
        <v>5</v>
      </c>
      <c r="G140" s="369">
        <f t="shared" si="44"/>
        <v>6</v>
      </c>
      <c r="H140" s="369">
        <f t="shared" si="44"/>
        <v>7</v>
      </c>
      <c r="I140" s="369">
        <f t="shared" si="44"/>
        <v>8</v>
      </c>
      <c r="J140" s="369">
        <f t="shared" si="44"/>
        <v>9</v>
      </c>
      <c r="K140" s="369">
        <f t="shared" si="44"/>
        <v>10</v>
      </c>
      <c r="L140" s="369">
        <f t="shared" si="44"/>
        <v>11</v>
      </c>
      <c r="M140" s="369">
        <f t="shared" si="44"/>
        <v>12</v>
      </c>
      <c r="N140" s="369">
        <f t="shared" si="44"/>
        <v>13</v>
      </c>
      <c r="O140" s="369">
        <f t="shared" si="44"/>
        <v>14</v>
      </c>
      <c r="P140" s="369">
        <f t="shared" si="44"/>
        <v>15</v>
      </c>
      <c r="Q140" s="369">
        <f t="shared" si="44"/>
        <v>16</v>
      </c>
      <c r="R140" s="369">
        <f t="shared" si="44"/>
        <v>17</v>
      </c>
      <c r="S140" s="369">
        <f t="shared" si="44"/>
        <v>18</v>
      </c>
      <c r="T140" s="369">
        <f t="shared" si="45"/>
        <v>19</v>
      </c>
      <c r="U140" s="369">
        <f t="shared" si="45"/>
        <v>20</v>
      </c>
      <c r="V140" s="369">
        <f t="shared" si="45"/>
        <v>21</v>
      </c>
      <c r="W140" s="369">
        <f t="shared" si="45"/>
        <v>22</v>
      </c>
      <c r="X140" s="369">
        <f t="shared" si="45"/>
        <v>23</v>
      </c>
      <c r="Y140" s="369">
        <f t="shared" si="45"/>
        <v>24</v>
      </c>
      <c r="Z140" s="369">
        <f t="shared" si="45"/>
        <v>25</v>
      </c>
      <c r="AA140" s="369">
        <f t="shared" si="45"/>
        <v>26</v>
      </c>
      <c r="AB140" s="369">
        <f t="shared" si="45"/>
        <v>27</v>
      </c>
      <c r="AC140" s="369">
        <f t="shared" si="45"/>
        <v>28</v>
      </c>
      <c r="AD140" s="369">
        <f t="shared" si="45"/>
        <v>29</v>
      </c>
      <c r="AE140" s="369">
        <f t="shared" si="45"/>
        <v>30</v>
      </c>
      <c r="AF140" s="369">
        <f t="shared" si="45"/>
        <v>31</v>
      </c>
      <c r="AG140" s="369">
        <f t="shared" si="45"/>
        <v>32</v>
      </c>
      <c r="AH140" s="369">
        <f t="shared" si="45"/>
        <v>33</v>
      </c>
      <c r="AI140" s="369">
        <f t="shared" si="45"/>
        <v>34</v>
      </c>
      <c r="AJ140" s="369">
        <f t="shared" si="46"/>
        <v>35</v>
      </c>
      <c r="AK140" s="369">
        <f t="shared" si="46"/>
        <v>36</v>
      </c>
      <c r="AL140" s="369">
        <f t="shared" si="46"/>
        <v>37</v>
      </c>
      <c r="AM140" s="369">
        <f t="shared" si="46"/>
        <v>38</v>
      </c>
      <c r="AN140" s="369">
        <f t="shared" si="46"/>
        <v>39</v>
      </c>
      <c r="AO140" s="369">
        <f t="shared" si="46"/>
        <v>40</v>
      </c>
      <c r="AP140" s="369">
        <f>AO140+1</f>
        <v>41</v>
      </c>
      <c r="AQ140" s="369">
        <f t="shared" si="46"/>
        <v>42</v>
      </c>
      <c r="AR140" s="369">
        <f t="shared" si="46"/>
        <v>43</v>
      </c>
      <c r="AS140" s="369">
        <f t="shared" si="46"/>
        <v>44</v>
      </c>
      <c r="AT140" s="369">
        <f t="shared" si="46"/>
        <v>45</v>
      </c>
      <c r="AU140" s="369">
        <f t="shared" si="46"/>
        <v>46</v>
      </c>
      <c r="AV140" s="369">
        <f t="shared" si="46"/>
        <v>47</v>
      </c>
      <c r="AW140" s="369">
        <f t="shared" si="46"/>
        <v>48</v>
      </c>
      <c r="AX140" s="369">
        <f t="shared" si="46"/>
        <v>49</v>
      </c>
      <c r="AY140" s="369">
        <f t="shared" si="46"/>
        <v>50</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hidden="1" x14ac:dyDescent="0.2">
      <c r="A141" s="246"/>
      <c r="B141" s="370">
        <f>AVERAGE(A140:B140)</f>
        <v>0.5</v>
      </c>
      <c r="C141" s="370">
        <f>AVERAGE(B140:C140)</f>
        <v>1.5</v>
      </c>
      <c r="D141" s="370">
        <f>AVERAGE(C140:D140)</f>
        <v>2.5</v>
      </c>
      <c r="E141" s="370">
        <f>AVERAGE(D140:E140)</f>
        <v>3.5</v>
      </c>
      <c r="F141" s="370">
        <f t="shared" ref="F141:AO141" si="50">AVERAGE(E140:F140)</f>
        <v>4.5</v>
      </c>
      <c r="G141" s="370">
        <f t="shared" si="50"/>
        <v>5.5</v>
      </c>
      <c r="H141" s="370">
        <f t="shared" si="50"/>
        <v>6.5</v>
      </c>
      <c r="I141" s="370">
        <f t="shared" si="50"/>
        <v>7.5</v>
      </c>
      <c r="J141" s="370">
        <f t="shared" si="50"/>
        <v>8.5</v>
      </c>
      <c r="K141" s="370">
        <f t="shared" si="50"/>
        <v>9.5</v>
      </c>
      <c r="L141" s="370">
        <f t="shared" si="50"/>
        <v>10.5</v>
      </c>
      <c r="M141" s="370">
        <f t="shared" si="50"/>
        <v>11.5</v>
      </c>
      <c r="N141" s="370">
        <f t="shared" si="50"/>
        <v>12.5</v>
      </c>
      <c r="O141" s="370">
        <f t="shared" si="50"/>
        <v>13.5</v>
      </c>
      <c r="P141" s="370">
        <f t="shared" si="50"/>
        <v>14.5</v>
      </c>
      <c r="Q141" s="370">
        <f t="shared" si="50"/>
        <v>15.5</v>
      </c>
      <c r="R141" s="370">
        <f t="shared" si="50"/>
        <v>16.5</v>
      </c>
      <c r="S141" s="370">
        <f t="shared" si="50"/>
        <v>17.5</v>
      </c>
      <c r="T141" s="370">
        <f t="shared" si="50"/>
        <v>18.5</v>
      </c>
      <c r="U141" s="370">
        <f t="shared" si="50"/>
        <v>19.5</v>
      </c>
      <c r="V141" s="370">
        <f t="shared" si="50"/>
        <v>20.5</v>
      </c>
      <c r="W141" s="370">
        <f t="shared" si="50"/>
        <v>21.5</v>
      </c>
      <c r="X141" s="370">
        <f t="shared" si="50"/>
        <v>22.5</v>
      </c>
      <c r="Y141" s="370">
        <f t="shared" si="50"/>
        <v>23.5</v>
      </c>
      <c r="Z141" s="370">
        <f t="shared" si="50"/>
        <v>24.5</v>
      </c>
      <c r="AA141" s="370">
        <f t="shared" si="50"/>
        <v>25.5</v>
      </c>
      <c r="AB141" s="370">
        <f t="shared" si="50"/>
        <v>26.5</v>
      </c>
      <c r="AC141" s="370">
        <f t="shared" si="50"/>
        <v>27.5</v>
      </c>
      <c r="AD141" s="370">
        <f t="shared" si="50"/>
        <v>28.5</v>
      </c>
      <c r="AE141" s="370">
        <f t="shared" si="50"/>
        <v>29.5</v>
      </c>
      <c r="AF141" s="370">
        <f t="shared" si="50"/>
        <v>30.5</v>
      </c>
      <c r="AG141" s="370">
        <f t="shared" si="50"/>
        <v>31.5</v>
      </c>
      <c r="AH141" s="370">
        <f t="shared" si="50"/>
        <v>32.5</v>
      </c>
      <c r="AI141" s="370">
        <f t="shared" si="50"/>
        <v>33.5</v>
      </c>
      <c r="AJ141" s="370">
        <f t="shared" si="50"/>
        <v>34.5</v>
      </c>
      <c r="AK141" s="370">
        <f t="shared" si="50"/>
        <v>35.5</v>
      </c>
      <c r="AL141" s="370">
        <f t="shared" si="50"/>
        <v>36.5</v>
      </c>
      <c r="AM141" s="370">
        <f t="shared" si="50"/>
        <v>37.5</v>
      </c>
      <c r="AN141" s="370">
        <f t="shared" si="50"/>
        <v>38.5</v>
      </c>
      <c r="AO141" s="370">
        <f t="shared" si="50"/>
        <v>39.5</v>
      </c>
      <c r="AP141" s="370">
        <f>AVERAGE(AO140:AP140)</f>
        <v>40.5</v>
      </c>
      <c r="AQ141" s="370">
        <f t="shared" ref="AQ141:AY141" si="51">AVERAGE(AP140:AQ140)</f>
        <v>41.5</v>
      </c>
      <c r="AR141" s="370">
        <f t="shared" si="51"/>
        <v>42.5</v>
      </c>
      <c r="AS141" s="370">
        <f t="shared" si="51"/>
        <v>43.5</v>
      </c>
      <c r="AT141" s="370">
        <f t="shared" si="51"/>
        <v>44.5</v>
      </c>
      <c r="AU141" s="370">
        <f t="shared" si="51"/>
        <v>45.5</v>
      </c>
      <c r="AV141" s="370">
        <f t="shared" si="51"/>
        <v>46.5</v>
      </c>
      <c r="AW141" s="370">
        <f t="shared" si="51"/>
        <v>47.5</v>
      </c>
      <c r="AX141" s="370">
        <f t="shared" si="51"/>
        <v>48.5</v>
      </c>
      <c r="AY141" s="370">
        <f t="shared" si="51"/>
        <v>49.5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hidden="1"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60" workbookViewId="0">
      <selection activeCell="I53" sqref="I53"/>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99" t="str">
        <f>'2. паспорт  ТП'!A4:S4</f>
        <v>Год раскрытия информации: 2025 год</v>
      </c>
      <c r="B5" s="399"/>
      <c r="C5" s="399"/>
      <c r="D5" s="399"/>
      <c r="E5" s="399"/>
      <c r="F5" s="399"/>
      <c r="G5" s="399"/>
      <c r="H5" s="399"/>
      <c r="I5" s="399"/>
      <c r="J5" s="399"/>
      <c r="K5" s="399"/>
      <c r="L5" s="399"/>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408" t="s">
        <v>7</v>
      </c>
      <c r="B7" s="408"/>
      <c r="C7" s="408"/>
      <c r="D7" s="408"/>
      <c r="E7" s="408"/>
      <c r="F7" s="408"/>
      <c r="G7" s="408"/>
      <c r="H7" s="408"/>
      <c r="I7" s="408"/>
      <c r="J7" s="408"/>
      <c r="K7" s="408"/>
      <c r="L7" s="408"/>
    </row>
    <row r="8" spans="1:44" ht="18.75" x14ac:dyDescent="0.25">
      <c r="A8" s="408"/>
      <c r="B8" s="408"/>
      <c r="C8" s="408"/>
      <c r="D8" s="408"/>
      <c r="E8" s="408"/>
      <c r="F8" s="408"/>
      <c r="G8" s="408"/>
      <c r="H8" s="408"/>
      <c r="I8" s="408"/>
      <c r="J8" s="408"/>
      <c r="K8" s="408"/>
      <c r="L8" s="408"/>
    </row>
    <row r="9" spans="1:44" x14ac:dyDescent="0.25">
      <c r="A9" s="409" t="str">
        <f>'1. паспорт местоположение'!A9:C9</f>
        <v>Акционерное общество "Россети Янтарь" ДЗО  ПАО "Россети"</v>
      </c>
      <c r="B9" s="409"/>
      <c r="C9" s="409"/>
      <c r="D9" s="409"/>
      <c r="E9" s="409"/>
      <c r="F9" s="409"/>
      <c r="G9" s="409"/>
      <c r="H9" s="409"/>
      <c r="I9" s="409"/>
      <c r="J9" s="409"/>
      <c r="K9" s="409"/>
      <c r="L9" s="409"/>
    </row>
    <row r="10" spans="1:44" x14ac:dyDescent="0.25">
      <c r="A10" s="413" t="s">
        <v>6</v>
      </c>
      <c r="B10" s="413"/>
      <c r="C10" s="413"/>
      <c r="D10" s="413"/>
      <c r="E10" s="413"/>
      <c r="F10" s="413"/>
      <c r="G10" s="413"/>
      <c r="H10" s="413"/>
      <c r="I10" s="413"/>
      <c r="J10" s="413"/>
      <c r="K10" s="413"/>
      <c r="L10" s="413"/>
    </row>
    <row r="11" spans="1:44" ht="18.75" x14ac:dyDescent="0.25">
      <c r="A11" s="408"/>
      <c r="B11" s="408"/>
      <c r="C11" s="408"/>
      <c r="D11" s="408"/>
      <c r="E11" s="408"/>
      <c r="F11" s="408"/>
      <c r="G11" s="408"/>
      <c r="H11" s="408"/>
      <c r="I11" s="408"/>
      <c r="J11" s="408"/>
      <c r="K11" s="408"/>
      <c r="L11" s="408"/>
    </row>
    <row r="12" spans="1:44" x14ac:dyDescent="0.25">
      <c r="A12" s="409" t="str">
        <f>'1. паспорт местоположение'!A12:C12</f>
        <v>J_19-0403</v>
      </c>
      <c r="B12" s="409"/>
      <c r="C12" s="409"/>
      <c r="D12" s="409"/>
      <c r="E12" s="409"/>
      <c r="F12" s="409"/>
      <c r="G12" s="409"/>
      <c r="H12" s="409"/>
      <c r="I12" s="409"/>
      <c r="J12" s="409"/>
      <c r="K12" s="409"/>
      <c r="L12" s="409"/>
    </row>
    <row r="13" spans="1:44" x14ac:dyDescent="0.25">
      <c r="A13" s="413" t="s">
        <v>5</v>
      </c>
      <c r="B13" s="413"/>
      <c r="C13" s="413"/>
      <c r="D13" s="413"/>
      <c r="E13" s="413"/>
      <c r="F13" s="413"/>
      <c r="G13" s="413"/>
      <c r="H13" s="413"/>
      <c r="I13" s="413"/>
      <c r="J13" s="413"/>
      <c r="K13" s="413"/>
      <c r="L13" s="413"/>
    </row>
    <row r="14" spans="1:44" ht="18.75" x14ac:dyDescent="0.25">
      <c r="A14" s="414"/>
      <c r="B14" s="414"/>
      <c r="C14" s="414"/>
      <c r="D14" s="414"/>
      <c r="E14" s="414"/>
      <c r="F14" s="414"/>
      <c r="G14" s="414"/>
      <c r="H14" s="414"/>
      <c r="I14" s="414"/>
      <c r="J14" s="414"/>
      <c r="K14" s="414"/>
      <c r="L14" s="414"/>
    </row>
    <row r="15" spans="1:44" x14ac:dyDescent="0.25">
      <c r="A15" s="409" t="str">
        <f>'1. паспорт местоположение'!A15</f>
        <v>Вынос (переустройство) ВЛ 15-47 (инв.5114664) п. Малое Исаково Гурьевский ГО</v>
      </c>
      <c r="B15" s="409"/>
      <c r="C15" s="409"/>
      <c r="D15" s="409"/>
      <c r="E15" s="409"/>
      <c r="F15" s="409"/>
      <c r="G15" s="409"/>
      <c r="H15" s="409"/>
      <c r="I15" s="409"/>
      <c r="J15" s="409"/>
      <c r="K15" s="409"/>
      <c r="L15" s="409"/>
    </row>
    <row r="16" spans="1:44" x14ac:dyDescent="0.25">
      <c r="A16" s="413" t="s">
        <v>4</v>
      </c>
      <c r="B16" s="413"/>
      <c r="C16" s="413"/>
      <c r="D16" s="413"/>
      <c r="E16" s="413"/>
      <c r="F16" s="413"/>
      <c r="G16" s="413"/>
      <c r="H16" s="413"/>
      <c r="I16" s="413"/>
      <c r="J16" s="413"/>
      <c r="K16" s="413"/>
      <c r="L16" s="413"/>
    </row>
    <row r="17" spans="1:12" ht="15.75" customHeight="1" x14ac:dyDescent="0.25">
      <c r="L17" s="97"/>
    </row>
    <row r="18" spans="1:12" x14ac:dyDescent="0.25">
      <c r="K18" s="96"/>
    </row>
    <row r="19" spans="1:12" ht="15.75" customHeight="1" x14ac:dyDescent="0.25">
      <c r="A19" s="481" t="s">
        <v>495</v>
      </c>
      <c r="B19" s="481"/>
      <c r="C19" s="481"/>
      <c r="D19" s="481"/>
      <c r="E19" s="481"/>
      <c r="F19" s="481"/>
      <c r="G19" s="481"/>
      <c r="H19" s="481"/>
      <c r="I19" s="481"/>
      <c r="J19" s="481"/>
      <c r="K19" s="481"/>
      <c r="L19" s="481"/>
    </row>
    <row r="20" spans="1:12" x14ac:dyDescent="0.25">
      <c r="A20" s="65"/>
      <c r="B20" s="65"/>
      <c r="C20" s="95"/>
      <c r="D20" s="95"/>
      <c r="E20" s="95"/>
      <c r="F20" s="95"/>
      <c r="G20" s="95"/>
      <c r="H20" s="95"/>
      <c r="I20" s="95"/>
      <c r="J20" s="95"/>
      <c r="K20" s="95"/>
      <c r="L20" s="95"/>
    </row>
    <row r="21" spans="1:12" ht="28.5" customHeight="1" x14ac:dyDescent="0.25">
      <c r="A21" s="471" t="s">
        <v>218</v>
      </c>
      <c r="B21" s="471" t="s">
        <v>217</v>
      </c>
      <c r="C21" s="477" t="s">
        <v>427</v>
      </c>
      <c r="D21" s="477"/>
      <c r="E21" s="477"/>
      <c r="F21" s="477"/>
      <c r="G21" s="477"/>
      <c r="H21" s="477"/>
      <c r="I21" s="472" t="s">
        <v>216</v>
      </c>
      <c r="J21" s="474" t="s">
        <v>429</v>
      </c>
      <c r="K21" s="471" t="s">
        <v>215</v>
      </c>
      <c r="L21" s="473" t="s">
        <v>428</v>
      </c>
    </row>
    <row r="22" spans="1:12" ht="58.5" customHeight="1" x14ac:dyDescent="0.25">
      <c r="A22" s="471"/>
      <c r="B22" s="471"/>
      <c r="C22" s="478" t="s">
        <v>2</v>
      </c>
      <c r="D22" s="478"/>
      <c r="E22" s="479" t="s">
        <v>577</v>
      </c>
      <c r="F22" s="480"/>
      <c r="G22" s="479" t="s">
        <v>580</v>
      </c>
      <c r="H22" s="480"/>
      <c r="I22" s="472"/>
      <c r="J22" s="475"/>
      <c r="K22" s="471"/>
      <c r="L22" s="473"/>
    </row>
    <row r="23" spans="1:12" ht="31.5" x14ac:dyDescent="0.25">
      <c r="A23" s="471"/>
      <c r="B23" s="471"/>
      <c r="C23" s="94" t="s">
        <v>214</v>
      </c>
      <c r="D23" s="94" t="s">
        <v>213</v>
      </c>
      <c r="E23" s="94" t="s">
        <v>214</v>
      </c>
      <c r="F23" s="94" t="s">
        <v>213</v>
      </c>
      <c r="G23" s="94" t="s">
        <v>214</v>
      </c>
      <c r="H23" s="94" t="s">
        <v>213</v>
      </c>
      <c r="I23" s="472"/>
      <c r="J23" s="476"/>
      <c r="K23" s="471"/>
      <c r="L23" s="473"/>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578</v>
      </c>
      <c r="D26" s="296" t="s">
        <v>578</v>
      </c>
      <c r="E26" s="296" t="s">
        <v>530</v>
      </c>
      <c r="F26" s="296" t="s">
        <v>530</v>
      </c>
      <c r="G26" s="296" t="s">
        <v>530</v>
      </c>
      <c r="H26" s="296" t="s">
        <v>530</v>
      </c>
      <c r="I26" s="296"/>
      <c r="J26" s="296"/>
      <c r="K26" s="86"/>
      <c r="L26" s="86"/>
    </row>
    <row r="27" spans="1:12" s="68" customFormat="1" ht="39" customHeight="1" x14ac:dyDescent="0.25">
      <c r="A27" s="89" t="s">
        <v>210</v>
      </c>
      <c r="B27" s="93" t="s">
        <v>436</v>
      </c>
      <c r="C27" s="87" t="s">
        <v>578</v>
      </c>
      <c r="D27" s="296" t="s">
        <v>578</v>
      </c>
      <c r="E27" s="296" t="s">
        <v>530</v>
      </c>
      <c r="F27" s="296" t="s">
        <v>530</v>
      </c>
      <c r="G27" s="296" t="s">
        <v>530</v>
      </c>
      <c r="H27" s="296" t="s">
        <v>530</v>
      </c>
      <c r="I27" s="296"/>
      <c r="J27" s="296"/>
      <c r="K27" s="86"/>
      <c r="L27" s="86"/>
    </row>
    <row r="28" spans="1:12" s="68" customFormat="1" ht="70.5" customHeight="1" x14ac:dyDescent="0.25">
      <c r="A28" s="89" t="s">
        <v>435</v>
      </c>
      <c r="B28" s="93" t="s">
        <v>440</v>
      </c>
      <c r="C28" s="87" t="s">
        <v>578</v>
      </c>
      <c r="D28" s="296" t="s">
        <v>578</v>
      </c>
      <c r="E28" s="296" t="s">
        <v>530</v>
      </c>
      <c r="F28" s="296" t="s">
        <v>530</v>
      </c>
      <c r="G28" s="296" t="s">
        <v>530</v>
      </c>
      <c r="H28" s="296" t="s">
        <v>530</v>
      </c>
      <c r="I28" s="296"/>
      <c r="J28" s="296"/>
      <c r="K28" s="86"/>
      <c r="L28" s="86"/>
    </row>
    <row r="29" spans="1:12" s="68" customFormat="1" ht="54" customHeight="1" x14ac:dyDescent="0.25">
      <c r="A29" s="89" t="s">
        <v>209</v>
      </c>
      <c r="B29" s="93" t="s">
        <v>439</v>
      </c>
      <c r="C29" s="87" t="s">
        <v>578</v>
      </c>
      <c r="D29" s="296" t="s">
        <v>578</v>
      </c>
      <c r="E29" s="296" t="s">
        <v>530</v>
      </c>
      <c r="F29" s="296" t="s">
        <v>530</v>
      </c>
      <c r="G29" s="296" t="s">
        <v>530</v>
      </c>
      <c r="H29" s="296" t="s">
        <v>530</v>
      </c>
      <c r="I29" s="296"/>
      <c r="J29" s="296"/>
      <c r="K29" s="86"/>
      <c r="L29" s="86"/>
    </row>
    <row r="30" spans="1:12" s="68" customFormat="1" ht="42" customHeight="1" x14ac:dyDescent="0.25">
      <c r="A30" s="89" t="s">
        <v>208</v>
      </c>
      <c r="B30" s="93" t="s">
        <v>441</v>
      </c>
      <c r="C30" s="87" t="s">
        <v>578</v>
      </c>
      <c r="D30" s="296" t="s">
        <v>578</v>
      </c>
      <c r="E30" s="296" t="s">
        <v>530</v>
      </c>
      <c r="F30" s="296" t="s">
        <v>530</v>
      </c>
      <c r="G30" s="296" t="s">
        <v>530</v>
      </c>
      <c r="H30" s="296" t="s">
        <v>530</v>
      </c>
      <c r="I30" s="296"/>
      <c r="J30" s="296"/>
      <c r="K30" s="86"/>
      <c r="L30" s="86"/>
    </row>
    <row r="31" spans="1:12" s="68" customFormat="1" ht="37.5" customHeight="1" x14ac:dyDescent="0.25">
      <c r="A31" s="89" t="s">
        <v>207</v>
      </c>
      <c r="B31" s="88" t="s">
        <v>437</v>
      </c>
      <c r="C31" s="87" t="s">
        <v>578</v>
      </c>
      <c r="D31" s="296" t="s">
        <v>578</v>
      </c>
      <c r="E31" s="296" t="s">
        <v>587</v>
      </c>
      <c r="F31" s="296" t="s">
        <v>587</v>
      </c>
      <c r="G31" s="296" t="s">
        <v>530</v>
      </c>
      <c r="H31" s="296" t="s">
        <v>530</v>
      </c>
      <c r="I31" s="296"/>
      <c r="J31" s="296"/>
      <c r="K31" s="86"/>
      <c r="L31" s="86"/>
    </row>
    <row r="32" spans="1:12" s="68" customFormat="1" ht="31.5" x14ac:dyDescent="0.25">
      <c r="A32" s="89" t="s">
        <v>205</v>
      </c>
      <c r="B32" s="88" t="s">
        <v>442</v>
      </c>
      <c r="C32" s="87" t="s">
        <v>578</v>
      </c>
      <c r="D32" s="296" t="s">
        <v>578</v>
      </c>
      <c r="E32" s="297">
        <v>43985</v>
      </c>
      <c r="F32" s="297">
        <v>43985</v>
      </c>
      <c r="G32" s="297"/>
      <c r="H32" s="297"/>
      <c r="I32" s="296">
        <v>100</v>
      </c>
      <c r="J32" s="296"/>
      <c r="K32" s="86"/>
      <c r="L32" s="86"/>
    </row>
    <row r="33" spans="1:12" s="68" customFormat="1" ht="37.5" customHeight="1" x14ac:dyDescent="0.25">
      <c r="A33" s="89" t="s">
        <v>453</v>
      </c>
      <c r="B33" s="88" t="s">
        <v>369</v>
      </c>
      <c r="C33" s="87" t="s">
        <v>578</v>
      </c>
      <c r="D33" s="296" t="s">
        <v>578</v>
      </c>
      <c r="E33" s="296" t="s">
        <v>530</v>
      </c>
      <c r="F33" s="296" t="s">
        <v>530</v>
      </c>
      <c r="G33" s="296"/>
      <c r="H33" s="296"/>
      <c r="I33" s="296"/>
      <c r="J33" s="296"/>
      <c r="K33" s="86"/>
      <c r="L33" s="86"/>
    </row>
    <row r="34" spans="1:12" s="68" customFormat="1" ht="47.25" customHeight="1" x14ac:dyDescent="0.25">
      <c r="A34" s="89" t="s">
        <v>454</v>
      </c>
      <c r="B34" s="88" t="s">
        <v>446</v>
      </c>
      <c r="C34" s="87" t="s">
        <v>578</v>
      </c>
      <c r="D34" s="296" t="s">
        <v>578</v>
      </c>
      <c r="E34" s="296" t="s">
        <v>530</v>
      </c>
      <c r="F34" s="296" t="s">
        <v>530</v>
      </c>
      <c r="G34" s="296"/>
      <c r="H34" s="296"/>
      <c r="I34" s="296"/>
      <c r="J34" s="296"/>
      <c r="K34" s="91"/>
      <c r="L34" s="86"/>
    </row>
    <row r="35" spans="1:12" s="68" customFormat="1" ht="49.5" customHeight="1" x14ac:dyDescent="0.25">
      <c r="A35" s="89" t="s">
        <v>455</v>
      </c>
      <c r="B35" s="88" t="s">
        <v>206</v>
      </c>
      <c r="C35" s="87" t="s">
        <v>578</v>
      </c>
      <c r="D35" s="296" t="s">
        <v>578</v>
      </c>
      <c r="E35" s="297">
        <v>43985</v>
      </c>
      <c r="F35" s="297">
        <v>43985</v>
      </c>
      <c r="G35" s="297"/>
      <c r="H35" s="297"/>
      <c r="I35" s="296">
        <v>100</v>
      </c>
      <c r="J35" s="296"/>
      <c r="K35" s="91"/>
      <c r="L35" s="86"/>
    </row>
    <row r="36" spans="1:12" ht="37.5" customHeight="1" x14ac:dyDescent="0.25">
      <c r="A36" s="89" t="s">
        <v>456</v>
      </c>
      <c r="B36" s="88" t="s">
        <v>438</v>
      </c>
      <c r="C36" s="87" t="s">
        <v>578</v>
      </c>
      <c r="D36" s="298" t="s">
        <v>578</v>
      </c>
      <c r="E36" s="296" t="s">
        <v>530</v>
      </c>
      <c r="F36" s="296" t="s">
        <v>530</v>
      </c>
      <c r="G36" s="296"/>
      <c r="H36" s="296"/>
      <c r="I36" s="296"/>
      <c r="J36" s="296"/>
      <c r="K36" s="86"/>
      <c r="L36" s="86"/>
    </row>
    <row r="37" spans="1:12" x14ac:dyDescent="0.25">
      <c r="A37" s="89" t="s">
        <v>457</v>
      </c>
      <c r="B37" s="88" t="s">
        <v>204</v>
      </c>
      <c r="C37" s="87" t="s">
        <v>578</v>
      </c>
      <c r="D37" s="298" t="s">
        <v>578</v>
      </c>
      <c r="E37" s="297">
        <v>43985</v>
      </c>
      <c r="F37" s="297">
        <v>43985</v>
      </c>
      <c r="G37" s="297"/>
      <c r="H37" s="297"/>
      <c r="I37" s="296">
        <v>100</v>
      </c>
      <c r="J37" s="296"/>
      <c r="K37" s="86"/>
      <c r="L37" s="86"/>
    </row>
    <row r="38" spans="1:12" x14ac:dyDescent="0.25">
      <c r="A38" s="89" t="s">
        <v>458</v>
      </c>
      <c r="B38" s="90" t="s">
        <v>203</v>
      </c>
      <c r="C38" s="87" t="s">
        <v>578</v>
      </c>
      <c r="D38" s="298" t="s">
        <v>578</v>
      </c>
      <c r="E38" s="298"/>
      <c r="F38" s="298"/>
      <c r="G38" s="298"/>
      <c r="H38" s="298"/>
      <c r="I38" s="298"/>
      <c r="J38" s="298"/>
      <c r="K38" s="86"/>
      <c r="L38" s="86"/>
    </row>
    <row r="39" spans="1:12" ht="63" x14ac:dyDescent="0.25">
      <c r="A39" s="89">
        <v>2</v>
      </c>
      <c r="B39" s="88" t="s">
        <v>443</v>
      </c>
      <c r="C39" s="87" t="s">
        <v>578</v>
      </c>
      <c r="D39" s="298" t="s">
        <v>578</v>
      </c>
      <c r="E39" s="296" t="s">
        <v>587</v>
      </c>
      <c r="F39" s="296" t="s">
        <v>587</v>
      </c>
      <c r="G39" s="297"/>
      <c r="H39" s="297"/>
      <c r="I39" s="296"/>
      <c r="J39" s="298"/>
      <c r="K39" s="86"/>
      <c r="L39" s="86"/>
    </row>
    <row r="40" spans="1:12" ht="33.75" customHeight="1" x14ac:dyDescent="0.25">
      <c r="A40" s="89" t="s">
        <v>202</v>
      </c>
      <c r="B40" s="88" t="s">
        <v>445</v>
      </c>
      <c r="C40" s="87" t="s">
        <v>578</v>
      </c>
      <c r="D40" s="298" t="s">
        <v>578</v>
      </c>
      <c r="E40" s="296" t="s">
        <v>530</v>
      </c>
      <c r="F40" s="296" t="s">
        <v>530</v>
      </c>
      <c r="G40" s="297"/>
      <c r="H40" s="297"/>
      <c r="I40" s="296"/>
      <c r="J40" s="298"/>
      <c r="K40" s="86"/>
      <c r="L40" s="86"/>
    </row>
    <row r="41" spans="1:12" ht="63" customHeight="1" x14ac:dyDescent="0.25">
      <c r="A41" s="89" t="s">
        <v>201</v>
      </c>
      <c r="B41" s="90" t="s">
        <v>526</v>
      </c>
      <c r="C41" s="87" t="s">
        <v>578</v>
      </c>
      <c r="D41" s="298" t="s">
        <v>578</v>
      </c>
      <c r="E41" s="298"/>
      <c r="F41" s="298"/>
      <c r="G41" s="298"/>
      <c r="H41" s="298"/>
      <c r="I41" s="298"/>
      <c r="J41" s="298"/>
      <c r="K41" s="86"/>
      <c r="L41" s="86"/>
    </row>
    <row r="42" spans="1:12" ht="58.5" customHeight="1" x14ac:dyDescent="0.25">
      <c r="A42" s="89">
        <v>3</v>
      </c>
      <c r="B42" s="88" t="s">
        <v>444</v>
      </c>
      <c r="C42" s="87" t="s">
        <v>578</v>
      </c>
      <c r="D42" s="298" t="s">
        <v>578</v>
      </c>
      <c r="E42" s="296" t="s">
        <v>530</v>
      </c>
      <c r="F42" s="296" t="s">
        <v>530</v>
      </c>
      <c r="G42" s="297"/>
      <c r="H42" s="297"/>
      <c r="I42" s="296"/>
      <c r="J42" s="298"/>
      <c r="K42" s="86"/>
      <c r="L42" s="86"/>
    </row>
    <row r="43" spans="1:12" ht="34.5" customHeight="1" x14ac:dyDescent="0.25">
      <c r="A43" s="89" t="s">
        <v>200</v>
      </c>
      <c r="B43" s="88" t="s">
        <v>198</v>
      </c>
      <c r="C43" s="87" t="s">
        <v>578</v>
      </c>
      <c r="D43" s="298" t="s">
        <v>578</v>
      </c>
      <c r="E43" s="296" t="s">
        <v>530</v>
      </c>
      <c r="F43" s="296" t="s">
        <v>530</v>
      </c>
      <c r="G43" s="297"/>
      <c r="H43" s="299"/>
      <c r="I43" s="296"/>
      <c r="J43" s="298"/>
      <c r="K43" s="86"/>
      <c r="L43" s="86"/>
    </row>
    <row r="44" spans="1:12" ht="24.75" customHeight="1" x14ac:dyDescent="0.25">
      <c r="A44" s="89" t="s">
        <v>199</v>
      </c>
      <c r="B44" s="88" t="s">
        <v>196</v>
      </c>
      <c r="C44" s="87" t="s">
        <v>578</v>
      </c>
      <c r="D44" s="298" t="s">
        <v>578</v>
      </c>
      <c r="E44" s="297">
        <v>44835</v>
      </c>
      <c r="F44" s="297">
        <v>44865</v>
      </c>
      <c r="G44" s="299"/>
      <c r="H44" s="299"/>
      <c r="I44" s="296">
        <v>100</v>
      </c>
      <c r="J44" s="296"/>
      <c r="K44" s="86"/>
      <c r="L44" s="86"/>
    </row>
    <row r="45" spans="1:12" ht="90.75" customHeight="1" x14ac:dyDescent="0.25">
      <c r="A45" s="89" t="s">
        <v>197</v>
      </c>
      <c r="B45" s="88" t="s">
        <v>449</v>
      </c>
      <c r="C45" s="87" t="s">
        <v>578</v>
      </c>
      <c r="D45" s="298" t="s">
        <v>578</v>
      </c>
      <c r="E45" s="296" t="s">
        <v>530</v>
      </c>
      <c r="F45" s="296" t="s">
        <v>530</v>
      </c>
      <c r="G45" s="296"/>
      <c r="H45" s="296"/>
      <c r="I45" s="296"/>
      <c r="J45" s="296"/>
      <c r="K45" s="86"/>
      <c r="L45" s="86"/>
    </row>
    <row r="46" spans="1:12" ht="167.25" customHeight="1" x14ac:dyDescent="0.25">
      <c r="A46" s="89" t="s">
        <v>195</v>
      </c>
      <c r="B46" s="88" t="s">
        <v>447</v>
      </c>
      <c r="C46" s="87" t="s">
        <v>578</v>
      </c>
      <c r="D46" s="298" t="s">
        <v>578</v>
      </c>
      <c r="E46" s="296" t="s">
        <v>530</v>
      </c>
      <c r="F46" s="296" t="s">
        <v>530</v>
      </c>
      <c r="G46" s="296"/>
      <c r="H46" s="296"/>
      <c r="I46" s="296"/>
      <c r="J46" s="296"/>
      <c r="K46" s="86"/>
      <c r="L46" s="86"/>
    </row>
    <row r="47" spans="1:12" ht="30.75" customHeight="1" x14ac:dyDescent="0.25">
      <c r="A47" s="89" t="s">
        <v>193</v>
      </c>
      <c r="B47" s="88" t="s">
        <v>194</v>
      </c>
      <c r="C47" s="87" t="s">
        <v>578</v>
      </c>
      <c r="D47" s="298" t="s">
        <v>578</v>
      </c>
      <c r="E47" s="299">
        <v>45834</v>
      </c>
      <c r="F47" s="299">
        <v>45837</v>
      </c>
      <c r="G47" s="299"/>
      <c r="H47" s="299"/>
      <c r="I47" s="296">
        <v>100</v>
      </c>
      <c r="J47" s="296"/>
      <c r="K47" s="86"/>
      <c r="L47" s="86"/>
    </row>
    <row r="48" spans="1:12" ht="37.5" customHeight="1" x14ac:dyDescent="0.25">
      <c r="A48" s="89" t="s">
        <v>459</v>
      </c>
      <c r="B48" s="90" t="s">
        <v>192</v>
      </c>
      <c r="C48" s="87" t="s">
        <v>578</v>
      </c>
      <c r="D48" s="298" t="s">
        <v>578</v>
      </c>
      <c r="E48" s="298"/>
      <c r="F48" s="298"/>
      <c r="G48" s="298"/>
      <c r="H48" s="298"/>
      <c r="I48" s="298"/>
      <c r="J48" s="298"/>
      <c r="K48" s="86"/>
      <c r="L48" s="86"/>
    </row>
    <row r="49" spans="1:12" ht="35.25" customHeight="1" x14ac:dyDescent="0.25">
      <c r="A49" s="89">
        <v>4</v>
      </c>
      <c r="B49" s="88" t="s">
        <v>190</v>
      </c>
      <c r="C49" s="87" t="s">
        <v>578</v>
      </c>
      <c r="D49" s="298" t="s">
        <v>578</v>
      </c>
      <c r="E49" s="299">
        <v>45834</v>
      </c>
      <c r="F49" s="299">
        <v>45837</v>
      </c>
      <c r="G49" s="299"/>
      <c r="H49" s="299"/>
      <c r="I49" s="296">
        <v>100</v>
      </c>
      <c r="J49" s="296"/>
      <c r="K49" s="86"/>
      <c r="L49" s="86"/>
    </row>
    <row r="50" spans="1:12" ht="86.25" customHeight="1" x14ac:dyDescent="0.25">
      <c r="A50" s="89" t="s">
        <v>191</v>
      </c>
      <c r="B50" s="88" t="s">
        <v>448</v>
      </c>
      <c r="C50" s="87" t="s">
        <v>578</v>
      </c>
      <c r="D50" s="298" t="s">
        <v>578</v>
      </c>
      <c r="E50" s="297">
        <v>45838</v>
      </c>
      <c r="F50" s="297">
        <v>45838</v>
      </c>
      <c r="G50" s="299"/>
      <c r="H50" s="299"/>
      <c r="I50" s="296">
        <v>100</v>
      </c>
      <c r="J50" s="296"/>
      <c r="K50" s="86"/>
      <c r="L50" s="86"/>
    </row>
    <row r="51" spans="1:12" ht="77.25" customHeight="1" x14ac:dyDescent="0.25">
      <c r="A51" s="89" t="s">
        <v>189</v>
      </c>
      <c r="B51" s="88" t="s">
        <v>450</v>
      </c>
      <c r="C51" s="87" t="s">
        <v>578</v>
      </c>
      <c r="D51" s="298" t="s">
        <v>578</v>
      </c>
      <c r="E51" s="296" t="s">
        <v>530</v>
      </c>
      <c r="F51" s="296" t="s">
        <v>530</v>
      </c>
      <c r="G51" s="299"/>
      <c r="H51" s="299"/>
      <c r="I51" s="298"/>
      <c r="J51" s="298"/>
      <c r="K51" s="86"/>
      <c r="L51" s="86"/>
    </row>
    <row r="52" spans="1:12" ht="71.25" customHeight="1" x14ac:dyDescent="0.25">
      <c r="A52" s="89" t="s">
        <v>187</v>
      </c>
      <c r="B52" s="88" t="s">
        <v>188</v>
      </c>
      <c r="C52" s="87" t="s">
        <v>578</v>
      </c>
      <c r="D52" s="298" t="s">
        <v>578</v>
      </c>
      <c r="E52" s="296" t="s">
        <v>530</v>
      </c>
      <c r="F52" s="296" t="s">
        <v>530</v>
      </c>
      <c r="G52" s="299"/>
      <c r="H52" s="299"/>
      <c r="I52" s="298"/>
      <c r="J52" s="298"/>
      <c r="K52" s="86"/>
      <c r="L52" s="86"/>
    </row>
    <row r="53" spans="1:12" ht="48" customHeight="1" x14ac:dyDescent="0.25">
      <c r="A53" s="89" t="s">
        <v>185</v>
      </c>
      <c r="B53" s="149" t="s">
        <v>451</v>
      </c>
      <c r="C53" s="87" t="s">
        <v>578</v>
      </c>
      <c r="D53" s="298" t="s">
        <v>578</v>
      </c>
      <c r="E53" s="297">
        <v>45838</v>
      </c>
      <c r="F53" s="297">
        <v>45838</v>
      </c>
      <c r="G53" s="299"/>
      <c r="H53" s="299"/>
      <c r="I53" s="296">
        <v>100</v>
      </c>
      <c r="J53" s="296"/>
      <c r="K53" s="86"/>
      <c r="L53" s="86"/>
    </row>
    <row r="54" spans="1:12" ht="46.5" customHeight="1" x14ac:dyDescent="0.25">
      <c r="A54" s="89" t="s">
        <v>452</v>
      </c>
      <c r="B54" s="88" t="s">
        <v>186</v>
      </c>
      <c r="C54" s="87" t="s">
        <v>578</v>
      </c>
      <c r="D54" s="298" t="s">
        <v>578</v>
      </c>
      <c r="E54" s="296" t="s">
        <v>530</v>
      </c>
      <c r="F54" s="296" t="s">
        <v>530</v>
      </c>
      <c r="G54" s="299"/>
      <c r="H54" s="299"/>
      <c r="I54" s="298"/>
      <c r="J54" s="298"/>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2025-11-11T06:30:32Z</dcterms:modified>
</cp:coreProperties>
</file>