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Таня\Выполнение\2016\1 кв. 2016г\паспорта\Важнейшие\"/>
    </mc:Choice>
  </mc:AlternateContent>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ввод'!$A$1:$U$64</definedName>
  </definedNames>
  <calcPr calcId="152511"/>
</workbook>
</file>

<file path=xl/calcChain.xml><?xml version="1.0" encoding="utf-8"?>
<calcChain xmlns="http://schemas.openxmlformats.org/spreadsheetml/2006/main">
  <c r="B48" i="22" l="1"/>
  <c r="B33" i="22"/>
  <c r="B58" i="22"/>
  <c r="B60" i="22"/>
  <c r="J30" i="15"/>
  <c r="J29" i="15"/>
  <c r="J27" i="15"/>
  <c r="J25" i="15"/>
  <c r="J24" i="15"/>
  <c r="K29" i="15"/>
  <c r="I24" i="15"/>
  <c r="T56" i="15"/>
  <c r="T55" i="15"/>
  <c r="T54" i="15"/>
  <c r="T53" i="15"/>
  <c r="T52" i="15"/>
  <c r="T51" i="15"/>
  <c r="T50" i="15"/>
  <c r="T49" i="15"/>
  <c r="T48" i="15"/>
  <c r="T47" i="15"/>
  <c r="T46" i="15"/>
  <c r="T45" i="15"/>
  <c r="T44" i="15"/>
  <c r="T43" i="15"/>
  <c r="T42" i="15"/>
  <c r="T41" i="15"/>
  <c r="T40" i="15"/>
  <c r="T39" i="15"/>
  <c r="T38" i="15"/>
  <c r="T37" i="15"/>
  <c r="L38" i="15"/>
  <c r="L39" i="15"/>
  <c r="L40" i="15"/>
  <c r="L41" i="15"/>
  <c r="L42" i="15"/>
  <c r="L43" i="15"/>
  <c r="L44" i="15"/>
  <c r="L45" i="15"/>
  <c r="L46" i="15"/>
  <c r="L47" i="15"/>
  <c r="L48" i="15"/>
  <c r="L49" i="15"/>
  <c r="L50" i="15"/>
  <c r="L51" i="15"/>
  <c r="L52" i="15"/>
  <c r="L53" i="15"/>
  <c r="L54" i="15"/>
  <c r="L55" i="15"/>
  <c r="L56" i="15"/>
  <c r="L37" i="15"/>
  <c r="E38" i="15"/>
  <c r="E39" i="15"/>
  <c r="E40" i="15"/>
  <c r="E41" i="15"/>
  <c r="E42" i="15"/>
  <c r="E43" i="15"/>
  <c r="E44" i="15"/>
  <c r="E45" i="15"/>
  <c r="E46" i="15"/>
  <c r="E47" i="15"/>
  <c r="E48" i="15"/>
  <c r="E49" i="15"/>
  <c r="E50" i="15"/>
  <c r="E51" i="15"/>
  <c r="E52" i="15"/>
  <c r="E53" i="15"/>
  <c r="E54" i="15"/>
  <c r="E55" i="15"/>
  <c r="E56" i="15"/>
  <c r="E37" i="15"/>
  <c r="C52" i="15"/>
  <c r="T30" i="15"/>
  <c r="C34" i="15"/>
  <c r="T26" i="15"/>
  <c r="T27" i="15"/>
  <c r="T28" i="15"/>
  <c r="T29" i="15"/>
  <c r="T25" i="15"/>
  <c r="C24" i="15"/>
  <c r="C29" i="15"/>
  <c r="C27" i="15"/>
  <c r="A15" i="24" l="1"/>
  <c r="A12" i="24"/>
  <c r="A9" i="24"/>
  <c r="A5" i="24"/>
  <c r="C92" i="24"/>
  <c r="B92" i="24"/>
  <c r="D88" i="24"/>
  <c r="E88" i="24" s="1"/>
  <c r="F88" i="24" s="1"/>
  <c r="G88" i="24" s="1"/>
  <c r="H88" i="24" s="1"/>
  <c r="I88" i="24" s="1"/>
  <c r="J88" i="24" s="1"/>
  <c r="K88" i="24" s="1"/>
  <c r="L88" i="24" s="1"/>
  <c r="M88" i="24" s="1"/>
  <c r="N88" i="24" s="1"/>
  <c r="O88" i="24" s="1"/>
  <c r="P88" i="24" s="1"/>
  <c r="Q88" i="24" s="1"/>
  <c r="R88" i="24" s="1"/>
  <c r="S88" i="24" s="1"/>
  <c r="T88" i="24" s="1"/>
  <c r="U88" i="24" s="1"/>
  <c r="V88" i="24" s="1"/>
  <c r="W88" i="24" s="1"/>
  <c r="X88" i="24" s="1"/>
  <c r="Y88" i="24" s="1"/>
  <c r="Z88" i="24" s="1"/>
  <c r="AA88" i="24" s="1"/>
  <c r="AB88" i="24" s="1"/>
  <c r="AC88" i="24" s="1"/>
  <c r="AD88" i="24" s="1"/>
  <c r="C88" i="24"/>
  <c r="C82" i="24"/>
  <c r="B82" i="24"/>
  <c r="AF78" i="24"/>
  <c r="AE78" i="24"/>
  <c r="AA77" i="24"/>
  <c r="Z77" i="24"/>
  <c r="N77" i="24"/>
  <c r="G77" i="24"/>
  <c r="B77" i="24"/>
  <c r="AD73" i="24"/>
  <c r="AC73" i="24"/>
  <c r="AB73" i="24"/>
  <c r="AA73" i="24"/>
  <c r="Z73" i="24"/>
  <c r="Y73" i="24"/>
  <c r="X73" i="24"/>
  <c r="W73" i="24"/>
  <c r="V73" i="24"/>
  <c r="U73" i="24"/>
  <c r="T73" i="24"/>
  <c r="S73" i="24"/>
  <c r="R73" i="24"/>
  <c r="Q73" i="24"/>
  <c r="P73" i="24"/>
  <c r="O73" i="24"/>
  <c r="N73" i="24"/>
  <c r="M73" i="24"/>
  <c r="L73" i="24"/>
  <c r="K73" i="24"/>
  <c r="J73" i="24"/>
  <c r="I73" i="24"/>
  <c r="H73" i="24"/>
  <c r="G73" i="24"/>
  <c r="F73" i="24"/>
  <c r="E73" i="24"/>
  <c r="D73" i="24"/>
  <c r="C73" i="24"/>
  <c r="B73" i="24"/>
  <c r="C71" i="24"/>
  <c r="B71" i="24"/>
  <c r="AE64" i="24"/>
  <c r="D61" i="24"/>
  <c r="C61" i="24"/>
  <c r="B61" i="24"/>
  <c r="B56" i="24" s="1"/>
  <c r="B63" i="24" s="1"/>
  <c r="B65" i="24" s="1"/>
  <c r="D60" i="24"/>
  <c r="D56" i="24" s="1"/>
  <c r="B60" i="24"/>
  <c r="A58" i="24"/>
  <c r="AD55" i="24"/>
  <c r="AC55" i="24"/>
  <c r="AB55" i="24"/>
  <c r="AA55" i="24"/>
  <c r="Z55" i="24"/>
  <c r="Y55" i="24"/>
  <c r="X55" i="24"/>
  <c r="W55" i="24"/>
  <c r="W77" i="24" s="1"/>
  <c r="V55" i="24"/>
  <c r="U55" i="24"/>
  <c r="T55" i="24"/>
  <c r="S55" i="24"/>
  <c r="R55" i="24"/>
  <c r="Q55" i="24"/>
  <c r="P55" i="24"/>
  <c r="O55" i="24"/>
  <c r="O77" i="24" s="1"/>
  <c r="N55" i="24"/>
  <c r="M55" i="24"/>
  <c r="L55" i="24"/>
  <c r="K55" i="24"/>
  <c r="J55" i="24"/>
  <c r="J77" i="24" s="1"/>
  <c r="I55" i="24"/>
  <c r="H55" i="24"/>
  <c r="G55" i="24"/>
  <c r="F55" i="24"/>
  <c r="E55" i="24"/>
  <c r="D55" i="24"/>
  <c r="C55" i="24"/>
  <c r="B55" i="24"/>
  <c r="E54" i="24"/>
  <c r="D54" i="24"/>
  <c r="D71" i="24" s="1"/>
  <c r="C54" i="24"/>
  <c r="D53" i="24"/>
  <c r="C53" i="24"/>
  <c r="B51" i="24"/>
  <c r="B52" i="24" s="1"/>
  <c r="B66" i="24" s="1"/>
  <c r="B74" i="24" s="1"/>
  <c r="B50" i="24"/>
  <c r="C49" i="24"/>
  <c r="D48" i="24"/>
  <c r="C48" i="24"/>
  <c r="B48" i="24"/>
  <c r="E45" i="24"/>
  <c r="E61" i="24" s="1"/>
  <c r="D45" i="24"/>
  <c r="C45" i="24"/>
  <c r="C60" i="24" s="1"/>
  <c r="C56" i="24" s="1"/>
  <c r="T44" i="24"/>
  <c r="U44" i="24" s="1"/>
  <c r="V44" i="24" s="1"/>
  <c r="W44" i="24" s="1"/>
  <c r="X44" i="24" s="1"/>
  <c r="Y44" i="24" s="1"/>
  <c r="Z44" i="24" s="1"/>
  <c r="AA44" i="24" s="1"/>
  <c r="AB44" i="24" s="1"/>
  <c r="AC44" i="24" s="1"/>
  <c r="AD44" i="24" s="1"/>
  <c r="E43" i="24"/>
  <c r="D43" i="24"/>
  <c r="C43" i="24"/>
  <c r="B43" i="24"/>
  <c r="B41" i="24"/>
  <c r="B42" i="24" s="1"/>
  <c r="B67" i="24" l="1"/>
  <c r="B72" i="24"/>
  <c r="E70" i="24"/>
  <c r="E82" i="24" s="1"/>
  <c r="E92" i="24" s="1"/>
  <c r="E53" i="24"/>
  <c r="F45" i="24"/>
  <c r="E71" i="24"/>
  <c r="E48" i="24"/>
  <c r="C77" i="24"/>
  <c r="C63" i="24"/>
  <c r="C65" i="24" s="1"/>
  <c r="K77" i="24"/>
  <c r="S77" i="24"/>
  <c r="C51" i="24"/>
  <c r="F54" i="24"/>
  <c r="D77" i="24"/>
  <c r="D63" i="24"/>
  <c r="D65" i="24" s="1"/>
  <c r="H77" i="24"/>
  <c r="L77" i="24"/>
  <c r="P77" i="24"/>
  <c r="T77" i="24"/>
  <c r="X77" i="24"/>
  <c r="AB77" i="24"/>
  <c r="E60" i="24"/>
  <c r="E56" i="24" s="1"/>
  <c r="E63" i="24" s="1"/>
  <c r="E65" i="24" s="1"/>
  <c r="B79" i="24"/>
  <c r="E77" i="24"/>
  <c r="I77" i="24"/>
  <c r="M77" i="24"/>
  <c r="Q77" i="24"/>
  <c r="U77" i="24"/>
  <c r="Y77" i="24"/>
  <c r="AC77" i="24"/>
  <c r="F77" i="24"/>
  <c r="D70" i="24"/>
  <c r="D82" i="24" s="1"/>
  <c r="D92" i="24" s="1"/>
  <c r="R77" i="24"/>
  <c r="V77" i="24"/>
  <c r="AD77" i="24"/>
  <c r="B76" i="24"/>
  <c r="C76" i="24" s="1"/>
  <c r="E72" i="24" l="1"/>
  <c r="C79" i="24"/>
  <c r="C52" i="24"/>
  <c r="C66" i="24" s="1"/>
  <c r="C74" i="24" s="1"/>
  <c r="C72" i="24"/>
  <c r="F60" i="24"/>
  <c r="F61" i="24"/>
  <c r="G45" i="24"/>
  <c r="D72" i="24"/>
  <c r="F70" i="24"/>
  <c r="F82" i="24" s="1"/>
  <c r="F92" i="24" s="1"/>
  <c r="F53" i="24"/>
  <c r="B68" i="24"/>
  <c r="D76" i="24"/>
  <c r="E76" i="24" s="1"/>
  <c r="F71" i="24"/>
  <c r="G54" i="24"/>
  <c r="F48" i="24"/>
  <c r="F43" i="24"/>
  <c r="F58" i="24" s="1"/>
  <c r="D49" i="24"/>
  <c r="F56" i="24" l="1"/>
  <c r="F63" i="24" s="1"/>
  <c r="F65" i="24" s="1"/>
  <c r="F76" i="24"/>
  <c r="G61" i="24"/>
  <c r="G60" i="24"/>
  <c r="H45" i="24"/>
  <c r="B75" i="24"/>
  <c r="B80" i="24" s="1"/>
  <c r="G43" i="24"/>
  <c r="G58" i="24" s="1"/>
  <c r="G56" i="24" s="1"/>
  <c r="G63" i="24" s="1"/>
  <c r="G65" i="24" s="1"/>
  <c r="G48" i="24"/>
  <c r="G71" i="24"/>
  <c r="H54" i="24"/>
  <c r="B69" i="24"/>
  <c r="D51" i="24"/>
  <c r="E49" i="24"/>
  <c r="G70" i="24"/>
  <c r="G82" i="24" s="1"/>
  <c r="G92" i="24" s="1"/>
  <c r="G53" i="24"/>
  <c r="C67" i="24"/>
  <c r="G72" i="24" l="1"/>
  <c r="H60" i="24"/>
  <c r="I45" i="24"/>
  <c r="H61" i="24"/>
  <c r="E51" i="24"/>
  <c r="H71" i="24"/>
  <c r="I54" i="24"/>
  <c r="H43" i="24"/>
  <c r="H48" i="24"/>
  <c r="F72" i="24"/>
  <c r="C68" i="24"/>
  <c r="C69" i="24"/>
  <c r="D52" i="24"/>
  <c r="D66" i="24" s="1"/>
  <c r="D79" i="24"/>
  <c r="B83" i="24"/>
  <c r="B85" i="24"/>
  <c r="B81" i="24"/>
  <c r="B86" i="24" s="1"/>
  <c r="H53" i="24"/>
  <c r="G76" i="24"/>
  <c r="E79" i="24" l="1"/>
  <c r="E52" i="24"/>
  <c r="E66" i="24" s="1"/>
  <c r="I70" i="24"/>
  <c r="I82" i="24" s="1"/>
  <c r="I92" i="24" s="1"/>
  <c r="I53" i="24"/>
  <c r="C75" i="24"/>
  <c r="C80" i="24" s="1"/>
  <c r="H58" i="24"/>
  <c r="H57" i="24"/>
  <c r="F49" i="24"/>
  <c r="H70" i="24"/>
  <c r="H82" i="24" s="1"/>
  <c r="H92" i="24" s="1"/>
  <c r="B84" i="24"/>
  <c r="B87" i="24" s="1"/>
  <c r="I71" i="24"/>
  <c r="J54" i="24"/>
  <c r="I48" i="24"/>
  <c r="I43" i="24"/>
  <c r="I58" i="24" s="1"/>
  <c r="D74" i="24"/>
  <c r="D67" i="24"/>
  <c r="I61" i="24"/>
  <c r="I60" i="24"/>
  <c r="J45" i="24"/>
  <c r="H56" i="24" l="1"/>
  <c r="H63" i="24" s="1"/>
  <c r="H65" i="24" s="1"/>
  <c r="H76" i="24"/>
  <c r="I76" i="24"/>
  <c r="I56" i="24"/>
  <c r="I63" i="24" s="1"/>
  <c r="I65" i="24" s="1"/>
  <c r="C83" i="24"/>
  <c r="C81" i="24"/>
  <c r="C86" i="24" s="1"/>
  <c r="C85" i="24"/>
  <c r="E74" i="24"/>
  <c r="E67" i="24"/>
  <c r="J60" i="24"/>
  <c r="K45" i="24"/>
  <c r="J61" i="24"/>
  <c r="D68" i="24"/>
  <c r="J71" i="24"/>
  <c r="K54" i="24"/>
  <c r="J48" i="24"/>
  <c r="J43" i="24"/>
  <c r="J58" i="24" s="1"/>
  <c r="J56" i="24" s="1"/>
  <c r="J63" i="24" s="1"/>
  <c r="J65" i="24" s="1"/>
  <c r="F51" i="24"/>
  <c r="G49" i="24"/>
  <c r="J53" i="24"/>
  <c r="K53" i="24" l="1"/>
  <c r="J72" i="24"/>
  <c r="K61" i="24"/>
  <c r="K60" i="24"/>
  <c r="L45" i="24"/>
  <c r="C84" i="24"/>
  <c r="C87" i="24" s="1"/>
  <c r="J70" i="24"/>
  <c r="J82" i="24" s="1"/>
  <c r="J92" i="24" s="1"/>
  <c r="D75" i="24"/>
  <c r="D80" i="24" s="1"/>
  <c r="E75" i="24"/>
  <c r="E80" i="24" s="1"/>
  <c r="E83" i="24" s="1"/>
  <c r="G51" i="24"/>
  <c r="H49" i="24"/>
  <c r="K71" i="24"/>
  <c r="K48" i="24"/>
  <c r="L54" i="24"/>
  <c r="K43" i="24"/>
  <c r="D69" i="24"/>
  <c r="E68" i="24"/>
  <c r="E69" i="24"/>
  <c r="I72" i="24"/>
  <c r="H72" i="24"/>
  <c r="F79" i="24"/>
  <c r="F52" i="24"/>
  <c r="F66" i="24" s="1"/>
  <c r="J76" i="24"/>
  <c r="F74" i="24" l="1"/>
  <c r="F67" i="24"/>
  <c r="L61" i="24"/>
  <c r="L60" i="24"/>
  <c r="M45" i="24"/>
  <c r="K58" i="24"/>
  <c r="K57" i="24"/>
  <c r="H51" i="24"/>
  <c r="D83" i="24"/>
  <c r="E81" i="24"/>
  <c r="D85" i="24"/>
  <c r="E85" i="24"/>
  <c r="D81" i="24"/>
  <c r="D86" i="24" s="1"/>
  <c r="L53" i="24"/>
  <c r="L70" i="24"/>
  <c r="L82" i="24" s="1"/>
  <c r="L92" i="24" s="1"/>
  <c r="L71" i="24"/>
  <c r="L43" i="24"/>
  <c r="L58" i="24" s="1"/>
  <c r="M54" i="24"/>
  <c r="L48" i="24"/>
  <c r="G52" i="24"/>
  <c r="G66" i="24" s="1"/>
  <c r="G79" i="24"/>
  <c r="K70" i="24"/>
  <c r="K82" i="24" s="1"/>
  <c r="K92" i="24" s="1"/>
  <c r="G74" i="24" l="1"/>
  <c r="G67" i="24"/>
  <c r="H79" i="24"/>
  <c r="H52" i="24"/>
  <c r="H66" i="24" s="1"/>
  <c r="M61" i="24"/>
  <c r="M60" i="24"/>
  <c r="N45" i="24"/>
  <c r="F68" i="24"/>
  <c r="K56" i="24"/>
  <c r="K63" i="24" s="1"/>
  <c r="K65" i="24" s="1"/>
  <c r="K76" i="24"/>
  <c r="L76" i="24"/>
  <c r="M71" i="24"/>
  <c r="N54" i="24"/>
  <c r="M48" i="24"/>
  <c r="M43" i="24"/>
  <c r="E84" i="24"/>
  <c r="D84" i="24"/>
  <c r="D87" i="24" s="1"/>
  <c r="L56" i="24"/>
  <c r="L63" i="24" s="1"/>
  <c r="L65" i="24" s="1"/>
  <c r="M53" i="24"/>
  <c r="E86" i="24"/>
  <c r="I49" i="24"/>
  <c r="K72" i="24" l="1"/>
  <c r="N60" i="24"/>
  <c r="O45" i="24"/>
  <c r="N61" i="24"/>
  <c r="N53" i="24"/>
  <c r="N71" i="24"/>
  <c r="O54" i="24"/>
  <c r="N48" i="24"/>
  <c r="N43" i="24"/>
  <c r="G68" i="24"/>
  <c r="G69" i="24"/>
  <c r="M70" i="24"/>
  <c r="M82" i="24" s="1"/>
  <c r="M92" i="24" s="1"/>
  <c r="F75" i="24"/>
  <c r="F80" i="24" s="1"/>
  <c r="I51" i="24"/>
  <c r="L72" i="24"/>
  <c r="E87" i="24"/>
  <c r="M59" i="24"/>
  <c r="M58" i="24"/>
  <c r="F69" i="24"/>
  <c r="H74" i="24"/>
  <c r="H67" i="24"/>
  <c r="M56" i="24" l="1"/>
  <c r="M63" i="24" s="1"/>
  <c r="M65" i="24" s="1"/>
  <c r="M76" i="24"/>
  <c r="N57" i="24"/>
  <c r="N58" i="24"/>
  <c r="O53" i="24"/>
  <c r="H69" i="24"/>
  <c r="H68" i="24"/>
  <c r="I79" i="24"/>
  <c r="I52" i="24"/>
  <c r="I66" i="24" s="1"/>
  <c r="N70" i="24"/>
  <c r="N82" i="24" s="1"/>
  <c r="N92" i="24" s="1"/>
  <c r="J49" i="24"/>
  <c r="F83" i="24"/>
  <c r="F85" i="24"/>
  <c r="F81" i="24"/>
  <c r="F86" i="24" s="1"/>
  <c r="O71" i="24"/>
  <c r="O43" i="24"/>
  <c r="O58" i="24" s="1"/>
  <c r="O56" i="24" s="1"/>
  <c r="O63" i="24" s="1"/>
  <c r="O65" i="24" s="1"/>
  <c r="P54" i="24"/>
  <c r="O48" i="24"/>
  <c r="G75" i="24"/>
  <c r="G80" i="24" s="1"/>
  <c r="G83" i="24" s="1"/>
  <c r="O60" i="24"/>
  <c r="P45" i="24"/>
  <c r="O61" i="24"/>
  <c r="O72" i="24" l="1"/>
  <c r="F84" i="24"/>
  <c r="F87" i="24" s="1"/>
  <c r="G84" i="24"/>
  <c r="N56" i="24"/>
  <c r="N63" i="24" s="1"/>
  <c r="N65" i="24" s="1"/>
  <c r="N76" i="24"/>
  <c r="O76" i="24" s="1"/>
  <c r="G85" i="24"/>
  <c r="G81" i="24"/>
  <c r="G86" i="24" s="1"/>
  <c r="J51" i="24"/>
  <c r="K49" i="24"/>
  <c r="I74" i="24"/>
  <c r="I67" i="24"/>
  <c r="P53" i="24"/>
  <c r="P61" i="24"/>
  <c r="P76" i="24" s="1"/>
  <c r="P60" i="24"/>
  <c r="Q45" i="24"/>
  <c r="H81" i="24"/>
  <c r="H86" i="24" s="1"/>
  <c r="O70" i="24"/>
  <c r="O82" i="24" s="1"/>
  <c r="O92" i="24" s="1"/>
  <c r="M72" i="24"/>
  <c r="P71" i="24"/>
  <c r="P48" i="24"/>
  <c r="Q54" i="24"/>
  <c r="P43" i="24"/>
  <c r="P58" i="24" s="1"/>
  <c r="H75" i="24"/>
  <c r="H80" i="24" s="1"/>
  <c r="H83" i="24" s="1"/>
  <c r="I80" i="24" l="1"/>
  <c r="N72" i="24"/>
  <c r="Q53" i="24"/>
  <c r="K51" i="24"/>
  <c r="L49" i="24" s="1"/>
  <c r="H85" i="24"/>
  <c r="G87" i="24"/>
  <c r="H84" i="24"/>
  <c r="H87" i="24" s="1"/>
  <c r="P56" i="24"/>
  <c r="P63" i="24" s="1"/>
  <c r="P65" i="24" s="1"/>
  <c r="Q61" i="24"/>
  <c r="R45" i="24"/>
  <c r="Q60" i="24"/>
  <c r="P70" i="24"/>
  <c r="P82" i="24" s="1"/>
  <c r="P92" i="24" s="1"/>
  <c r="J79" i="24"/>
  <c r="J52" i="24"/>
  <c r="J66" i="24" s="1"/>
  <c r="Q43" i="24"/>
  <c r="R54" i="24"/>
  <c r="Q71" i="24"/>
  <c r="Q48" i="24"/>
  <c r="I68" i="24"/>
  <c r="I75" i="24" s="1"/>
  <c r="L51" i="24" l="1"/>
  <c r="M49" i="24"/>
  <c r="J74" i="24"/>
  <c r="J67" i="24"/>
  <c r="I83" i="24"/>
  <c r="I85" i="24"/>
  <c r="I81" i="24"/>
  <c r="I86" i="24" s="1"/>
  <c r="I69" i="24"/>
  <c r="R71" i="24"/>
  <c r="S54" i="24"/>
  <c r="R48" i="24"/>
  <c r="R43" i="24"/>
  <c r="R58" i="24" s="1"/>
  <c r="Q58" i="24"/>
  <c r="Q57" i="24"/>
  <c r="R60" i="24"/>
  <c r="S45" i="24"/>
  <c r="R61" i="24"/>
  <c r="K52" i="24"/>
  <c r="K66" i="24" s="1"/>
  <c r="K79" i="24"/>
  <c r="R53" i="24"/>
  <c r="P72" i="24"/>
  <c r="Q70" i="24"/>
  <c r="Q82" i="24" s="1"/>
  <c r="Q92" i="24" s="1"/>
  <c r="S53" i="24" l="1"/>
  <c r="K74" i="24"/>
  <c r="K67" i="24"/>
  <c r="Q56" i="24"/>
  <c r="Q63" i="24" s="1"/>
  <c r="Q65" i="24" s="1"/>
  <c r="Q76" i="24"/>
  <c r="R76" i="24"/>
  <c r="T54" i="24"/>
  <c r="S71" i="24"/>
  <c r="S48" i="24"/>
  <c r="S43" i="24"/>
  <c r="S58" i="24" s="1"/>
  <c r="I84" i="24"/>
  <c r="I87" i="24" s="1"/>
  <c r="S60" i="24"/>
  <c r="T45" i="24"/>
  <c r="S61" i="24"/>
  <c r="S76" i="24" s="1"/>
  <c r="R56" i="24"/>
  <c r="R63" i="24" s="1"/>
  <c r="R65" i="24" s="1"/>
  <c r="J68" i="24"/>
  <c r="J75" i="24" s="1"/>
  <c r="J80" i="24" s="1"/>
  <c r="M51" i="24"/>
  <c r="R70" i="24"/>
  <c r="R82" i="24" s="1"/>
  <c r="R92" i="24" s="1"/>
  <c r="L79" i="24"/>
  <c r="L52" i="24"/>
  <c r="L66" i="24" s="1"/>
  <c r="J83" i="24" l="1"/>
  <c r="J84" i="24" s="1"/>
  <c r="J87" i="24" s="1"/>
  <c r="J81" i="24"/>
  <c r="J86" i="24" s="1"/>
  <c r="J85" i="24"/>
  <c r="M79" i="24"/>
  <c r="M52" i="24"/>
  <c r="M66" i="24" s="1"/>
  <c r="T53" i="24"/>
  <c r="T70" i="24" s="1"/>
  <c r="T82" i="24" s="1"/>
  <c r="T92" i="24" s="1"/>
  <c r="L74" i="24"/>
  <c r="L67" i="24"/>
  <c r="N49" i="24"/>
  <c r="S70" i="24"/>
  <c r="S82" i="24" s="1"/>
  <c r="S92" i="24" s="1"/>
  <c r="J69" i="24"/>
  <c r="S56" i="24"/>
  <c r="S63" i="24" s="1"/>
  <c r="S65" i="24" s="1"/>
  <c r="R72" i="24"/>
  <c r="Q72" i="24"/>
  <c r="T61" i="24"/>
  <c r="U45" i="24"/>
  <c r="T60" i="24"/>
  <c r="T71" i="24"/>
  <c r="U54" i="24"/>
  <c r="T48" i="24"/>
  <c r="T43" i="24"/>
  <c r="K68" i="24"/>
  <c r="K75" i="24" s="1"/>
  <c r="K80" i="24" s="1"/>
  <c r="K69" i="24"/>
  <c r="K83" i="24" l="1"/>
  <c r="K84" i="24" s="1"/>
  <c r="K87" i="24" s="1"/>
  <c r="K81" i="24"/>
  <c r="K86" i="24" s="1"/>
  <c r="K85" i="24"/>
  <c r="N51" i="24"/>
  <c r="T58" i="24"/>
  <c r="T57" i="24"/>
  <c r="T56" i="24" s="1"/>
  <c r="T63" i="24" s="1"/>
  <c r="T65" i="24" s="1"/>
  <c r="S72" i="24"/>
  <c r="L68" i="24"/>
  <c r="L75" i="24" s="1"/>
  <c r="L80" i="24" s="1"/>
  <c r="M74" i="24"/>
  <c r="M67" i="24"/>
  <c r="U61" i="24"/>
  <c r="U60" i="24"/>
  <c r="V45" i="24"/>
  <c r="U71" i="24"/>
  <c r="U48" i="24"/>
  <c r="U43" i="24"/>
  <c r="V54" i="24"/>
  <c r="T76" i="24"/>
  <c r="U53" i="24"/>
  <c r="L83" i="24" l="1"/>
  <c r="L84" i="24" s="1"/>
  <c r="L87" i="24" s="1"/>
  <c r="L85" i="24"/>
  <c r="L81" i="24"/>
  <c r="L86" i="24" s="1"/>
  <c r="V53" i="24"/>
  <c r="V71" i="24"/>
  <c r="W54" i="24"/>
  <c r="V48" i="24"/>
  <c r="V43" i="24"/>
  <c r="V58" i="24" s="1"/>
  <c r="M68" i="24"/>
  <c r="M75" i="24" s="1"/>
  <c r="M80" i="24" s="1"/>
  <c r="U70" i="24"/>
  <c r="U82" i="24" s="1"/>
  <c r="U92" i="24" s="1"/>
  <c r="U58" i="24"/>
  <c r="U59" i="24"/>
  <c r="V60" i="24"/>
  <c r="V61" i="24"/>
  <c r="W45" i="24"/>
  <c r="N79" i="24"/>
  <c r="N52" i="24"/>
  <c r="N66" i="24" s="1"/>
  <c r="L69" i="24"/>
  <c r="O49" i="24"/>
  <c r="U76" i="24"/>
  <c r="T72" i="24"/>
  <c r="M83" i="24" l="1"/>
  <c r="M84" i="24" s="1"/>
  <c r="M87" i="24" s="1"/>
  <c r="M85" i="24"/>
  <c r="M81" i="24"/>
  <c r="M86" i="24" s="1"/>
  <c r="V76" i="24"/>
  <c r="W53" i="24"/>
  <c r="W70" i="24" s="1"/>
  <c r="W82" i="24" s="1"/>
  <c r="W92" i="24" s="1"/>
  <c r="O51" i="24"/>
  <c r="P49" i="24" s="1"/>
  <c r="W71" i="24"/>
  <c r="W43" i="24"/>
  <c r="X54" i="24"/>
  <c r="W48" i="24"/>
  <c r="M69" i="24"/>
  <c r="N74" i="24"/>
  <c r="N67" i="24"/>
  <c r="W60" i="24"/>
  <c r="W61" i="24"/>
  <c r="X45" i="24"/>
  <c r="U56" i="24"/>
  <c r="U63" i="24" s="1"/>
  <c r="U65" i="24" s="1"/>
  <c r="V56" i="24"/>
  <c r="V63" i="24" s="1"/>
  <c r="V65" i="24" s="1"/>
  <c r="V70" i="24"/>
  <c r="V82" i="24" s="1"/>
  <c r="V92" i="24" s="1"/>
  <c r="P51" i="24" l="1"/>
  <c r="Q49" i="24"/>
  <c r="N80" i="24"/>
  <c r="V72" i="24"/>
  <c r="U72" i="24"/>
  <c r="N68" i="24"/>
  <c r="N75" i="24" s="1"/>
  <c r="X60" i="24"/>
  <c r="Y45" i="24"/>
  <c r="X61" i="24"/>
  <c r="X71" i="24"/>
  <c r="Y54" i="24"/>
  <c r="X48" i="24"/>
  <c r="X43" i="24"/>
  <c r="X58" i="24" s="1"/>
  <c r="O79" i="24"/>
  <c r="O52" i="24"/>
  <c r="O66" i="24" s="1"/>
  <c r="W76" i="24"/>
  <c r="W57" i="24"/>
  <c r="W58" i="24"/>
  <c r="X53" i="24"/>
  <c r="X70" i="24" s="1"/>
  <c r="X82" i="24" s="1"/>
  <c r="X92" i="24" s="1"/>
  <c r="Y61" i="24" l="1"/>
  <c r="Y60" i="24"/>
  <c r="Z45" i="24"/>
  <c r="O74" i="24"/>
  <c r="O67" i="24"/>
  <c r="Y71" i="24"/>
  <c r="Z54" i="24"/>
  <c r="Y48" i="24"/>
  <c r="Y43" i="24"/>
  <c r="Y58" i="24" s="1"/>
  <c r="R49" i="24"/>
  <c r="Q51" i="24"/>
  <c r="P79" i="24"/>
  <c r="P52" i="24"/>
  <c r="P66" i="24" s="1"/>
  <c r="W56" i="24"/>
  <c r="W63" i="24" s="1"/>
  <c r="W65" i="24" s="1"/>
  <c r="X56" i="24"/>
  <c r="X63" i="24" s="1"/>
  <c r="X65" i="24" s="1"/>
  <c r="X76" i="24"/>
  <c r="N69" i="24"/>
  <c r="Y53" i="24"/>
  <c r="N83" i="24"/>
  <c r="N84" i="24" s="1"/>
  <c r="N87" i="24" s="1"/>
  <c r="N85" i="24"/>
  <c r="N81" i="24"/>
  <c r="N86" i="24" s="1"/>
  <c r="R51" i="24" l="1"/>
  <c r="S49" i="24"/>
  <c r="Z71" i="24"/>
  <c r="AA54" i="24"/>
  <c r="Z48" i="24"/>
  <c r="Z43" i="24"/>
  <c r="Z60" i="24"/>
  <c r="AA45" i="24"/>
  <c r="Z61" i="24"/>
  <c r="P74" i="24"/>
  <c r="P67" i="24"/>
  <c r="Z70" i="24"/>
  <c r="Z82" i="24" s="1"/>
  <c r="Z92" i="24" s="1"/>
  <c r="Z53" i="24"/>
  <c r="Y56" i="24"/>
  <c r="Y63" i="24" s="1"/>
  <c r="Y65" i="24" s="1"/>
  <c r="Y76" i="24"/>
  <c r="Y70" i="24"/>
  <c r="Y82" i="24" s="1"/>
  <c r="Y92" i="24" s="1"/>
  <c r="X72" i="24"/>
  <c r="Q79" i="24"/>
  <c r="Q52" i="24"/>
  <c r="Q66" i="24" s="1"/>
  <c r="W72" i="24"/>
  <c r="O68" i="24"/>
  <c r="O75" i="24" s="1"/>
  <c r="O80" i="24" s="1"/>
  <c r="O83" i="24" l="1"/>
  <c r="O84" i="24" s="1"/>
  <c r="O87" i="24" s="1"/>
  <c r="O81" i="24"/>
  <c r="O86" i="24" s="1"/>
  <c r="O85" i="24"/>
  <c r="Q74" i="24"/>
  <c r="Q67" i="24"/>
  <c r="AA61" i="24"/>
  <c r="AB45" i="24"/>
  <c r="AA60" i="24"/>
  <c r="AA71" i="24"/>
  <c r="AA48" i="24"/>
  <c r="AB54" i="24"/>
  <c r="AA43" i="24"/>
  <c r="AA58" i="24" s="1"/>
  <c r="AA56" i="24" s="1"/>
  <c r="AA63" i="24" s="1"/>
  <c r="AA65" i="24" s="1"/>
  <c r="Y72" i="24"/>
  <c r="Z58" i="24"/>
  <c r="Z57" i="24"/>
  <c r="Z56" i="24" s="1"/>
  <c r="Z63" i="24" s="1"/>
  <c r="Z65" i="24" s="1"/>
  <c r="T49" i="24"/>
  <c r="S51" i="24"/>
  <c r="P68" i="24"/>
  <c r="P75" i="24" s="1"/>
  <c r="P80" i="24" s="1"/>
  <c r="O69" i="24"/>
  <c r="AA53" i="24"/>
  <c r="Z76" i="24"/>
  <c r="R79" i="24"/>
  <c r="R52" i="24"/>
  <c r="R66" i="24" s="1"/>
  <c r="P83" i="24" l="1"/>
  <c r="P84" i="24" s="1"/>
  <c r="P87" i="24" s="1"/>
  <c r="P85" i="24"/>
  <c r="P81" i="24"/>
  <c r="P86" i="24" s="1"/>
  <c r="T51" i="24"/>
  <c r="U49" i="24"/>
  <c r="AA72" i="24"/>
  <c r="Z72" i="24"/>
  <c r="AB43" i="24"/>
  <c r="AB58" i="24" s="1"/>
  <c r="AB71" i="24"/>
  <c r="AB48" i="24"/>
  <c r="AC54" i="24"/>
  <c r="AB61" i="24"/>
  <c r="AB60" i="24"/>
  <c r="AC45" i="24"/>
  <c r="AA76" i="24"/>
  <c r="AB53" i="24"/>
  <c r="P69" i="24"/>
  <c r="R74" i="24"/>
  <c r="R67" i="24"/>
  <c r="AA70" i="24"/>
  <c r="AA82" i="24" s="1"/>
  <c r="AA92" i="24" s="1"/>
  <c r="S79" i="24"/>
  <c r="S52" i="24"/>
  <c r="S66" i="24" s="1"/>
  <c r="Q68" i="24"/>
  <c r="Q75" i="24" s="1"/>
  <c r="Q80" i="24" s="1"/>
  <c r="Q69" i="24"/>
  <c r="Q83" i="24" l="1"/>
  <c r="Q84" i="24" s="1"/>
  <c r="Q87" i="24" s="1"/>
  <c r="Q85" i="24"/>
  <c r="Q81" i="24"/>
  <c r="Q86" i="24" s="1"/>
  <c r="AC70" i="24"/>
  <c r="AC82" i="24" s="1"/>
  <c r="AC92" i="24" s="1"/>
  <c r="AC53" i="24"/>
  <c r="U51" i="24"/>
  <c r="R68" i="24"/>
  <c r="R75" i="24" s="1"/>
  <c r="AB70" i="24"/>
  <c r="AB82" i="24" s="1"/>
  <c r="AB92" i="24" s="1"/>
  <c r="AB76" i="24"/>
  <c r="AB56" i="24"/>
  <c r="AB63" i="24" s="1"/>
  <c r="AB65" i="24" s="1"/>
  <c r="T79" i="24"/>
  <c r="T52" i="24"/>
  <c r="T66" i="24" s="1"/>
  <c r="S74" i="24"/>
  <c r="S67" i="24"/>
  <c r="R80" i="24"/>
  <c r="AC71" i="24"/>
  <c r="AD54" i="24"/>
  <c r="AC43" i="24"/>
  <c r="AC48" i="24"/>
  <c r="AC61" i="24"/>
  <c r="AC60" i="24"/>
  <c r="AD45" i="24"/>
  <c r="AD71" i="24" l="1"/>
  <c r="AD48" i="24"/>
  <c r="AD43" i="24"/>
  <c r="AD58" i="24" s="1"/>
  <c r="U79" i="24"/>
  <c r="U52" i="24"/>
  <c r="U66" i="24" s="1"/>
  <c r="T74" i="24"/>
  <c r="T67" i="24"/>
  <c r="V49" i="24"/>
  <c r="AD60" i="24"/>
  <c r="AD61" i="24"/>
  <c r="R83" i="24"/>
  <c r="R84" i="24" s="1"/>
  <c r="R87" i="24" s="1"/>
  <c r="R85" i="24"/>
  <c r="R81" i="24"/>
  <c r="R86" i="24" s="1"/>
  <c r="AC59" i="24"/>
  <c r="AC58" i="24"/>
  <c r="AC57" i="24"/>
  <c r="AC56" i="24" s="1"/>
  <c r="AC63" i="24" s="1"/>
  <c r="AC65" i="24" s="1"/>
  <c r="S68" i="24"/>
  <c r="S75" i="24" s="1"/>
  <c r="S80" i="24" s="1"/>
  <c r="AB72" i="24"/>
  <c r="R69" i="24"/>
  <c r="AD53" i="24"/>
  <c r="AD70" i="24" s="1"/>
  <c r="AD82" i="24" s="1"/>
  <c r="AD92" i="24" s="1"/>
  <c r="AE92" i="24" s="1"/>
  <c r="A93" i="24" s="1"/>
  <c r="S83" i="24" l="1"/>
  <c r="S84" i="24" s="1"/>
  <c r="S87" i="24" s="1"/>
  <c r="S81" i="24"/>
  <c r="S86" i="24" s="1"/>
  <c r="S85" i="24"/>
  <c r="V51" i="24"/>
  <c r="T68" i="24"/>
  <c r="T75" i="24" s="1"/>
  <c r="AC76" i="24"/>
  <c r="AD76" i="24" s="1"/>
  <c r="S69" i="24"/>
  <c r="T80" i="24"/>
  <c r="AD56" i="24"/>
  <c r="AD63" i="24" s="1"/>
  <c r="AD65" i="24" s="1"/>
  <c r="U74" i="24"/>
  <c r="U67" i="24"/>
  <c r="AC72" i="24"/>
  <c r="AD72" i="24" l="1"/>
  <c r="V79" i="24"/>
  <c r="V52" i="24"/>
  <c r="V66" i="24" s="1"/>
  <c r="T83" i="24"/>
  <c r="T84" i="24" s="1"/>
  <c r="T87" i="24" s="1"/>
  <c r="T85" i="24"/>
  <c r="T81" i="24"/>
  <c r="T86" i="24" s="1"/>
  <c r="T69" i="24"/>
  <c r="U68" i="24"/>
  <c r="U75" i="24" s="1"/>
  <c r="U80" i="24"/>
  <c r="W49" i="24"/>
  <c r="U83" i="24" l="1"/>
  <c r="U84" i="24" s="1"/>
  <c r="U87" i="24" s="1"/>
  <c r="U81" i="24"/>
  <c r="U86" i="24" s="1"/>
  <c r="U85" i="24"/>
  <c r="U69" i="24"/>
  <c r="W51" i="24"/>
  <c r="X49" i="24"/>
  <c r="V74" i="24"/>
  <c r="V67" i="24"/>
  <c r="B26" i="22"/>
  <c r="B22" i="22"/>
  <c r="U63" i="15"/>
  <c r="T24" i="15"/>
  <c r="N24" i="15"/>
  <c r="G24" i="15"/>
  <c r="H24" i="15"/>
  <c r="L24" i="15"/>
  <c r="M24" i="15"/>
  <c r="O24" i="15"/>
  <c r="P24" i="15"/>
  <c r="Q24" i="15"/>
  <c r="R24" i="15"/>
  <c r="S24" i="15"/>
  <c r="E24" i="15"/>
  <c r="W52" i="24" l="1"/>
  <c r="W66" i="24" s="1"/>
  <c r="W79" i="24"/>
  <c r="X51" i="24"/>
  <c r="Y49" i="24"/>
  <c r="V68" i="24"/>
  <c r="V75" i="24" s="1"/>
  <c r="V80" i="24" s="1"/>
  <c r="V83" i="24" l="1"/>
  <c r="V84" i="24" s="1"/>
  <c r="V87" i="24" s="1"/>
  <c r="V85" i="24"/>
  <c r="V81" i="24"/>
  <c r="V86" i="24" s="1"/>
  <c r="V69" i="24"/>
  <c r="X79" i="24"/>
  <c r="X52" i="24"/>
  <c r="X66" i="24" s="1"/>
  <c r="Z49" i="24"/>
  <c r="Y51" i="24"/>
  <c r="W74" i="24"/>
  <c r="W67" i="24"/>
  <c r="A14" i="12"/>
  <c r="A11" i="12"/>
  <c r="A8" i="12"/>
  <c r="A4" i="12"/>
  <c r="A15" i="10"/>
  <c r="A12" i="10"/>
  <c r="A9" i="10"/>
  <c r="A5" i="10"/>
  <c r="A15" i="22"/>
  <c r="B21" i="22" s="1"/>
  <c r="A12" i="22"/>
  <c r="A9" i="22"/>
  <c r="A5" i="22"/>
  <c r="A15" i="5"/>
  <c r="A12" i="5"/>
  <c r="A9" i="5"/>
  <c r="A5" i="5"/>
  <c r="A14" i="15"/>
  <c r="A11" i="15"/>
  <c r="A8" i="15"/>
  <c r="A4" i="15"/>
  <c r="A15" i="16"/>
  <c r="A12" i="16"/>
  <c r="A9" i="16"/>
  <c r="A5" i="16"/>
  <c r="A14" i="17"/>
  <c r="A11" i="17"/>
  <c r="A8" i="17"/>
  <c r="A4" i="17"/>
  <c r="A15" i="6"/>
  <c r="A12" i="6"/>
  <c r="A9" i="6"/>
  <c r="A5" i="6"/>
  <c r="E15" i="14"/>
  <c r="E12" i="14"/>
  <c r="E9" i="14"/>
  <c r="A5" i="14"/>
  <c r="A16" i="13"/>
  <c r="A13" i="13"/>
  <c r="A10" i="13"/>
  <c r="A6" i="13"/>
  <c r="Y79" i="24" l="1"/>
  <c r="Y52" i="24"/>
  <c r="Y66" i="24" s="1"/>
  <c r="AA49" i="24"/>
  <c r="Z51" i="24"/>
  <c r="W68" i="24"/>
  <c r="W75" i="24" s="1"/>
  <c r="W80" i="24" s="1"/>
  <c r="W69" i="24"/>
  <c r="X74" i="24"/>
  <c r="X67"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W83" i="24" l="1"/>
  <c r="W84" i="24" s="1"/>
  <c r="W87" i="24" s="1"/>
  <c r="W85" i="24"/>
  <c r="W81" i="24"/>
  <c r="W86" i="24" s="1"/>
  <c r="X80" i="24"/>
  <c r="AA51" i="24"/>
  <c r="AB49" i="24"/>
  <c r="Y74" i="24"/>
  <c r="Y67" i="24"/>
  <c r="X68" i="24"/>
  <c r="X75" i="24" s="1"/>
  <c r="X69" i="24"/>
  <c r="Z79" i="24"/>
  <c r="Z52" i="24"/>
  <c r="Z66" i="24" s="1"/>
  <c r="Z74" i="24" l="1"/>
  <c r="Z67" i="24"/>
  <c r="Y69" i="24"/>
  <c r="Y68" i="24"/>
  <c r="Y75" i="24" s="1"/>
  <c r="X83" i="24"/>
  <c r="X84" i="24" s="1"/>
  <c r="X87" i="24" s="1"/>
  <c r="X85" i="24"/>
  <c r="X81" i="24"/>
  <c r="X86" i="24" s="1"/>
  <c r="Y80" i="24"/>
  <c r="AB51" i="24"/>
  <c r="AC49" i="24"/>
  <c r="AA79" i="24"/>
  <c r="AA52" i="24"/>
  <c r="AA66" i="24" s="1"/>
  <c r="Z68" i="24" l="1"/>
  <c r="Z75" i="24" s="1"/>
  <c r="Z80" i="24" s="1"/>
  <c r="AB79" i="24"/>
  <c r="AB52" i="24"/>
  <c r="AB66" i="24" s="1"/>
  <c r="AA74" i="24"/>
  <c r="AA67" i="24"/>
  <c r="Y83" i="24"/>
  <c r="Y84" i="24" s="1"/>
  <c r="Y87" i="24" s="1"/>
  <c r="Y85" i="24"/>
  <c r="Y81" i="24"/>
  <c r="Y86" i="24" s="1"/>
  <c r="AD49" i="24"/>
  <c r="AD51" i="24" s="1"/>
  <c r="AC51" i="24"/>
  <c r="Z83" i="24" l="1"/>
  <c r="Z84" i="24" s="1"/>
  <c r="Z87" i="24" s="1"/>
  <c r="Z85" i="24"/>
  <c r="Z81" i="24"/>
  <c r="Z86" i="24" s="1"/>
  <c r="AC79" i="24"/>
  <c r="AC52" i="24"/>
  <c r="AC66" i="24" s="1"/>
  <c r="AB74" i="24"/>
  <c r="AB67" i="24"/>
  <c r="AD79" i="24"/>
  <c r="AD52" i="24"/>
  <c r="AD66" i="24" s="1"/>
  <c r="AA68" i="24"/>
  <c r="AA75" i="24" s="1"/>
  <c r="AA69" i="24"/>
  <c r="AA80" i="24"/>
  <c r="Z69" i="24"/>
  <c r="AA83" i="24" l="1"/>
  <c r="AA84" i="24" s="1"/>
  <c r="AA87" i="24" s="1"/>
  <c r="AA81" i="24"/>
  <c r="AA86" i="24" s="1"/>
  <c r="AA85" i="24"/>
  <c r="AB68" i="24"/>
  <c r="AB75" i="24" s="1"/>
  <c r="AB69" i="24"/>
  <c r="AB80" i="24"/>
  <c r="AD74" i="24"/>
  <c r="AD67" i="24"/>
  <c r="AC74" i="24"/>
  <c r="AC67" i="24"/>
  <c r="AC68" i="24" l="1"/>
  <c r="AC75" i="24" s="1"/>
  <c r="AB83" i="24"/>
  <c r="AB84" i="24" s="1"/>
  <c r="AB87" i="24" s="1"/>
  <c r="AB81" i="24"/>
  <c r="AB86" i="24" s="1"/>
  <c r="AB85" i="24"/>
  <c r="AC80" i="24"/>
  <c r="AD68" i="24"/>
  <c r="AD75" i="24" s="1"/>
  <c r="AD80" i="24"/>
  <c r="AD83" i="24" l="1"/>
  <c r="AD85" i="24"/>
  <c r="AD81" i="24"/>
  <c r="AD69" i="24"/>
  <c r="AC83" i="24"/>
  <c r="AC84" i="24" s="1"/>
  <c r="AC87" i="24" s="1"/>
  <c r="AC85" i="24"/>
  <c r="AC81" i="24"/>
  <c r="AC86" i="24" s="1"/>
  <c r="AC69" i="24"/>
  <c r="AD86" i="24" l="1"/>
  <c r="G24" i="24" s="1"/>
  <c r="AD84" i="24"/>
  <c r="AD87" i="24" l="1"/>
  <c r="G25" i="24" s="1"/>
  <c r="G26" i="24"/>
  <c r="B95" i="24" l="1"/>
  <c r="G27" i="24"/>
</calcChain>
</file>

<file path=xl/comments1.xml><?xml version="1.0" encoding="utf-8"?>
<comments xmlns="http://schemas.openxmlformats.org/spreadsheetml/2006/main">
  <authors>
    <author>Басалаева Татьяна Павловна</author>
  </authors>
  <commentList>
    <comment ref="B61"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<sst xmlns="http://schemas.openxmlformats.org/spreadsheetml/2006/main" count="868" uniqueCount="574">
  <si>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</si>
  <si>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</si>
  <si>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</si>
  <si>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</si>
  <si>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</si>
  <si>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</si>
  <si>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</si>
  <si>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</si>
  <si>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</si>
  <si>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</si>
  <si>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</si>
  <si>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</si>
  <si>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</si>
  <si>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</si>
  <si>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</si>
  <si>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</si>
  <si>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</si>
  <si>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</si>
  <si>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</si>
  <si>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</si>
  <si>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</si>
  <si>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</si>
  <si>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</si>
  <si>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</si>
  <si>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</si>
  <si>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</si>
  <si>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</si>
  <si>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</si>
  <si>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</si>
  <si>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</si>
  <si>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</si>
  <si>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</si>
  <si>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</si>
  <si>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</si>
  <si>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</si>
  <si>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</si>
  <si>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</si>
  <si>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</si>
  <si>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</si>
  <si>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</si>
  <si>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</si>
  <si>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</si>
  <si>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</si>
  <si>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</si>
  <si>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</si>
  <si>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</si>
  <si>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</si>
  <si>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</si>
  <si>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</si>
  <si>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</si>
  <si>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</si>
  <si>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</si>
  <si>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</si>
  <si>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</si>
  <si>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</si>
  <si>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</si>
  <si>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</si>
  <si>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</si>
  <si>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</si>
  <si>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</si>
  <si>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</si>
  <si>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</si>
  <si>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</si>
  <si>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</si>
  <si>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</si>
  <si>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</si>
  <si>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</si>
  <si>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</si>
  <si>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</si>
  <si>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</si>
  <si>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</si>
  <si>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</si>
  <si>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</si>
  <si>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</si>
  <si>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</si>
  <si>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</si>
  <si>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</si>
  <si>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</si>
  <si>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</si>
  <si>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</si>
  <si>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</si>
  <si>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</si>
  <si>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</si>
  <si>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</si>
  <si>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</si>
  <si>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</si>
  <si>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</si>
  <si>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</si>
  <si>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</si>
  <si>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</si>
  <si>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</si>
  <si>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</si>
  <si>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</si>
  <si>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</si>
  <si>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</si>
  <si>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</si>
  <si>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</si>
  <si>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</si>
  <si>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</si>
  <si>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</si>
  <si>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</si>
  <si>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</si>
  <si>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</si>
  <si>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</si>
  <si>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</si>
  <si>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</si>
  <si>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</si>
  <si>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</si>
  <si>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</si>
  <si>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</si>
  <si>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</si>
  <si>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</si>
  <si>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</si>
  <si>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</si>
  <si>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</si>
  <si>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</si>
  <si>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</si>
  <si>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</si>
  <si>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</si>
  <si>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</si>
  <si>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</si>
  <si>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</si>
  <si>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</si>
  <si>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</si>
  <si>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</si>
  <si>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</si>
  <si>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</si>
  <si>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</si>
  <si>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</si>
  <si>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</si>
  <si>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</si>
  <si>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</si>
  <si>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</si>
  <si>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</si>
  <si>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</si>
  <si>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</si>
  <si>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</si>
  <si>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</si>
  <si>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</si>
  <si>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</si>
  <si>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</si>
  <si>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</si>
  <si>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</si>
  <si>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</si>
  <si>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</si>
  <si>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</si>
  <si>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</si>
  <si>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</si>
  <si>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</si>
  <si>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</si>
  <si>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</si>
  <si>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</si>
  <si>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</si>
  <si>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</si>
  <si>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</si>
  <si>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</si>
  <si>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</si>
  <si>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</si>
  <si>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</si>
  <si>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</si>
  <si>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</si>
  <si>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</si>
  <si>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</si>
  <si>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</si>
  <si>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</si>
  <si>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</si>
  <si>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</si>
  <si>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</si>
  <si>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</si>
  <si>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</si>
  <si>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</si>
  <si>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</si>
  <si>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</si>
  <si>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</si>
  <si>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</si>
  <si>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</si>
  <si>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</si>
  <si>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</si>
  <si>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</si>
  <si>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</si>
  <si>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</si>
  <si>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</si>
  <si>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</si>
  <si>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</si>
  <si>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</si>
  <si>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</si>
  <si>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</si>
  <si>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</si>
  <si>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</si>
  <si>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</si>
  <si>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</si>
  <si>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</si>
  <si>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</si>
  <si>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</si>
  <si>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</si>
  <si>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</si>
  <si>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</si>
  <si>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</si>
  <si>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</si>
  <si>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</si>
  <si>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</si>
  <si>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</si>
  <si>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</si>
  <si>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</si>
  <si>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</si>
  <si>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</si>
  <si>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</si>
  <si>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</si>
  <si>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</si>
  <si>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</si>
  <si>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</si>
  <si>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</si>
  <si>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</si>
  <si>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</si>
  <si>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</si>
  <si>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</si>
  <si>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</si>
  <si>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</si>
  <si>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</si>
  <si>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</si>
  <si>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</si>
  <si>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</si>
  <si>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</si>
  <si>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</si>
  <si>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</si>
  <si>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</si>
  <si>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</si>
  <si>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</si>
  <si>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</si>
  <si>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</si>
  <si>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</si>
  <si>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</si>
  <si>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</si>
  <si>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</si>
  <si>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</si>
  <si>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</si>
  <si>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</si>
  <si>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</si>
  <si>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</si>
  <si>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</si>
  <si>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</si>
  <si>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</si>
  <si>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</si>
  <si>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</si>
  <si>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</si>
  <si>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</si>
  <si>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</si>
  <si>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</si>
  <si>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</si>
  <si>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</si>
  <si>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</si>
  <si>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</si>
  <si>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</si>
  <si>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</si>
  <si>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</si>
  <si>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</si>
  <si>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</si>
  <si>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</si>
  <si>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</si>
  <si>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</si>
  <si>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</si>
  <si>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</si>
  <si>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</si>
  <si>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</si>
  <si>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</si>
  <si>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</si>
  <si>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</si>
  <si>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</si>
  <si>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</si>
  <si>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</si>
  <si>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</si>
  <si>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</si>
  <si>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</si>
  <si>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</si>
  <si>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</si>
  <si>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</si>
  <si>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</si>
  <si>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</si>
  <si>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</si>
  <si>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</si>
  <si>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</si>
  <si>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</si>
  <si>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</si>
  <si>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</si>
  <si>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</si>
  <si>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</si>
  <si>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</si>
  <si>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</si>
  <si>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</si>
  <si>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</si>
  <si>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</si>
  <si>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</si>
  <si>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</si>
  <si>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</si>
  <si>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</si>
  <si>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</si>
  <si>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</si>
  <si>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</si>
  <si>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</si>
  <si>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</si>
  <si>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</si>
  <si>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</si>
  <si>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</si>
  <si>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</si>
  <si>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</si>
  <si>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</si>
  <si>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</si>
  <si>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</si>
  <si>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</si>
  <si>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</si>
  <si>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</si>
  <si>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</si>
  <si>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</si>
  <si>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</si>
  <si>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</si>
  <si>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</si>
  <si>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</si>
  <si>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</si>
  <si>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</si>
  <si>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</si>
  <si>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</si>
  <si>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</si>
  <si>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</si>
  <si>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</si>
  <si>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</si>
  <si>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</si>
  <si>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</si>
  <si>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</si>
  <si>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</si>
  <si>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</si>
  <si>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</si>
  <si>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</si>
  <si>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</si>
  <si>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</si>
  <si>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</si>
  <si>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</si>
  <si>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</si>
  <si>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</si>
  <si>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</si>
  <si>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</si>
  <si>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</si>
  <si>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</si>
  <si>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</si>
  <si>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</si>
  <si>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</si>
  <si>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</si>
  <si>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</si>
  <si>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</si>
  <si>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</si>
  <si>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</si>
  <si>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</si>
  <si>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</si>
  <si>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</si>
  <si>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</si>
  <si>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</si>
  <si>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</si>
  <si>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</si>
  <si>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</si>
  <si>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</si>
  <si>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</si>
  <si>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</si>
  <si>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</si>
  <si>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</si>
  <si>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</si>
  <si>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</si>
  <si>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</si>
  <si>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</si>
  <si>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</si>
  <si>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</si>
  <si>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</si>
  <si>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</si>
  <si>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</si>
  <si>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</si>
  <si>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</si>
  <si>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</si>
  <si>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</si>
  <si>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</si>
  <si>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</si>
  <si>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</si>
  <si>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</si>
  <si>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</si>
  <si>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</si>
  <si>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</si>
  <si>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</si>
  <si>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</si>
  <si>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</si>
  <si>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</si>
  <si>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</si>
  <si>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</si>
  <si>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</si>
  <si>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</si>
  <si>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</si>
  <si>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</si>
  <si>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</si>
  <si>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</si>
  <si>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</si>
  <si>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</si>
  <si>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</si>
  <si>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</si>
  <si>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</si>
  <si>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</si>
  <si>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</si>
  <si>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</si>
  <si>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</si>
  <si>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</si>
  <si>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</si>
  <si>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</si>
  <si>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</si>
  <si>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</si>
  <si>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</si>
  <si>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</si>
  <si>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</si>
  <si>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</si>
  <si>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</si>
  <si>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</si>
  <si>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</si>
  <si>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</si>
  <si>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</si>
  <si>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</si>
  <si>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</si>
  <si>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</si>
  <si>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</si>
  <si>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</si>
  <si>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</si>
  <si>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</si>
  <si>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</si>
  <si>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</si>
  <si>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</si>
  <si>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</si>
  <si>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</si>
  <si>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</si>
  <si>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</si>
  <si>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</si>
  <si>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</si>
  <si>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</si>
  <si>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</si>
  <si>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</si>
  <si>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</si>
  <si>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</si>
  <si>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</si>
  <si>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</si>
  <si>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</si>
  <si>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</si>
  <si>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</si>
  <si>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</si>
  <si>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</si>
  <si>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</si>
  <si>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</si>
  <si>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</si>
  <si>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</si>
  <si>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</si>
  <si>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</si>
  <si>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</si>
  <si>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</si>
  <si>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</si>
  <si>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</si>
  <si>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</si>
  <si>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</si>
  <si>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</si>
  <si>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</si>
  <si>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</si>
  <si>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</si>
  <si>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</si>
  <si>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</si>
  <si>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</si>
  <si>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</si>
  <si>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</si>
  <si>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</si>
  <si>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</si>
  <si>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</si>
  <si>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</si>
  <si>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</si>
  <si>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</si>
  <si>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</si>
  <si>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</si>
  <si>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</si>
  <si>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</si>
  <si>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</si>
  <si>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</si>
  <si>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</si>
  <si>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</si>
  <si>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</si>
  <si>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</si>
  <si>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</si>
  <si>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</si>
  <si>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</si>
  <si>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</si>
  <si>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</si>
  <si>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</si>
  <si>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</si>
  <si>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</si>
  <si>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</si>
  <si>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</si>
  <si>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</si>
  <si>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</si>
  <si>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</si>
  <si>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</si>
  <si>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</si>
  <si>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</si>
  <si>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</si>
  <si>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</si>
  <si>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</si>
  <si>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</si>
  <si>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</si>
  <si>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</si>
  <si>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
  </si>
  <si>
    <t>01.03.2014</t>
  </si>
  <si>
    <t>31.03.2014</t>
  </si>
  <si>
    <t>01.12.2014</t>
  </si>
  <si>
    <t>31.03.2015</t>
  </si>
  <si>
    <t>01.03.2015</t>
  </si>
  <si>
    <t>01.06.2015</t>
  </si>
  <si>
    <t>31.07.2015</t>
  </si>
  <si>
    <t>01.07.2015</t>
  </si>
  <si>
    <t>2016 год</t>
  </si>
  <si>
    <t>2017 год</t>
  </si>
  <si>
    <t>2018 год</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</si>
  <si>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</si>
  <si>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</si>
  <si>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</si>
  <si>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</si>
  <si>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</si>
  <si>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 </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</si>
  <si>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</si>
  <si>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</si>
  <si>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</si>
  <si>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</si>
  <si>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</si>
  <si>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</si>
  <si>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</si>
  <si>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</si>
  <si>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</si>
  <si>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</si>
  <si>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</si>
  <si>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</si>
  <si>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</si>
  <si>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</si>
  <si>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</si>
  <si>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</si>
  <si>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</si>
  <si>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</si>
  <si>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</si>
  <si>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г.Калининград</t>
  </si>
  <si>
    <t>не требуется</t>
  </si>
  <si>
    <t>да</t>
  </si>
  <si>
    <t>строительство</t>
  </si>
  <si>
    <t xml:space="preserve">•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Официальными документами основания для включения ИП в ИПР являются:
• Государственная программа «подготовки к проведению в 2018 году в Российской Федерации чемпионата мира по футболу»;
• Схема и программа перспективного развития электроэнергетики Калининградской области на период 2014-2019 гг.
</t>
  </si>
  <si>
    <t>2016</t>
  </si>
  <si>
    <t>Сметная стоимость проекта в ценах  4 кв. 2014 года с НДС, млн. руб.</t>
  </si>
  <si>
    <t>Увеличение объема услуг по передаче электрической энергии</t>
  </si>
  <si>
    <t>программа Подготовки к проведению в 2018 году в Российской Федерации чемпионата мира по футболу, утвержденная Постановлением Правительства Российской Федерации</t>
  </si>
  <si>
    <t>№ 518 от 20.06.2013</t>
  </si>
  <si>
    <t>prj_111001_2498</t>
  </si>
  <si>
    <t>Строительство ПС 110/10кВ Береговая с заходами 4-х КЛ 110 кВ от ПС 110 кВ Береговая на ВЛ 110 кВ № 115/116 (ПС Центральная - ПС Московская/ ПС Центральная - ПС Северная), г. Калининград</t>
  </si>
  <si>
    <t xml:space="preserve"> строительство ПС 110/10 кВ "Береговая" закрытого типа (РУ 110/10 кВ - закрытое, РУ 10 кВ - закрытое, два двухобмоточных силовых трансформатора 110/10 кВ мощностью 25 МВА);
 строительство  четырех участков КЛ 110 кВ от ПС 110/10 кВ "Береговая" на ВЛ 110 кВ № 115/116 (ПС Центральная – ПС Московская / ПС Центральная – ПС Северная) общей  протяженностью  1,655 км с переустройством ВОЛС.</t>
  </si>
  <si>
    <t>28.02.2015</t>
  </si>
  <si>
    <t>1,7 км, 50 МВА</t>
  </si>
  <si>
    <t>заключение ГЭ от 27.02.2015</t>
  </si>
  <si>
    <t>449,52 млн.руб.</t>
  </si>
  <si>
    <t>530,43 млн.руб.</t>
  </si>
  <si>
    <t>Т-1</t>
  </si>
  <si>
    <t>Т-2</t>
  </si>
  <si>
    <t>трансформатор силовой масляный</t>
  </si>
  <si>
    <t>ТДТН-25000/100 У1</t>
  </si>
  <si>
    <t>КЛ</t>
  </si>
  <si>
    <t>01.04.2017</t>
  </si>
  <si>
    <t>План 2015 года</t>
  </si>
  <si>
    <t xml:space="preserve">Факт </t>
  </si>
  <si>
    <t>1 квартал</t>
  </si>
  <si>
    <r>
      <rPr>
        <b/>
        <sz val="11"/>
        <rFont val="Times New Roman"/>
        <family val="1"/>
        <charset val="204"/>
      </rPr>
      <t>РД+СМР+оборуд.:</t>
    </r>
    <r>
      <rPr>
        <sz val="11"/>
        <rFont val="Times New Roman"/>
        <family val="1"/>
        <charset val="204"/>
      </rPr>
      <t xml:space="preserve"> ООО "ОЭнТ-Центр" дог.505 от 03.07.15; </t>
    </r>
    <r>
      <rPr>
        <b/>
        <sz val="11"/>
        <rFont val="Times New Roman"/>
        <family val="1"/>
        <charset val="204"/>
      </rPr>
      <t>ПИР:</t>
    </r>
    <r>
      <rPr>
        <sz val="11"/>
        <rFont val="Times New Roman"/>
        <family val="1"/>
        <charset val="204"/>
      </rPr>
      <t xml:space="preserve"> ЗАО ГК "Эн Терра" по дог.104 от 13.03.14; </t>
    </r>
  </si>
  <si>
    <t xml:space="preserve"> - по договорам подряда (РД+СМР+оборуд.: ООО "ОЭнТ-Центр" дог.505 от 03.07.15):</t>
  </si>
  <si>
    <t>объем заключенного договора в ценах 2015 года с НДС, млн. руб.</t>
  </si>
  <si>
    <t xml:space="preserve"> - по прочим договорам (гос.экспертиза проекта ГАУ Калин.области "Центр проектных экспертиз")</t>
  </si>
  <si>
    <t>объем заключенного договора в ценах 2014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</si>
</sst>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8" formatCode="#,##0.0000"/>
    <numFmt numFmtId="169" formatCode="0.0%"/>
    <numFmt numFmtId="170" formatCode="_(* #,##0.00_);_(* \(#,##0.00\);_(* &quot;-&quot;_);_(@_)"/>
    <numFmt numFmtId="171" formatCode="_(* #,##0_);_(* \(#,##0\);_(* &quot;-&quot;_);_(@_)"/>
    <numFmt numFmtId="172" formatCode="#,##0.000"/>
    <numFmt numFmtId="173" formatCode="_-* #,##0.0_р_._-;\-* #,##0.0_р_._-;_-* &quot;-&quot;??_р_._-;_-@_-"/>
    <numFmt numFmtId="174" formatCode="0.0"/>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4"/>
      <color rgb="FF7030A0"/>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0"/>
      <color theme="0"/>
      <name val="Arial Cyr"/>
      <charset val="204"/>
    </font>
    <font>
      <sz val="11"/>
      <color theme="0"/>
      <name val="Times New Roman"/>
      <family val="1"/>
      <charset val="204"/>
    </font>
    <font>
      <sz val="12"/>
      <color theme="0" tint="-0.249977111117893"/>
      <name val="Times New Roman"/>
      <family val="1"/>
      <charset val="204"/>
    </font>
    <font>
      <b/>
      <sz val="11"/>
      <color theme="0" tint="-0.249977111117893"/>
      <name val="Times New Roman"/>
      <family val="1"/>
      <charset val="204"/>
    </font>
    <font>
      <sz val="10"/>
      <color theme="0" tint="-0.249977111117893"/>
      <name val="Arial Cyr"/>
      <charset val="204"/>
    </font>
    <font>
      <b/>
      <sz val="12"/>
      <color theme="0" tint="-0.249977111117893"/>
      <name val="Times New Roman"/>
      <family val="1"/>
      <charset val="204"/>
    </font>
    <font>
      <sz val="12"/>
      <color rgb="FF7030A0"/>
      <name val="Times New Roman"/>
      <family val="1"/>
      <charset val="204"/>
    </font>
    <font>
      <sz val="11"/>
      <color rgb="FF7030A0"/>
      <name val="Times New Roman"/>
      <family val="1"/>
      <charset val="204"/>
    </font>
    <font>
      <sz val="12"/>
      <color indexed="8"/>
      <name val="Times New Roman"/>
      <family val="1"/>
      <charset val="204"/>
    </font>
    <font>
      <sz val="11"/>
      <color theme="0" tint="-0.249977111117893"/>
      <name val="Times New Roman"/>
      <family val="1"/>
      <charset val="204"/>
    </font>
    <font>
      <b/>
      <sz val="11"/>
      <color theme="0"/>
      <name val="Times New Roman"/>
      <family val="1"/>
      <charset val="204"/>
    </font>
    <font>
      <b/>
      <sz val="12"/>
      <color indexed="8"/>
      <name val="Times New Roman"/>
      <family val="1"/>
      <charset val="204"/>
    </font>
    <font>
      <sz val="9"/>
      <color indexed="81"/>
      <name val="Tahoma"/>
      <family val="2"/>
      <charset val="204"/>
    </font>
    <font>
      <b/>
      <sz val="9"/>
      <color indexed="81"/>
      <name val="Tahoma"/>
      <family val="2"/>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6"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cellStyleXfs>
  <cellXfs count="41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49" fontId="11" fillId="0" borderId="0" xfId="2" applyNumberFormat="1" applyFont="1" applyFill="1"/>
    <xf numFmtId="0" fontId="38" fillId="0" borderId="0" xfId="67" applyFont="1" applyFill="1" applyAlignment="1">
      <alignment horizontal="center" vertical="center"/>
    </xf>
    <xf numFmtId="0" fontId="7" fillId="0" borderId="0" xfId="67" applyFont="1" applyFill="1" applyAlignment="1">
      <alignment vertical="center"/>
    </xf>
    <xf numFmtId="0" fontId="64" fillId="0" borderId="0" xfId="67" applyFont="1" applyFill="1" applyAlignment="1">
      <alignment horizontal="left" vertical="center"/>
    </xf>
    <xf numFmtId="0" fontId="65" fillId="0" borderId="0" xfId="67" applyFont="1" applyFill="1" applyAlignment="1">
      <alignment vertical="center"/>
    </xf>
    <xf numFmtId="0" fontId="66" fillId="0" borderId="0" xfId="0" applyFont="1" applyFill="1"/>
    <xf numFmtId="0" fontId="67" fillId="0" borderId="0" xfId="0" applyFont="1" applyFill="1" applyBorder="1"/>
    <xf numFmtId="0" fontId="7" fillId="0" borderId="38" xfId="67" applyFont="1" applyFill="1" applyBorder="1" applyAlignment="1">
      <alignment vertical="center"/>
    </xf>
    <xf numFmtId="3" fontId="36" fillId="0" borderId="39" xfId="67" applyNumberFormat="1" applyFont="1" applyFill="1" applyBorder="1" applyAlignment="1">
      <alignment vertical="center"/>
    </xf>
    <xf numFmtId="0" fontId="7" fillId="0" borderId="40" xfId="67" applyFont="1" applyFill="1" applyBorder="1" applyAlignment="1">
      <alignment vertical="center"/>
    </xf>
    <xf numFmtId="3" fontId="36" fillId="0" borderId="41" xfId="67" applyNumberFormat="1" applyFont="1" applyFill="1" applyBorder="1" applyAlignment="1">
      <alignment vertical="center"/>
    </xf>
    <xf numFmtId="0" fontId="38" fillId="0" borderId="0" xfId="67" applyFont="1" applyFill="1" applyAlignment="1">
      <alignment vertical="center"/>
    </xf>
    <xf numFmtId="0" fontId="7" fillId="0" borderId="42" xfId="67" applyFont="1" applyFill="1" applyBorder="1" applyAlignment="1">
      <alignment vertical="center"/>
    </xf>
    <xf numFmtId="3" fontId="36" fillId="0" borderId="43" xfId="67" applyNumberFormat="1" applyFont="1" applyFill="1" applyBorder="1" applyAlignment="1">
      <alignment vertical="center"/>
    </xf>
    <xf numFmtId="0" fontId="7" fillId="0" borderId="1" xfId="67" applyFont="1" applyFill="1" applyBorder="1" applyAlignment="1">
      <alignment vertical="center"/>
    </xf>
    <xf numFmtId="4" fontId="65" fillId="0" borderId="1" xfId="67" applyNumberFormat="1" applyFont="1" applyFill="1" applyBorder="1" applyAlignment="1">
      <alignment horizontal="center" vertical="center"/>
    </xf>
    <xf numFmtId="3" fontId="65" fillId="0" borderId="1" xfId="67" applyNumberFormat="1" applyFont="1" applyFill="1" applyBorder="1" applyAlignment="1">
      <alignment horizontal="center" vertical="center"/>
    </xf>
    <xf numFmtId="0" fontId="7" fillId="0" borderId="44" xfId="67"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0" fontId="7" fillId="0" borderId="30" xfId="67" applyFont="1" applyFill="1" applyBorder="1" applyAlignment="1">
      <alignment vertical="center"/>
    </xf>
    <xf numFmtId="3" fontId="36" fillId="0" borderId="38" xfId="67" applyNumberFormat="1" applyFont="1" applyFill="1" applyBorder="1" applyAlignment="1">
      <alignment vertical="center"/>
    </xf>
    <xf numFmtId="0" fontId="7" fillId="0" borderId="26" xfId="67"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xf>
    <xf numFmtId="10" fontId="36" fillId="0" borderId="44" xfId="67" applyNumberFormat="1" applyFont="1" applyFill="1" applyBorder="1" applyAlignment="1">
      <alignment vertical="center"/>
    </xf>
    <xf numFmtId="0" fontId="7" fillId="0" borderId="29" xfId="67" applyFont="1" applyFill="1" applyBorder="1" applyAlignment="1">
      <alignment horizontal="left" vertical="center"/>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xf>
    <xf numFmtId="10" fontId="36" fillId="0" borderId="1" xfId="67" applyNumberFormat="1" applyFont="1" applyFill="1" applyBorder="1" applyAlignment="1">
      <alignment vertical="center"/>
    </xf>
    <xf numFmtId="0" fontId="7" fillId="0" borderId="25" xfId="67" applyFont="1" applyFill="1" applyBorder="1" applyAlignment="1">
      <alignment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38" fillId="0" borderId="29" xfId="67" applyFont="1" applyFill="1" applyBorder="1" applyAlignment="1">
      <alignment vertical="center"/>
    </xf>
    <xf numFmtId="3" fontId="36" fillId="0" borderId="1" xfId="67" applyNumberFormat="1" applyFont="1" applyFill="1" applyBorder="1" applyAlignment="1">
      <alignment vertical="center"/>
    </xf>
    <xf numFmtId="0" fontId="7" fillId="0" borderId="0" xfId="67" applyFont="1" applyFill="1" applyBorder="1" applyAlignment="1">
      <alignment vertical="center"/>
    </xf>
    <xf numFmtId="3" fontId="7" fillId="0" borderId="0" xfId="67" applyNumberFormat="1" applyFont="1" applyFill="1" applyBorder="1" applyAlignment="1">
      <alignment vertical="center"/>
    </xf>
    <xf numFmtId="0" fontId="38" fillId="0" borderId="27" xfId="67" applyFont="1" applyFill="1" applyBorder="1" applyAlignment="1">
      <alignment vertical="center"/>
    </xf>
    <xf numFmtId="3" fontId="38" fillId="0" borderId="1" xfId="67" applyNumberFormat="1" applyFont="1" applyFill="1" applyBorder="1" applyAlignment="1">
      <alignment vertical="center"/>
    </xf>
    <xf numFmtId="0" fontId="7" fillId="0" borderId="27" xfId="67" applyFont="1" applyFill="1" applyBorder="1" applyAlignment="1">
      <alignment horizontal="left" vertical="center"/>
    </xf>
    <xf numFmtId="0" fontId="38" fillId="0" borderId="27" xfId="67" applyFont="1" applyFill="1" applyBorder="1" applyAlignment="1">
      <alignment horizontal="left" vertical="center"/>
    </xf>
    <xf numFmtId="3" fontId="68" fillId="0" borderId="5" xfId="67" applyNumberFormat="1" applyFont="1" applyFill="1" applyBorder="1" applyAlignment="1">
      <alignment vertical="center"/>
    </xf>
    <xf numFmtId="0" fontId="38" fillId="0" borderId="25" xfId="67" applyFont="1" applyFill="1" applyBorder="1" applyAlignment="1">
      <alignment horizontal="left" vertical="center"/>
    </xf>
    <xf numFmtId="166" fontId="36" fillId="0" borderId="0" xfId="67" applyNumberFormat="1" applyFont="1" applyFill="1" applyBorder="1" applyAlignment="1">
      <alignment horizontal="center" vertical="center"/>
    </xf>
    <xf numFmtId="0" fontId="7" fillId="0" borderId="27" xfId="67" applyFont="1" applyFill="1" applyBorder="1" applyAlignment="1">
      <alignment horizontal="left" vertical="center" wrapText="1"/>
    </xf>
    <xf numFmtId="168" fontId="36" fillId="0" borderId="1" xfId="67" applyNumberFormat="1" applyFont="1" applyFill="1" applyBorder="1" applyAlignment="1">
      <alignment horizontal="center" vertical="center"/>
    </xf>
    <xf numFmtId="169" fontId="38" fillId="0" borderId="1" xfId="67" applyNumberFormat="1" applyFont="1" applyFill="1" applyBorder="1" applyAlignment="1">
      <alignment vertical="center"/>
    </xf>
    <xf numFmtId="170" fontId="38" fillId="0" borderId="1" xfId="67" applyNumberFormat="1" applyFont="1" applyFill="1" applyBorder="1" applyAlignment="1">
      <alignment vertical="center"/>
    </xf>
    <xf numFmtId="0" fontId="38" fillId="0" borderId="25" xfId="67" applyFont="1" applyFill="1" applyBorder="1" applyAlignment="1">
      <alignment vertical="center"/>
    </xf>
    <xf numFmtId="170" fontId="38" fillId="0" borderId="24" xfId="67" applyNumberFormat="1" applyFont="1" applyFill="1" applyBorder="1" applyAlignment="1">
      <alignment vertical="center"/>
    </xf>
    <xf numFmtId="1" fontId="7" fillId="0" borderId="0" xfId="67" applyNumberFormat="1" applyFont="1" applyFill="1" applyAlignment="1">
      <alignment vertical="center"/>
    </xf>
    <xf numFmtId="0" fontId="7" fillId="0" borderId="0" xfId="67" applyFont="1" applyFill="1" applyAlignment="1">
      <alignment horizontal="right" vertical="center"/>
    </xf>
    <xf numFmtId="171" fontId="7" fillId="0" borderId="0" xfId="67" applyNumberFormat="1" applyFont="1" applyFill="1" applyAlignment="1">
      <alignment vertical="center"/>
    </xf>
    <xf numFmtId="0" fontId="69" fillId="0" borderId="0" xfId="67" applyFont="1" applyFill="1" applyAlignment="1">
      <alignment vertical="center"/>
    </xf>
    <xf numFmtId="3" fontId="70" fillId="0" borderId="1" xfId="67" applyNumberFormat="1" applyFont="1" applyFill="1" applyBorder="1" applyAlignment="1">
      <alignment vertical="center"/>
    </xf>
    <xf numFmtId="0" fontId="71" fillId="0" borderId="0" xfId="0" applyFont="1" applyFill="1"/>
    <xf numFmtId="3" fontId="72" fillId="0" borderId="0" xfId="67" applyNumberFormat="1" applyFont="1" applyFill="1" applyAlignment="1">
      <alignment horizontal="center" vertical="center"/>
    </xf>
    <xf numFmtId="172" fontId="70" fillId="0" borderId="1" xfId="67" applyNumberFormat="1" applyFont="1" applyFill="1" applyBorder="1" applyAlignment="1">
      <alignment vertical="center"/>
    </xf>
    <xf numFmtId="0" fontId="3" fillId="0" borderId="0" xfId="1" applyAlignment="1">
      <alignment horizontal="left" vertical="center"/>
    </xf>
    <xf numFmtId="43" fontId="4" fillId="0" borderId="1" xfId="1" applyNumberFormat="1" applyFont="1" applyBorder="1" applyAlignment="1">
      <alignment horizontal="center" vertical="center"/>
    </xf>
    <xf numFmtId="49" fontId="7" fillId="0" borderId="1" xfId="1" applyNumberFormat="1" applyFont="1" applyBorder="1" applyAlignment="1">
      <alignment horizontal="center" vertical="center"/>
    </xf>
    <xf numFmtId="43" fontId="42" fillId="0" borderId="1" xfId="2" applyNumberFormat="1" applyFont="1" applyFill="1" applyBorder="1" applyAlignment="1">
      <alignment horizontal="left" vertical="center" wrapText="1"/>
    </xf>
    <xf numFmtId="43" fontId="42" fillId="0" borderId="1" xfId="2" applyNumberFormat="1" applyFont="1" applyFill="1" applyBorder="1" applyAlignment="1">
      <alignment horizontal="center" vertical="center" wrapText="1"/>
    </xf>
    <xf numFmtId="43" fontId="11" fillId="0" borderId="1" xfId="2" applyNumberFormat="1" applyFont="1" applyBorder="1"/>
    <xf numFmtId="43" fontId="11" fillId="0" borderId="1" xfId="2" applyNumberFormat="1" applyFont="1" applyFill="1" applyBorder="1" applyAlignment="1">
      <alignment horizontal="left" vertical="center" wrapText="1"/>
    </xf>
    <xf numFmtId="43" fontId="11" fillId="0" borderId="1" xfId="2" applyNumberFormat="1" applyFont="1" applyFill="1" applyBorder="1" applyAlignment="1">
      <alignment horizontal="center" vertical="center" wrapText="1"/>
    </xf>
    <xf numFmtId="43" fontId="47" fillId="0" borderId="1" xfId="45" applyNumberFormat="1" applyFont="1" applyFill="1" applyBorder="1" applyAlignment="1">
      <alignment horizontal="left" vertical="center" wrapText="1"/>
    </xf>
    <xf numFmtId="43" fontId="47" fillId="0" borderId="2" xfId="45" applyNumberFormat="1" applyFont="1" applyFill="1" applyBorder="1" applyAlignment="1">
      <alignment horizontal="left" vertical="center" wrapText="1"/>
    </xf>
    <xf numFmtId="43" fontId="61" fillId="0" borderId="1" xfId="2" applyNumberFormat="1" applyFont="1" applyFill="1" applyBorder="1" applyAlignment="1">
      <alignment horizontal="center" vertical="center" wrapText="1"/>
    </xf>
    <xf numFmtId="43" fontId="73" fillId="0" borderId="1" xfId="2" applyNumberFormat="1" applyFont="1" applyFill="1" applyBorder="1" applyAlignment="1">
      <alignment horizontal="center" vertical="center" wrapText="1"/>
    </xf>
    <xf numFmtId="43" fontId="73" fillId="0" borderId="1" xfId="2" applyNumberFormat="1"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left" vertical="center" wrapText="1"/>
    </xf>
    <xf numFmtId="173" fontId="42" fillId="0" borderId="1" xfId="2" applyNumberFormat="1" applyFont="1" applyFill="1" applyBorder="1" applyAlignment="1">
      <alignment horizontal="center" vertical="center" wrapText="1"/>
    </xf>
    <xf numFmtId="0" fontId="3" fillId="0" borderId="4" xfId="1" applyBorder="1" applyAlignment="1">
      <alignment horizontal="left" vertical="center"/>
    </xf>
    <xf numFmtId="0" fontId="74" fillId="0" borderId="31" xfId="2" applyFont="1" applyFill="1" applyBorder="1" applyAlignment="1">
      <alignment horizontal="justify"/>
    </xf>
    <xf numFmtId="0" fontId="74" fillId="0" borderId="34" xfId="2" applyFont="1" applyFill="1" applyBorder="1" applyAlignment="1">
      <alignment horizontal="left" vertical="center" wrapText="1"/>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174" fontId="7" fillId="0" borderId="1" xfId="49" applyNumberFormat="1" applyFont="1" applyBorder="1" applyAlignment="1">
      <alignment horizontal="center" vertical="center"/>
    </xf>
    <xf numFmtId="17" fontId="7" fillId="0" borderId="1" xfId="49"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5" fillId="0" borderId="1" xfId="67" applyFont="1" applyFill="1" applyBorder="1" applyAlignment="1">
      <alignment horizontal="center" vertical="center"/>
    </xf>
    <xf numFmtId="0" fontId="71" fillId="0" borderId="0" xfId="0" applyFont="1" applyFill="1" applyBorder="1"/>
    <xf numFmtId="3" fontId="69" fillId="0" borderId="0" xfId="67" applyNumberFormat="1" applyFont="1" applyFill="1" applyBorder="1" applyAlignment="1">
      <alignment horizontal="center" vertical="center"/>
    </xf>
    <xf numFmtId="3" fontId="68" fillId="0" borderId="0" xfId="67" applyNumberFormat="1" applyFont="1" applyFill="1" applyBorder="1" applyAlignment="1">
      <alignment vertical="center"/>
    </xf>
    <xf numFmtId="166" fontId="76" fillId="0" borderId="0" xfId="67" applyNumberFormat="1" applyFont="1" applyFill="1" applyBorder="1" applyAlignment="1">
      <alignment horizontal="center" vertical="center"/>
    </xf>
    <xf numFmtId="3" fontId="77" fillId="0" borderId="4" xfId="67" applyNumberFormat="1" applyFont="1" applyFill="1" applyBorder="1" applyAlignment="1">
      <alignment vertical="center"/>
    </xf>
    <xf numFmtId="14" fontId="75" fillId="0" borderId="2" xfId="62" applyNumberFormat="1" applyFont="1" applyFill="1" applyBorder="1" applyAlignment="1" applyProtection="1">
      <alignment horizontal="center" vertical="center" wrapText="1"/>
      <protection locked="0"/>
    </xf>
    <xf numFmtId="49" fontId="75" fillId="0" borderId="1" xfId="62" applyNumberFormat="1" applyFont="1" applyFill="1" applyBorder="1" applyProtection="1"/>
    <xf numFmtId="43" fontId="73" fillId="0" borderId="1" xfId="2" applyNumberFormat="1" applyFont="1" applyBorder="1"/>
    <xf numFmtId="173" fontId="73"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61" fillId="0" borderId="0" xfId="0" applyFont="1" applyFill="1" applyAlignment="1">
      <alignment horizontal="center" vertical="center"/>
    </xf>
    <xf numFmtId="0" fontId="62"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62"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0" borderId="0" xfId="67" applyFont="1" applyFill="1" applyAlignment="1">
      <alignment horizontal="left" vertical="center" wrapText="1"/>
    </xf>
    <xf numFmtId="0" fontId="65" fillId="0" borderId="1" xfId="67" applyFont="1" applyFill="1" applyBorder="1" applyAlignment="1">
      <alignment horizontal="center" vertical="center"/>
    </xf>
    <xf numFmtId="0" fontId="7" fillId="0" borderId="0" xfId="0"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63" fillId="0" borderId="0" xfId="2" applyFont="1" applyFill="1" applyAlignment="1">
      <alignment horizontal="center"/>
    </xf>
    <xf numFmtId="0" fontId="11" fillId="0" borderId="1" xfId="62"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1" xfId="62" applyNumberFormat="1" applyFont="1" applyBorder="1" applyAlignment="1">
      <alignment horizontal="center" vertical="center" wrapText="1"/>
    </xf>
    <xf numFmtId="174" fontId="11" fillId="0" borderId="1" xfId="62" applyNumberFormat="1" applyFont="1" applyBorder="1" applyAlignment="1">
      <alignment horizontal="center" vertical="center"/>
    </xf>
    <xf numFmtId="0" fontId="7" fillId="0" borderId="48" xfId="0" applyFont="1" applyBorder="1" applyAlignment="1">
      <alignment horizontal="left" vertical="top"/>
    </xf>
    <xf numFmtId="49" fontId="78" fillId="0" borderId="1" xfId="62" applyNumberFormat="1" applyFont="1" applyFill="1" applyBorder="1" applyAlignment="1">
      <alignment horizontal="left" vertical="center" wrapText="1"/>
    </xf>
    <xf numFmtId="0" fontId="7" fillId="0" borderId="27" xfId="0" applyFont="1" applyBorder="1" applyAlignment="1">
      <alignment horizontal="left" vertical="top"/>
    </xf>
    <xf numFmtId="49" fontId="75" fillId="0" borderId="1" xfId="62" applyNumberFormat="1" applyFont="1" applyFill="1" applyBorder="1" applyAlignment="1">
      <alignment horizontal="left" vertical="center" wrapText="1"/>
    </xf>
    <xf numFmtId="0" fontId="7" fillId="0" borderId="25" xfId="0" applyFont="1" applyBorder="1" applyAlignment="1">
      <alignment horizontal="left" vertical="top"/>
    </xf>
    <xf numFmtId="49" fontId="75" fillId="0" borderId="24" xfId="62" applyNumberFormat="1" applyFont="1" applyFill="1" applyBorder="1" applyAlignment="1">
      <alignment horizontal="left" vertical="center" wrapText="1"/>
    </xf>
    <xf numFmtId="14" fontId="75" fillId="0" borderId="24" xfId="62" applyNumberFormat="1" applyFont="1" applyFill="1" applyBorder="1" applyAlignment="1" applyProtection="1">
      <alignment horizontal="center" vertical="center" wrapText="1"/>
      <protection locked="0"/>
    </xf>
    <xf numFmtId="1" fontId="75" fillId="0" borderId="1" xfId="62" applyNumberFormat="1" applyFont="1" applyFill="1" applyBorder="1" applyAlignment="1" applyProtection="1">
      <alignment horizontal="center" vertical="center"/>
      <protection locked="0"/>
    </xf>
    <xf numFmtId="14" fontId="75" fillId="25" borderId="2" xfId="62" applyNumberFormat="1" applyFont="1" applyFill="1" applyBorder="1" applyAlignment="1" applyProtection="1">
      <alignment horizontal="center" vertical="center" wrapText="1"/>
      <protection locked="0"/>
    </xf>
    <xf numFmtId="1" fontId="75" fillId="0" borderId="1" xfId="62" applyNumberFormat="1" applyFont="1" applyFill="1" applyBorder="1" applyProtection="1"/>
    <xf numFmtId="1" fontId="75" fillId="0" borderId="4" xfId="62" applyNumberFormat="1" applyFont="1" applyFill="1" applyBorder="1" applyProtection="1"/>
    <xf numFmtId="1" fontId="75" fillId="0" borderId="4" xfId="62" applyNumberFormat="1" applyFont="1" applyFill="1" applyBorder="1" applyAlignment="1" applyProtection="1">
      <alignment horizontal="center" vertical="center"/>
      <protection locked="0"/>
    </xf>
    <xf numFmtId="173" fontId="73" fillId="0" borderId="1" xfId="2" applyNumberFormat="1" applyFont="1" applyFill="1" applyBorder="1" applyAlignment="1">
      <alignment horizontal="center" vertical="center" wrapText="1"/>
    </xf>
    <xf numFmtId="2" fontId="40" fillId="0" borderId="31" xfId="2" applyNumberFormat="1" applyFont="1" applyFill="1" applyBorder="1" applyAlignment="1">
      <alignment horizontal="justify" vertical="top" wrapText="1"/>
    </xf>
    <xf numFmtId="2" fontId="74" fillId="0" borderId="37" xfId="2" applyNumberFormat="1" applyFont="1" applyFill="1" applyBorder="1" applyAlignment="1">
      <alignment horizontal="justify" vertical="top" wrapText="1"/>
    </xf>
    <xf numFmtId="2" fontId="74" fillId="0" borderId="34" xfId="2" applyNumberFormat="1" applyFont="1" applyFill="1" applyBorder="1" applyAlignment="1">
      <alignment horizontal="justify" vertical="top" wrapText="1"/>
    </xf>
    <xf numFmtId="0" fontId="41" fillId="26" borderId="31" xfId="2" applyFont="1" applyFill="1" applyBorder="1" applyAlignment="1">
      <alignment horizontal="justify" vertical="top"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90255024"/>
        <c:axId val="290250320"/>
      </c:lineChart>
      <c:catAx>
        <c:axId val="2902550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90250320"/>
        <c:crosses val="autoZero"/>
        <c:auto val="1"/>
        <c:lblAlgn val="ctr"/>
        <c:lblOffset val="100"/>
        <c:noMultiLvlLbl val="0"/>
      </c:catAx>
      <c:valAx>
        <c:axId val="2902503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90255024"/>
        <c:crosses val="autoZero"/>
        <c:crossBetween val="between"/>
      </c:valAx>
    </c:plotArea>
    <c:legend>
      <c:legendPos val="r"/>
      <c:layout>
        <c:manualLayout>
          <c:xMode val="edge"/>
          <c:yMode val="edge"/>
          <c:x val="0.30498195494164054"/>
          <c:y val="0.90123818977538972"/>
          <c:w val="0.35115452182523554"/>
          <c:h val="8.2304857513734217E-2"/>
        </c:manualLayout>
      </c:layout>
      <c:overlay val="0"/>
      <c:txPr>
        <a:bodyPr/>
        <a:lstStyle/>
        <a:p>
          <a:pPr>
            <a:defRPr sz="28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27</xdr:row>
      <xdr:rowOff>152400</xdr:rowOff>
    </xdr:from>
    <xdr:to>
      <xdr:col>9</xdr:col>
      <xdr:colOff>1095375</xdr:colOff>
      <xdr:row>39</xdr:row>
      <xdr:rowOff>47625</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22" sqref="C2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9"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80" t="s">
        <v>491</v>
      </c>
      <c r="B5" s="280"/>
      <c r="C5" s="280"/>
      <c r="D5" s="171"/>
      <c r="E5" s="171"/>
      <c r="F5" s="171"/>
      <c r="G5" s="171"/>
      <c r="H5" s="171"/>
      <c r="I5" s="171"/>
      <c r="J5" s="171"/>
    </row>
    <row r="6" spans="1:22" s="12" customFormat="1" ht="18.75" x14ac:dyDescent="0.3">
      <c r="A6" s="17"/>
      <c r="F6" s="16"/>
      <c r="G6" s="16"/>
      <c r="H6" s="15"/>
    </row>
    <row r="7" spans="1:22" s="12" customFormat="1" ht="18.75" x14ac:dyDescent="0.2">
      <c r="A7" s="284" t="s">
        <v>10</v>
      </c>
      <c r="B7" s="284"/>
      <c r="C7" s="28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5" t="s">
        <v>492</v>
      </c>
      <c r="B9" s="285"/>
      <c r="C9" s="285"/>
      <c r="D9" s="8"/>
      <c r="E9" s="8"/>
      <c r="F9" s="8"/>
      <c r="G9" s="8"/>
      <c r="H9" s="8"/>
      <c r="I9" s="13"/>
      <c r="J9" s="13"/>
      <c r="K9" s="13"/>
      <c r="L9" s="13"/>
      <c r="M9" s="13"/>
      <c r="N9" s="13"/>
      <c r="O9" s="13"/>
      <c r="P9" s="13"/>
      <c r="Q9" s="13"/>
      <c r="R9" s="13"/>
      <c r="S9" s="13"/>
      <c r="T9" s="13"/>
      <c r="U9" s="13"/>
      <c r="V9" s="13"/>
    </row>
    <row r="10" spans="1:22" s="12" customFormat="1" ht="18.75" x14ac:dyDescent="0.2">
      <c r="A10" s="281" t="s">
        <v>9</v>
      </c>
      <c r="B10" s="281"/>
      <c r="C10" s="28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5" t="s">
        <v>552</v>
      </c>
      <c r="B12" s="285"/>
      <c r="C12" s="285"/>
      <c r="D12" s="8"/>
      <c r="E12" s="8"/>
      <c r="F12" s="8"/>
      <c r="G12" s="8"/>
      <c r="H12" s="8"/>
      <c r="I12" s="13"/>
      <c r="J12" s="13"/>
      <c r="K12" s="13"/>
      <c r="L12" s="13"/>
      <c r="M12" s="13"/>
      <c r="N12" s="13"/>
      <c r="O12" s="13"/>
      <c r="P12" s="13"/>
      <c r="Q12" s="13"/>
      <c r="R12" s="13"/>
      <c r="S12" s="13"/>
      <c r="T12" s="13"/>
      <c r="U12" s="13"/>
      <c r="V12" s="13"/>
    </row>
    <row r="13" spans="1:22" s="12" customFormat="1" ht="18.75" x14ac:dyDescent="0.2">
      <c r="A13" s="281" t="s">
        <v>8</v>
      </c>
      <c r="B13" s="281"/>
      <c r="C13" s="28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5.5" customHeight="1" x14ac:dyDescent="0.2">
      <c r="A15" s="286" t="s">
        <v>553</v>
      </c>
      <c r="B15" s="286"/>
      <c r="C15" s="286"/>
      <c r="D15" s="8"/>
      <c r="E15" s="8"/>
      <c r="F15" s="8"/>
      <c r="G15" s="8"/>
      <c r="H15" s="8"/>
      <c r="I15" s="8"/>
      <c r="J15" s="8"/>
      <c r="K15" s="8"/>
      <c r="L15" s="8"/>
      <c r="M15" s="8"/>
      <c r="N15" s="8"/>
      <c r="O15" s="8"/>
      <c r="P15" s="8"/>
      <c r="Q15" s="8"/>
      <c r="R15" s="8"/>
      <c r="S15" s="8"/>
      <c r="T15" s="8"/>
      <c r="U15" s="8"/>
      <c r="V15" s="8"/>
    </row>
    <row r="16" spans="1:22" s="3" customFormat="1" ht="15" customHeight="1" x14ac:dyDescent="0.2">
      <c r="A16" s="281" t="s">
        <v>7</v>
      </c>
      <c r="B16" s="281"/>
      <c r="C16" s="28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2" t="s">
        <v>474</v>
      </c>
      <c r="B18" s="283"/>
      <c r="C18" s="28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1" t="s">
        <v>334</v>
      </c>
      <c r="C22" s="37"/>
      <c r="D22" s="29"/>
      <c r="E22" s="29"/>
      <c r="F22" s="29"/>
      <c r="G22" s="29"/>
      <c r="H22" s="29"/>
      <c r="I22" s="28"/>
      <c r="J22" s="28"/>
      <c r="K22" s="28"/>
      <c r="L22" s="28"/>
      <c r="M22" s="28"/>
      <c r="N22" s="28"/>
      <c r="O22" s="28"/>
      <c r="P22" s="28"/>
      <c r="Q22" s="28"/>
      <c r="R22" s="28"/>
      <c r="S22" s="28"/>
      <c r="T22" s="27"/>
      <c r="U22" s="27"/>
      <c r="V22" s="27"/>
    </row>
    <row r="23" spans="1:22" s="3" customFormat="1" ht="31.5" x14ac:dyDescent="0.2">
      <c r="A23" s="24" t="s">
        <v>64</v>
      </c>
      <c r="B23" s="36" t="s">
        <v>65</v>
      </c>
      <c r="C23" s="40" t="s">
        <v>549</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77"/>
      <c r="B24" s="278"/>
      <c r="C24" s="279"/>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68" t="s">
        <v>421</v>
      </c>
      <c r="C25" s="35" t="s">
        <v>492</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68" t="s">
        <v>76</v>
      </c>
      <c r="C26" s="35" t="s">
        <v>493</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68" t="s">
        <v>75</v>
      </c>
      <c r="C27" s="35" t="s">
        <v>542</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68" t="s">
        <v>422</v>
      </c>
      <c r="C28" s="35"/>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68" t="s">
        <v>423</v>
      </c>
      <c r="C29" s="35"/>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68" t="s">
        <v>424</v>
      </c>
      <c r="C30" s="35"/>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40" t="s">
        <v>425</v>
      </c>
      <c r="C31" s="35" t="s">
        <v>544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40" t="s">
        <v>426</v>
      </c>
      <c r="C32" s="35" t="s">
        <v>544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40" t="s">
        <v>427</v>
      </c>
      <c r="C33" s="161"/>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443</v>
      </c>
      <c r="B34" s="40" t="s">
        <v>428</v>
      </c>
      <c r="C34" s="25"/>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431</v>
      </c>
      <c r="B35" s="40" t="s">
        <v>73</v>
      </c>
      <c r="C35" s="25" t="s">
        <v>543</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444</v>
      </c>
      <c r="B36" s="40" t="s">
        <v>429</v>
      </c>
      <c r="C36" s="25" t="s">
        <v>544</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432</v>
      </c>
      <c r="B37" s="40" t="s">
        <v>430</v>
      </c>
      <c r="C37" s="25" t="s">
        <v>544</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445</v>
      </c>
      <c r="B38" s="40" t="s">
        <v>231</v>
      </c>
      <c r="C38" s="25" t="s">
        <v>544</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77"/>
      <c r="B39" s="278"/>
      <c r="C39" s="279"/>
      <c r="D39" s="23"/>
      <c r="E39" s="23"/>
      <c r="F39" s="23"/>
      <c r="G39" s="23"/>
      <c r="H39" s="23"/>
      <c r="I39" s="23"/>
      <c r="J39" s="23"/>
      <c r="K39" s="23"/>
      <c r="L39" s="23"/>
      <c r="M39" s="23"/>
      <c r="N39" s="23"/>
      <c r="O39" s="23"/>
      <c r="P39" s="23"/>
      <c r="Q39" s="23"/>
      <c r="R39" s="23"/>
      <c r="S39" s="23"/>
      <c r="T39" s="23"/>
      <c r="U39" s="23"/>
      <c r="V39" s="23"/>
    </row>
    <row r="40" spans="1:22" ht="63" x14ac:dyDescent="0.25">
      <c r="A40" s="24" t="s">
        <v>433</v>
      </c>
      <c r="B40" s="40" t="s">
        <v>487</v>
      </c>
      <c r="C40" s="2"/>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446</v>
      </c>
      <c r="B41" s="40" t="s">
        <v>469</v>
      </c>
      <c r="C41" s="2"/>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434</v>
      </c>
      <c r="B42" s="40" t="s">
        <v>484</v>
      </c>
      <c r="C42" s="2"/>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449</v>
      </c>
      <c r="B43" s="40" t="s">
        <v>450</v>
      </c>
      <c r="C43" s="2"/>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435</v>
      </c>
      <c r="B44" s="40" t="s">
        <v>475</v>
      </c>
      <c r="C44" s="2"/>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470</v>
      </c>
      <c r="B45" s="40" t="s">
        <v>476</v>
      </c>
      <c r="C45" s="2"/>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436</v>
      </c>
      <c r="B46" s="40" t="s">
        <v>477</v>
      </c>
      <c r="C46" s="2"/>
      <c r="D46" s="23"/>
      <c r="E46" s="23"/>
      <c r="F46" s="23"/>
      <c r="G46" s="23"/>
      <c r="H46" s="23"/>
      <c r="I46" s="23"/>
      <c r="J46" s="23"/>
      <c r="K46" s="23"/>
      <c r="L46" s="23"/>
      <c r="M46" s="23"/>
      <c r="N46" s="23"/>
      <c r="O46" s="23"/>
      <c r="P46" s="23"/>
      <c r="Q46" s="23"/>
      <c r="R46" s="23"/>
      <c r="S46" s="23"/>
      <c r="T46" s="23"/>
      <c r="U46" s="23"/>
      <c r="V46" s="23"/>
    </row>
    <row r="47" spans="1:22" ht="18.75" customHeight="1" x14ac:dyDescent="0.25">
      <c r="A47" s="277"/>
      <c r="B47" s="278"/>
      <c r="C47" s="279"/>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471</v>
      </c>
      <c r="B48" s="40" t="s">
        <v>485</v>
      </c>
      <c r="C48" s="254" t="s">
        <v>559</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437</v>
      </c>
      <c r="B49" s="40" t="s">
        <v>486</v>
      </c>
      <c r="C49" s="238" t="s">
        <v>558</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16" zoomScale="80" zoomScaleNormal="70" zoomScaleSheetLayoutView="80" workbookViewId="0">
      <selection activeCell="C41" sqref="C41"/>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10.28515625" style="66" customWidth="1"/>
    <col min="9" max="9" width="10.42578125" style="66" customWidth="1"/>
    <col min="10" max="10" width="10.140625" style="66" customWidth="1"/>
    <col min="11" max="11" width="9.7109375" style="66" customWidth="1"/>
    <col min="12" max="12" width="10.42578125" style="65" customWidth="1"/>
    <col min="13" max="13" width="5.28515625" style="65" customWidth="1"/>
    <col min="14" max="14" width="10.5703125" style="65" customWidth="1"/>
    <col min="15" max="19" width="6.140625" style="65" customWidth="1"/>
    <col min="20" max="20" width="13.140625" style="65" customWidth="1"/>
    <col min="21" max="21" width="24.85546875" style="65" customWidth="1"/>
    <col min="22" max="16384" width="9.140625" style="65"/>
  </cols>
  <sheetData>
    <row r="1" spans="1:21" ht="18.75" x14ac:dyDescent="0.25">
      <c r="A1" s="66"/>
      <c r="B1" s="66"/>
      <c r="C1" s="66"/>
      <c r="D1" s="66"/>
      <c r="E1" s="66"/>
      <c r="F1" s="66"/>
      <c r="L1" s="66"/>
      <c r="M1" s="66"/>
      <c r="U1" s="39" t="s">
        <v>70</v>
      </c>
    </row>
    <row r="2" spans="1:21" ht="18.75" x14ac:dyDescent="0.3">
      <c r="A2" s="66"/>
      <c r="B2" s="66"/>
      <c r="C2" s="66"/>
      <c r="D2" s="66"/>
      <c r="E2" s="66"/>
      <c r="F2" s="66"/>
      <c r="L2" s="66"/>
      <c r="M2" s="66"/>
      <c r="U2" s="15" t="s">
        <v>11</v>
      </c>
    </row>
    <row r="3" spans="1:21" ht="18.75" x14ac:dyDescent="0.3">
      <c r="A3" s="66"/>
      <c r="B3" s="66"/>
      <c r="C3" s="66"/>
      <c r="D3" s="66"/>
      <c r="E3" s="66"/>
      <c r="F3" s="66"/>
      <c r="L3" s="66"/>
      <c r="M3" s="66"/>
      <c r="U3" s="15" t="s">
        <v>69</v>
      </c>
    </row>
    <row r="4" spans="1:21" ht="18.75" customHeight="1" x14ac:dyDescent="0.25">
      <c r="A4" s="288" t="str">
        <f>'1. паспорт местоположение'!A5:C5</f>
        <v>Год раскрытия информации: 2016 год</v>
      </c>
      <c r="B4" s="288"/>
      <c r="C4" s="288"/>
      <c r="D4" s="288"/>
      <c r="E4" s="288"/>
      <c r="F4" s="288"/>
      <c r="G4" s="288"/>
      <c r="H4" s="288"/>
      <c r="I4" s="288"/>
      <c r="J4" s="288"/>
      <c r="K4" s="288"/>
      <c r="L4" s="288"/>
      <c r="M4" s="288"/>
      <c r="N4" s="288"/>
      <c r="O4" s="288"/>
      <c r="P4" s="288"/>
      <c r="Q4" s="288"/>
      <c r="R4" s="288"/>
      <c r="S4" s="288"/>
      <c r="T4" s="288"/>
      <c r="U4" s="288"/>
    </row>
    <row r="5" spans="1:21" ht="18.75" x14ac:dyDescent="0.3">
      <c r="A5" s="66"/>
      <c r="B5" s="66"/>
      <c r="C5" s="66"/>
      <c r="D5" s="66"/>
      <c r="E5" s="66"/>
      <c r="F5" s="66"/>
      <c r="L5" s="66"/>
      <c r="M5" s="66"/>
      <c r="U5" s="15"/>
    </row>
    <row r="6" spans="1:21" ht="18.75" x14ac:dyDescent="0.25">
      <c r="A6" s="284" t="s">
        <v>10</v>
      </c>
      <c r="B6" s="284"/>
      <c r="C6" s="284"/>
      <c r="D6" s="284"/>
      <c r="E6" s="284"/>
      <c r="F6" s="284"/>
      <c r="G6" s="284"/>
      <c r="H6" s="284"/>
      <c r="I6" s="284"/>
      <c r="J6" s="284"/>
      <c r="K6" s="284"/>
      <c r="L6" s="284"/>
      <c r="M6" s="284"/>
      <c r="N6" s="284"/>
      <c r="O6" s="284"/>
      <c r="P6" s="284"/>
      <c r="Q6" s="284"/>
      <c r="R6" s="284"/>
      <c r="S6" s="284"/>
      <c r="T6" s="284"/>
      <c r="U6" s="284"/>
    </row>
    <row r="7" spans="1:21" ht="18.75" x14ac:dyDescent="0.25">
      <c r="A7" s="13"/>
      <c r="B7" s="13"/>
      <c r="C7" s="13"/>
      <c r="D7" s="13"/>
      <c r="E7" s="13"/>
      <c r="F7" s="13"/>
      <c r="G7" s="13"/>
      <c r="H7" s="13"/>
      <c r="I7" s="13"/>
      <c r="J7" s="89"/>
      <c r="K7" s="89"/>
      <c r="L7" s="89"/>
      <c r="M7" s="89"/>
      <c r="N7" s="89"/>
      <c r="O7" s="89"/>
      <c r="P7" s="89"/>
      <c r="Q7" s="89"/>
      <c r="R7" s="89"/>
      <c r="S7" s="89"/>
      <c r="T7" s="89"/>
      <c r="U7" s="89"/>
    </row>
    <row r="8" spans="1:21" x14ac:dyDescent="0.25">
      <c r="A8" s="289" t="str">
        <f>'1. паспорт местоположение'!A9:C9</f>
        <v>АО "Янтарьэнерго"</v>
      </c>
      <c r="B8" s="289"/>
      <c r="C8" s="289"/>
      <c r="D8" s="289"/>
      <c r="E8" s="289"/>
      <c r="F8" s="289"/>
      <c r="G8" s="289"/>
      <c r="H8" s="289"/>
      <c r="I8" s="289"/>
      <c r="J8" s="289"/>
      <c r="K8" s="289"/>
      <c r="L8" s="289"/>
      <c r="M8" s="289"/>
      <c r="N8" s="289"/>
      <c r="O8" s="289"/>
      <c r="P8" s="289"/>
      <c r="Q8" s="289"/>
      <c r="R8" s="289"/>
      <c r="S8" s="289"/>
      <c r="T8" s="289"/>
      <c r="U8" s="289"/>
    </row>
    <row r="9" spans="1:21" ht="18.75" customHeight="1" x14ac:dyDescent="0.25">
      <c r="A9" s="281" t="s">
        <v>9</v>
      </c>
      <c r="B9" s="281"/>
      <c r="C9" s="281"/>
      <c r="D9" s="281"/>
      <c r="E9" s="281"/>
      <c r="F9" s="281"/>
      <c r="G9" s="281"/>
      <c r="H9" s="281"/>
      <c r="I9" s="281"/>
      <c r="J9" s="281"/>
      <c r="K9" s="281"/>
      <c r="L9" s="281"/>
      <c r="M9" s="281"/>
      <c r="N9" s="281"/>
      <c r="O9" s="281"/>
      <c r="P9" s="281"/>
      <c r="Q9" s="281"/>
      <c r="R9" s="281"/>
      <c r="S9" s="281"/>
      <c r="T9" s="281"/>
      <c r="U9" s="281"/>
    </row>
    <row r="10" spans="1:21" ht="18.75" x14ac:dyDescent="0.25">
      <c r="A10" s="13"/>
      <c r="B10" s="13"/>
      <c r="C10" s="13"/>
      <c r="D10" s="13"/>
      <c r="E10" s="13"/>
      <c r="F10" s="13"/>
      <c r="G10" s="13"/>
      <c r="H10" s="13"/>
      <c r="I10" s="13"/>
      <c r="J10" s="89"/>
      <c r="K10" s="89"/>
      <c r="L10" s="89"/>
      <c r="M10" s="89"/>
      <c r="N10" s="89"/>
      <c r="O10" s="89"/>
      <c r="P10" s="89"/>
      <c r="Q10" s="89"/>
      <c r="R10" s="89"/>
      <c r="S10" s="89"/>
      <c r="T10" s="89"/>
      <c r="U10" s="89"/>
    </row>
    <row r="11" spans="1:21" x14ac:dyDescent="0.25">
      <c r="A11" s="289" t="str">
        <f>'1. паспорт местоположение'!A12:C12</f>
        <v>prj_111001_2498</v>
      </c>
      <c r="B11" s="289"/>
      <c r="C11" s="289"/>
      <c r="D11" s="289"/>
      <c r="E11" s="289"/>
      <c r="F11" s="289"/>
      <c r="G11" s="289"/>
      <c r="H11" s="289"/>
      <c r="I11" s="289"/>
      <c r="J11" s="289"/>
      <c r="K11" s="289"/>
      <c r="L11" s="289"/>
      <c r="M11" s="289"/>
      <c r="N11" s="289"/>
      <c r="O11" s="289"/>
      <c r="P11" s="289"/>
      <c r="Q11" s="289"/>
      <c r="R11" s="289"/>
      <c r="S11" s="289"/>
      <c r="T11" s="289"/>
      <c r="U11" s="289"/>
    </row>
    <row r="12" spans="1:21" x14ac:dyDescent="0.25">
      <c r="A12" s="281" t="s">
        <v>8</v>
      </c>
      <c r="B12" s="281"/>
      <c r="C12" s="281"/>
      <c r="D12" s="281"/>
      <c r="E12" s="281"/>
      <c r="F12" s="281"/>
      <c r="G12" s="281"/>
      <c r="H12" s="281"/>
      <c r="I12" s="281"/>
      <c r="J12" s="281"/>
      <c r="K12" s="281"/>
      <c r="L12" s="281"/>
      <c r="M12" s="281"/>
      <c r="N12" s="281"/>
      <c r="O12" s="281"/>
      <c r="P12" s="281"/>
      <c r="Q12" s="281"/>
      <c r="R12" s="281"/>
      <c r="S12" s="281"/>
      <c r="T12" s="281"/>
      <c r="U12" s="281"/>
    </row>
    <row r="13" spans="1:21" ht="16.5" customHeight="1" x14ac:dyDescent="0.3">
      <c r="A13" s="11"/>
      <c r="B13" s="11"/>
      <c r="C13" s="11"/>
      <c r="D13" s="11"/>
      <c r="E13" s="11"/>
      <c r="F13" s="11"/>
      <c r="G13" s="11"/>
      <c r="H13" s="11"/>
      <c r="I13" s="11"/>
      <c r="J13" s="88"/>
      <c r="K13" s="88"/>
      <c r="L13" s="88"/>
      <c r="M13" s="88"/>
      <c r="N13" s="88"/>
      <c r="O13" s="88"/>
      <c r="P13" s="88"/>
      <c r="Q13" s="88"/>
      <c r="R13" s="88"/>
      <c r="S13" s="88"/>
      <c r="T13" s="88"/>
      <c r="U13" s="88"/>
    </row>
    <row r="14" spans="1:21" ht="35.25" customHeight="1" x14ac:dyDescent="0.25">
      <c r="A14" s="318" t="str">
        <f>'1. паспорт местоположение'!A15:C15</f>
        <v>Строительство ПС 110/10кВ Береговая с заходами 4-х КЛ 110 кВ от ПС 110 кВ Береговая на ВЛ 110 кВ № 115/116 (ПС Центральная - ПС Московская/ ПС Центральная - ПС Северная), г. Калининград</v>
      </c>
      <c r="B14" s="318"/>
      <c r="C14" s="318"/>
      <c r="D14" s="318"/>
      <c r="E14" s="318"/>
      <c r="F14" s="318"/>
      <c r="G14" s="318"/>
      <c r="H14" s="318"/>
      <c r="I14" s="318"/>
      <c r="J14" s="318"/>
      <c r="K14" s="318"/>
      <c r="L14" s="318"/>
      <c r="M14" s="318"/>
      <c r="N14" s="318"/>
      <c r="O14" s="318"/>
      <c r="P14" s="318"/>
      <c r="Q14" s="318"/>
      <c r="R14" s="318"/>
      <c r="S14" s="318"/>
      <c r="T14" s="318"/>
      <c r="U14" s="318"/>
    </row>
    <row r="15" spans="1:21" ht="15.75" customHeight="1" x14ac:dyDescent="0.25">
      <c r="A15" s="281" t="s">
        <v>7</v>
      </c>
      <c r="B15" s="281"/>
      <c r="C15" s="281"/>
      <c r="D15" s="281"/>
      <c r="E15" s="281"/>
      <c r="F15" s="281"/>
      <c r="G15" s="281"/>
      <c r="H15" s="281"/>
      <c r="I15" s="281"/>
      <c r="J15" s="281"/>
      <c r="K15" s="281"/>
      <c r="L15" s="281"/>
      <c r="M15" s="281"/>
      <c r="N15" s="281"/>
      <c r="O15" s="281"/>
      <c r="P15" s="281"/>
      <c r="Q15" s="281"/>
      <c r="R15" s="281"/>
      <c r="S15" s="281"/>
      <c r="T15" s="281"/>
      <c r="U15" s="281"/>
    </row>
    <row r="16" spans="1:21" x14ac:dyDescent="0.25">
      <c r="A16" s="350"/>
      <c r="B16" s="350"/>
      <c r="C16" s="350"/>
      <c r="D16" s="350"/>
      <c r="E16" s="350"/>
      <c r="F16" s="350"/>
      <c r="G16" s="350"/>
      <c r="H16" s="350"/>
      <c r="I16" s="350"/>
      <c r="J16" s="350"/>
      <c r="K16" s="350"/>
      <c r="L16" s="350"/>
      <c r="M16" s="350"/>
      <c r="N16" s="350"/>
      <c r="O16" s="350"/>
      <c r="P16" s="350"/>
      <c r="Q16" s="350"/>
      <c r="R16" s="350"/>
      <c r="S16" s="350"/>
      <c r="T16" s="350"/>
      <c r="U16" s="350"/>
    </row>
    <row r="17" spans="1:24" x14ac:dyDescent="0.25">
      <c r="A17" s="66"/>
      <c r="L17" s="66"/>
      <c r="M17" s="66"/>
      <c r="N17" s="66"/>
      <c r="O17" s="66"/>
      <c r="P17" s="66"/>
      <c r="Q17" s="66"/>
      <c r="R17" s="66"/>
      <c r="S17" s="66"/>
      <c r="T17" s="66"/>
    </row>
    <row r="18" spans="1:24" x14ac:dyDescent="0.25">
      <c r="A18" s="354" t="s">
        <v>459</v>
      </c>
      <c r="B18" s="354"/>
      <c r="C18" s="354"/>
      <c r="D18" s="354"/>
      <c r="E18" s="354"/>
      <c r="F18" s="354"/>
      <c r="G18" s="354"/>
      <c r="H18" s="354"/>
      <c r="I18" s="354"/>
      <c r="J18" s="354"/>
      <c r="K18" s="354"/>
      <c r="L18" s="354"/>
      <c r="M18" s="354"/>
      <c r="N18" s="354"/>
      <c r="O18" s="354"/>
      <c r="P18" s="354"/>
      <c r="Q18" s="354"/>
      <c r="R18" s="354"/>
      <c r="S18" s="354"/>
      <c r="T18" s="354"/>
      <c r="U18" s="354"/>
    </row>
    <row r="19" spans="1:24" x14ac:dyDescent="0.25">
      <c r="A19" s="66"/>
      <c r="B19" s="66"/>
      <c r="C19" s="66"/>
      <c r="D19" s="66"/>
      <c r="E19" s="66"/>
      <c r="F19" s="66"/>
      <c r="L19" s="66"/>
      <c r="M19" s="66"/>
      <c r="N19" s="66"/>
      <c r="O19" s="66"/>
      <c r="P19" s="66"/>
      <c r="Q19" s="66"/>
      <c r="R19" s="66"/>
      <c r="S19" s="66"/>
      <c r="T19" s="66"/>
    </row>
    <row r="20" spans="1:24" ht="33" customHeight="1" x14ac:dyDescent="0.25">
      <c r="A20" s="351" t="s">
        <v>203</v>
      </c>
      <c r="B20" s="351" t="s">
        <v>202</v>
      </c>
      <c r="C20" s="333" t="s">
        <v>201</v>
      </c>
      <c r="D20" s="333"/>
      <c r="E20" s="353" t="s">
        <v>200</v>
      </c>
      <c r="F20" s="353"/>
      <c r="G20" s="351" t="s">
        <v>566</v>
      </c>
      <c r="H20" s="344" t="s">
        <v>514</v>
      </c>
      <c r="I20" s="345"/>
      <c r="J20" s="345"/>
      <c r="K20" s="345"/>
      <c r="L20" s="344" t="s">
        <v>515</v>
      </c>
      <c r="M20" s="345"/>
      <c r="N20" s="345"/>
      <c r="O20" s="345"/>
      <c r="P20" s="344" t="s">
        <v>516</v>
      </c>
      <c r="Q20" s="345"/>
      <c r="R20" s="345"/>
      <c r="S20" s="345"/>
      <c r="T20" s="355" t="s">
        <v>199</v>
      </c>
      <c r="U20" s="356"/>
      <c r="V20" s="87"/>
      <c r="W20" s="87"/>
      <c r="X20" s="87"/>
    </row>
    <row r="21" spans="1:24" ht="99.75" customHeight="1" x14ac:dyDescent="0.25">
      <c r="A21" s="352"/>
      <c r="B21" s="352"/>
      <c r="C21" s="333"/>
      <c r="D21" s="333"/>
      <c r="E21" s="353"/>
      <c r="F21" s="353"/>
      <c r="G21" s="352"/>
      <c r="H21" s="333" t="s">
        <v>3</v>
      </c>
      <c r="I21" s="333"/>
      <c r="J21" s="333" t="s">
        <v>567</v>
      </c>
      <c r="K21" s="333"/>
      <c r="L21" s="333" t="s">
        <v>3</v>
      </c>
      <c r="M21" s="333"/>
      <c r="N21" s="333" t="s">
        <v>198</v>
      </c>
      <c r="O21" s="333"/>
      <c r="P21" s="333" t="s">
        <v>3</v>
      </c>
      <c r="Q21" s="333"/>
      <c r="R21" s="333" t="s">
        <v>198</v>
      </c>
      <c r="S21" s="333"/>
      <c r="T21" s="357"/>
      <c r="U21" s="358"/>
    </row>
    <row r="22" spans="1:24" ht="89.25" customHeight="1" x14ac:dyDescent="0.25">
      <c r="A22" s="340"/>
      <c r="B22" s="340"/>
      <c r="C22" s="84" t="s">
        <v>3</v>
      </c>
      <c r="D22" s="84" t="s">
        <v>194</v>
      </c>
      <c r="E22" s="86" t="s">
        <v>197</v>
      </c>
      <c r="F22" s="86" t="s">
        <v>196</v>
      </c>
      <c r="G22" s="340"/>
      <c r="H22" s="85" t="s">
        <v>438</v>
      </c>
      <c r="I22" s="85" t="s">
        <v>568</v>
      </c>
      <c r="J22" s="85" t="s">
        <v>438</v>
      </c>
      <c r="K22" s="85" t="s">
        <v>568</v>
      </c>
      <c r="L22" s="85" t="s">
        <v>438</v>
      </c>
      <c r="M22" s="85" t="s">
        <v>439</v>
      </c>
      <c r="N22" s="85" t="s">
        <v>438</v>
      </c>
      <c r="O22" s="85" t="s">
        <v>439</v>
      </c>
      <c r="P22" s="85" t="s">
        <v>438</v>
      </c>
      <c r="Q22" s="85" t="s">
        <v>439</v>
      </c>
      <c r="R22" s="85" t="s">
        <v>438</v>
      </c>
      <c r="S22" s="85" t="s">
        <v>439</v>
      </c>
      <c r="T22" s="84" t="s">
        <v>195</v>
      </c>
      <c r="U22" s="84" t="s">
        <v>194</v>
      </c>
    </row>
    <row r="23" spans="1:24" ht="19.5" customHeight="1" x14ac:dyDescent="0.25">
      <c r="A23" s="77">
        <v>1</v>
      </c>
      <c r="B23" s="77">
        <v>2</v>
      </c>
      <c r="C23" s="77">
        <v>3</v>
      </c>
      <c r="D23" s="77">
        <v>4</v>
      </c>
      <c r="E23" s="77">
        <v>5</v>
      </c>
      <c r="F23" s="77">
        <v>6</v>
      </c>
      <c r="G23" s="163">
        <v>7</v>
      </c>
      <c r="H23" s="163">
        <v>8</v>
      </c>
      <c r="I23" s="163">
        <v>9</v>
      </c>
      <c r="J23" s="163">
        <v>10</v>
      </c>
      <c r="K23" s="163">
        <v>11</v>
      </c>
      <c r="L23" s="163">
        <v>12</v>
      </c>
      <c r="M23" s="163">
        <v>13</v>
      </c>
      <c r="N23" s="163">
        <v>14</v>
      </c>
      <c r="O23" s="163">
        <v>15</v>
      </c>
      <c r="P23" s="163">
        <v>16</v>
      </c>
      <c r="Q23" s="163">
        <v>17</v>
      </c>
      <c r="R23" s="163">
        <v>18</v>
      </c>
      <c r="S23" s="163">
        <v>19</v>
      </c>
      <c r="T23" s="163">
        <v>20</v>
      </c>
      <c r="U23" s="163">
        <v>21</v>
      </c>
    </row>
    <row r="24" spans="1:24" ht="47.25" customHeight="1" x14ac:dyDescent="0.25">
      <c r="A24" s="82">
        <v>1</v>
      </c>
      <c r="B24" s="81" t="s">
        <v>193</v>
      </c>
      <c r="C24" s="248">
        <f>SUM(C25:C29)</f>
        <v>1109.7444600000001</v>
      </c>
      <c r="D24" s="248"/>
      <c r="E24" s="248">
        <f t="shared" ref="E24" si="0">SUM(E25:E29)</f>
        <v>1086.9206881025998</v>
      </c>
      <c r="F24" s="248"/>
      <c r="G24" s="248">
        <f t="shared" ref="G24" si="1">SUM(G25:G29)</f>
        <v>556.48599999999999</v>
      </c>
      <c r="H24" s="248">
        <f t="shared" ref="H24" si="2">SUM(H25:H29)</f>
        <v>327.70369999999997</v>
      </c>
      <c r="I24" s="248">
        <f t="shared" ref="I24:J24" si="3">SUM(I25:I29)</f>
        <v>119.23372000000001</v>
      </c>
      <c r="J24" s="248">
        <f>K24</f>
        <v>52.914108904799981</v>
      </c>
      <c r="K24" s="242">
        <v>52.914108904799981</v>
      </c>
      <c r="L24" s="248">
        <f t="shared" ref="L24" si="4">SUM(L25:L29)</f>
        <v>202.73100000000002</v>
      </c>
      <c r="M24" s="248">
        <f t="shared" ref="M24" si="5">SUM(M25:M29)</f>
        <v>0</v>
      </c>
      <c r="N24" s="248">
        <f t="shared" ref="N24" si="6">SUM(N25:N29)</f>
        <v>0</v>
      </c>
      <c r="O24" s="248">
        <f t="shared" ref="O24" si="7">SUM(O25:O29)</f>
        <v>0</v>
      </c>
      <c r="P24" s="248">
        <f t="shared" ref="P24" si="8">SUM(P25:P29)</f>
        <v>0</v>
      </c>
      <c r="Q24" s="248">
        <f t="shared" ref="Q24" si="9">SUM(Q25:Q29)</f>
        <v>0</v>
      </c>
      <c r="R24" s="248">
        <f t="shared" ref="R24" si="10">SUM(R25:R29)</f>
        <v>0</v>
      </c>
      <c r="S24" s="248">
        <f t="shared" ref="S24" si="11">SUM(S25:S29)</f>
        <v>0</v>
      </c>
      <c r="T24" s="248">
        <f t="shared" ref="T24" si="12">SUM(T25:T29)</f>
        <v>530.43470000000002</v>
      </c>
      <c r="U24" s="248"/>
    </row>
    <row r="25" spans="1:24" ht="24" customHeight="1" x14ac:dyDescent="0.25">
      <c r="A25" s="79" t="s">
        <v>192</v>
      </c>
      <c r="B25" s="50" t="s">
        <v>191</v>
      </c>
      <c r="C25" s="245">
        <v>998.77</v>
      </c>
      <c r="D25" s="245"/>
      <c r="E25" s="245">
        <v>998.77</v>
      </c>
      <c r="F25" s="243"/>
      <c r="G25" s="245">
        <v>529.78049999999996</v>
      </c>
      <c r="H25" s="245">
        <v>317.15949999999998</v>
      </c>
      <c r="I25" s="245">
        <v>119.23372000000001</v>
      </c>
      <c r="J25" s="249">
        <f>K25</f>
        <v>51.939</v>
      </c>
      <c r="K25" s="245">
        <v>51.939</v>
      </c>
      <c r="L25" s="245">
        <v>151.83000000000001</v>
      </c>
      <c r="M25" s="245"/>
      <c r="N25" s="245"/>
      <c r="O25" s="245"/>
      <c r="P25" s="245"/>
      <c r="Q25" s="245"/>
      <c r="R25" s="245"/>
      <c r="S25" s="245"/>
      <c r="T25" s="249">
        <f>H25+L25</f>
        <v>468.98950000000002</v>
      </c>
      <c r="U25" s="275"/>
    </row>
    <row r="26" spans="1:24" x14ac:dyDescent="0.25">
      <c r="A26" s="79" t="s">
        <v>190</v>
      </c>
      <c r="B26" s="50" t="s">
        <v>189</v>
      </c>
      <c r="C26" s="245"/>
      <c r="D26" s="245"/>
      <c r="E26" s="245"/>
      <c r="F26" s="245"/>
      <c r="G26" s="245"/>
      <c r="H26" s="245"/>
      <c r="I26" s="245"/>
      <c r="J26" s="249"/>
      <c r="K26" s="245"/>
      <c r="L26" s="245"/>
      <c r="M26" s="245"/>
      <c r="N26" s="245"/>
      <c r="O26" s="245"/>
      <c r="P26" s="245"/>
      <c r="Q26" s="245"/>
      <c r="R26" s="245"/>
      <c r="S26" s="245"/>
      <c r="T26" s="249">
        <f t="shared" ref="T26:T30" si="13">H26+L26</f>
        <v>0</v>
      </c>
      <c r="U26" s="275"/>
    </row>
    <row r="27" spans="1:24" ht="31.5" x14ac:dyDescent="0.25">
      <c r="A27" s="79" t="s">
        <v>188</v>
      </c>
      <c r="B27" s="50" t="s">
        <v>420</v>
      </c>
      <c r="C27" s="245">
        <f>110.97446*100/118</f>
        <v>94.04615254237288</v>
      </c>
      <c r="D27" s="245"/>
      <c r="E27" s="245">
        <v>74.74651979864403</v>
      </c>
      <c r="F27" s="245"/>
      <c r="G27" s="244">
        <v>22.631779661016949</v>
      </c>
      <c r="H27" s="244">
        <v>8.9357627118644078</v>
      </c>
      <c r="I27" s="244"/>
      <c r="J27" s="250">
        <f>K27</f>
        <v>0.83</v>
      </c>
      <c r="K27" s="244">
        <v>0.83</v>
      </c>
      <c r="L27" s="244">
        <v>43.136440677966107</v>
      </c>
      <c r="M27" s="244"/>
      <c r="N27" s="244"/>
      <c r="O27" s="245"/>
      <c r="P27" s="245"/>
      <c r="Q27" s="245"/>
      <c r="R27" s="245"/>
      <c r="S27" s="245"/>
      <c r="T27" s="249">
        <f t="shared" si="13"/>
        <v>52.072203389830513</v>
      </c>
      <c r="U27" s="275"/>
    </row>
    <row r="28" spans="1:24" x14ac:dyDescent="0.25">
      <c r="A28" s="79" t="s">
        <v>187</v>
      </c>
      <c r="B28" s="50" t="s">
        <v>186</v>
      </c>
      <c r="C28" s="245"/>
      <c r="D28" s="245"/>
      <c r="E28" s="245"/>
      <c r="F28" s="245"/>
      <c r="G28" s="244"/>
      <c r="H28" s="244"/>
      <c r="I28" s="244"/>
      <c r="J28" s="250"/>
      <c r="K28" s="244"/>
      <c r="L28" s="244"/>
      <c r="M28" s="244"/>
      <c r="N28" s="244"/>
      <c r="O28" s="245"/>
      <c r="P28" s="245"/>
      <c r="Q28" s="245"/>
      <c r="R28" s="245"/>
      <c r="S28" s="245"/>
      <c r="T28" s="249">
        <f t="shared" si="13"/>
        <v>0</v>
      </c>
      <c r="U28" s="275"/>
    </row>
    <row r="29" spans="1:24" x14ac:dyDescent="0.25">
      <c r="A29" s="79" t="s">
        <v>185</v>
      </c>
      <c r="B29" s="83" t="s">
        <v>184</v>
      </c>
      <c r="C29" s="245">
        <f>110.97446*18/118</f>
        <v>16.928307457627117</v>
      </c>
      <c r="D29" s="245"/>
      <c r="E29" s="245">
        <v>13.404168303955901</v>
      </c>
      <c r="F29" s="245"/>
      <c r="G29" s="244">
        <v>4.0737203389830512</v>
      </c>
      <c r="H29" s="244">
        <v>1.6084372881355922</v>
      </c>
      <c r="I29" s="244"/>
      <c r="J29" s="250">
        <f>K29</f>
        <v>0.14510890479998129</v>
      </c>
      <c r="K29" s="250">
        <f>K24-K25-K27</f>
        <v>0.14510890479998129</v>
      </c>
      <c r="L29" s="244">
        <v>7.7645593220338966</v>
      </c>
      <c r="M29" s="244"/>
      <c r="N29" s="244"/>
      <c r="O29" s="245"/>
      <c r="P29" s="245"/>
      <c r="Q29" s="245"/>
      <c r="R29" s="245"/>
      <c r="S29" s="245"/>
      <c r="T29" s="249">
        <f t="shared" si="13"/>
        <v>9.3729966101694888</v>
      </c>
      <c r="U29" s="275"/>
    </row>
    <row r="30" spans="1:24" ht="47.25" x14ac:dyDescent="0.25">
      <c r="A30" s="82" t="s">
        <v>64</v>
      </c>
      <c r="B30" s="81" t="s">
        <v>183</v>
      </c>
      <c r="C30" s="241">
        <v>940.46101694915296</v>
      </c>
      <c r="D30" s="242"/>
      <c r="E30" s="242">
        <v>922.95633693915295</v>
      </c>
      <c r="F30" s="242"/>
      <c r="G30" s="242">
        <v>473.43952542372881</v>
      </c>
      <c r="H30" s="242">
        <v>277.71500000000003</v>
      </c>
      <c r="I30" s="242">
        <v>20</v>
      </c>
      <c r="J30" s="248">
        <f>K30</f>
        <v>55.05751326</v>
      </c>
      <c r="K30" s="242">
        <v>55.05751326</v>
      </c>
      <c r="L30" s="242">
        <v>171.80593220338986</v>
      </c>
      <c r="M30" s="244"/>
      <c r="N30" s="242"/>
      <c r="O30" s="245"/>
      <c r="P30" s="245"/>
      <c r="Q30" s="245"/>
      <c r="R30" s="245"/>
      <c r="S30" s="245"/>
      <c r="T30" s="248">
        <f t="shared" si="13"/>
        <v>449.52093220338986</v>
      </c>
      <c r="U30" s="242"/>
    </row>
    <row r="31" spans="1:24" x14ac:dyDescent="0.25">
      <c r="A31" s="82" t="s">
        <v>182</v>
      </c>
      <c r="B31" s="50" t="s">
        <v>181</v>
      </c>
      <c r="C31" s="245">
        <v>39.822000000000003</v>
      </c>
      <c r="D31" s="245"/>
      <c r="E31" s="245"/>
      <c r="F31" s="242"/>
      <c r="G31" s="244"/>
      <c r="H31" s="244"/>
      <c r="I31" s="244"/>
      <c r="J31" s="244"/>
      <c r="K31" s="244"/>
      <c r="L31" s="244"/>
      <c r="M31" s="244"/>
      <c r="N31" s="244"/>
      <c r="O31" s="245"/>
      <c r="P31" s="245"/>
      <c r="Q31" s="245"/>
      <c r="R31" s="245"/>
      <c r="S31" s="245"/>
      <c r="T31" s="245"/>
      <c r="U31" s="243"/>
    </row>
    <row r="32" spans="1:24" ht="31.5" x14ac:dyDescent="0.25">
      <c r="A32" s="82" t="s">
        <v>180</v>
      </c>
      <c r="B32" s="50" t="s">
        <v>179</v>
      </c>
      <c r="C32" s="245">
        <v>279.34300000000002</v>
      </c>
      <c r="D32" s="245"/>
      <c r="E32" s="245"/>
      <c r="F32" s="242"/>
      <c r="G32" s="244"/>
      <c r="H32" s="244"/>
      <c r="I32" s="244"/>
      <c r="J32" s="244"/>
      <c r="K32" s="244"/>
      <c r="L32" s="244"/>
      <c r="M32" s="244"/>
      <c r="N32" s="244"/>
      <c r="O32" s="245"/>
      <c r="P32" s="245"/>
      <c r="Q32" s="245"/>
      <c r="R32" s="245"/>
      <c r="S32" s="245"/>
      <c r="T32" s="245"/>
      <c r="U32" s="243"/>
    </row>
    <row r="33" spans="1:21" x14ac:dyDescent="0.25">
      <c r="A33" s="82" t="s">
        <v>178</v>
      </c>
      <c r="B33" s="50" t="s">
        <v>177</v>
      </c>
      <c r="C33" s="245">
        <v>571.78099999999995</v>
      </c>
      <c r="D33" s="245"/>
      <c r="E33" s="245"/>
      <c r="F33" s="242"/>
      <c r="G33" s="244"/>
      <c r="H33" s="244"/>
      <c r="I33" s="244"/>
      <c r="J33" s="244"/>
      <c r="K33" s="244"/>
      <c r="L33" s="244"/>
      <c r="M33" s="244"/>
      <c r="N33" s="244"/>
      <c r="O33" s="245"/>
      <c r="P33" s="245"/>
      <c r="Q33" s="245"/>
      <c r="R33" s="245"/>
      <c r="S33" s="245"/>
      <c r="T33" s="245"/>
      <c r="U33" s="243"/>
    </row>
    <row r="34" spans="1:21" x14ac:dyDescent="0.25">
      <c r="A34" s="82" t="s">
        <v>176</v>
      </c>
      <c r="B34" s="50" t="s">
        <v>175</v>
      </c>
      <c r="C34" s="249">
        <f>C30-C31-C32-C33</f>
        <v>49.515016949153051</v>
      </c>
      <c r="D34" s="249"/>
      <c r="E34" s="245"/>
      <c r="F34" s="242"/>
      <c r="G34" s="250"/>
      <c r="H34" s="244"/>
      <c r="I34" s="244"/>
      <c r="J34" s="250"/>
      <c r="K34" s="244"/>
      <c r="L34" s="244"/>
      <c r="M34" s="244"/>
      <c r="N34" s="244"/>
      <c r="O34" s="245"/>
      <c r="P34" s="245"/>
      <c r="Q34" s="245"/>
      <c r="R34" s="245"/>
      <c r="S34" s="245"/>
      <c r="T34" s="245"/>
      <c r="U34" s="243"/>
    </row>
    <row r="35" spans="1:21" ht="31.5" x14ac:dyDescent="0.25">
      <c r="A35" s="82" t="s">
        <v>63</v>
      </c>
      <c r="B35" s="81" t="s">
        <v>174</v>
      </c>
      <c r="C35" s="241"/>
      <c r="D35" s="242"/>
      <c r="E35" s="244"/>
      <c r="F35" s="244"/>
      <c r="G35" s="244"/>
      <c r="H35" s="244"/>
      <c r="I35" s="244"/>
      <c r="J35" s="244"/>
      <c r="K35" s="244"/>
      <c r="L35" s="244"/>
      <c r="M35" s="244"/>
      <c r="N35" s="244"/>
      <c r="O35" s="245"/>
      <c r="P35" s="245"/>
      <c r="Q35" s="245"/>
      <c r="R35" s="245"/>
      <c r="S35" s="245"/>
      <c r="T35" s="245"/>
      <c r="U35" s="243"/>
    </row>
    <row r="36" spans="1:21" ht="31.5" x14ac:dyDescent="0.25">
      <c r="A36" s="79" t="s">
        <v>173</v>
      </c>
      <c r="B36" s="78" t="s">
        <v>172</v>
      </c>
      <c r="C36" s="246"/>
      <c r="D36" s="245"/>
      <c r="E36" s="244"/>
      <c r="F36" s="244"/>
      <c r="G36" s="244"/>
      <c r="H36" s="244"/>
      <c r="I36" s="244"/>
      <c r="J36" s="244"/>
      <c r="K36" s="244"/>
      <c r="L36" s="244"/>
      <c r="M36" s="244"/>
      <c r="N36" s="244"/>
      <c r="O36" s="245"/>
      <c r="P36" s="245"/>
      <c r="Q36" s="245"/>
      <c r="R36" s="245"/>
      <c r="S36" s="245"/>
      <c r="T36" s="245"/>
      <c r="U36" s="243"/>
    </row>
    <row r="37" spans="1:21" x14ac:dyDescent="0.25">
      <c r="A37" s="79" t="s">
        <v>171</v>
      </c>
      <c r="B37" s="78" t="s">
        <v>161</v>
      </c>
      <c r="C37" s="251">
        <v>50</v>
      </c>
      <c r="D37" s="251"/>
      <c r="E37" s="276">
        <f>C37</f>
        <v>50</v>
      </c>
      <c r="F37" s="252"/>
      <c r="G37" s="252"/>
      <c r="H37" s="252"/>
      <c r="I37" s="252"/>
      <c r="J37" s="252"/>
      <c r="K37" s="252"/>
      <c r="L37" s="276">
        <f>E37</f>
        <v>50</v>
      </c>
      <c r="M37" s="252"/>
      <c r="N37" s="276"/>
      <c r="O37" s="245"/>
      <c r="P37" s="245"/>
      <c r="Q37" s="245"/>
      <c r="R37" s="245"/>
      <c r="S37" s="245"/>
      <c r="T37" s="406">
        <f t="shared" ref="T37:T56" si="14">H37+L37</f>
        <v>50</v>
      </c>
      <c r="U37" s="253"/>
    </row>
    <row r="38" spans="1:21" x14ac:dyDescent="0.25">
      <c r="A38" s="79" t="s">
        <v>170</v>
      </c>
      <c r="B38" s="78" t="s">
        <v>159</v>
      </c>
      <c r="C38" s="253"/>
      <c r="D38" s="253"/>
      <c r="E38" s="276">
        <f t="shared" ref="E38:E56" si="15">C38</f>
        <v>0</v>
      </c>
      <c r="F38" s="252"/>
      <c r="G38" s="252"/>
      <c r="H38" s="252"/>
      <c r="I38" s="252"/>
      <c r="J38" s="252"/>
      <c r="K38" s="252"/>
      <c r="L38" s="276">
        <f t="shared" ref="L38:L56" si="16">E38</f>
        <v>0</v>
      </c>
      <c r="M38" s="252"/>
      <c r="N38" s="252"/>
      <c r="O38" s="245"/>
      <c r="P38" s="245"/>
      <c r="Q38" s="245"/>
      <c r="R38" s="245"/>
      <c r="S38" s="245"/>
      <c r="T38" s="406">
        <f t="shared" si="14"/>
        <v>0</v>
      </c>
      <c r="U38" s="243"/>
    </row>
    <row r="39" spans="1:21" ht="31.5" x14ac:dyDescent="0.25">
      <c r="A39" s="79" t="s">
        <v>169</v>
      </c>
      <c r="B39" s="50" t="s">
        <v>157</v>
      </c>
      <c r="C39" s="251"/>
      <c r="D39" s="251"/>
      <c r="E39" s="276">
        <f t="shared" si="15"/>
        <v>0</v>
      </c>
      <c r="F39" s="252"/>
      <c r="G39" s="252"/>
      <c r="H39" s="252"/>
      <c r="I39" s="252"/>
      <c r="J39" s="252"/>
      <c r="K39" s="252"/>
      <c r="L39" s="276">
        <f t="shared" si="16"/>
        <v>0</v>
      </c>
      <c r="M39" s="252"/>
      <c r="N39" s="252"/>
      <c r="O39" s="245"/>
      <c r="P39" s="245"/>
      <c r="Q39" s="245"/>
      <c r="R39" s="245"/>
      <c r="S39" s="245"/>
      <c r="T39" s="406">
        <f t="shared" si="14"/>
        <v>0</v>
      </c>
      <c r="U39" s="243"/>
    </row>
    <row r="40" spans="1:21" ht="31.5" x14ac:dyDescent="0.25">
      <c r="A40" s="79" t="s">
        <v>168</v>
      </c>
      <c r="B40" s="50" t="s">
        <v>155</v>
      </c>
      <c r="C40" s="251"/>
      <c r="D40" s="251"/>
      <c r="E40" s="276">
        <f t="shared" si="15"/>
        <v>0</v>
      </c>
      <c r="F40" s="252"/>
      <c r="G40" s="252"/>
      <c r="H40" s="252"/>
      <c r="I40" s="252"/>
      <c r="J40" s="252"/>
      <c r="K40" s="252"/>
      <c r="L40" s="276">
        <f t="shared" si="16"/>
        <v>0</v>
      </c>
      <c r="M40" s="252"/>
      <c r="N40" s="251"/>
      <c r="O40" s="251"/>
      <c r="P40" s="251"/>
      <c r="Q40" s="251"/>
      <c r="R40" s="251"/>
      <c r="S40" s="251"/>
      <c r="T40" s="406">
        <f t="shared" si="14"/>
        <v>0</v>
      </c>
      <c r="U40" s="253"/>
    </row>
    <row r="41" spans="1:21" x14ac:dyDescent="0.25">
      <c r="A41" s="79" t="s">
        <v>167</v>
      </c>
      <c r="B41" s="50" t="s">
        <v>153</v>
      </c>
      <c r="C41" s="251">
        <v>1.655</v>
      </c>
      <c r="D41" s="251"/>
      <c r="E41" s="276">
        <f t="shared" si="15"/>
        <v>1.655</v>
      </c>
      <c r="F41" s="252"/>
      <c r="G41" s="252"/>
      <c r="H41" s="252"/>
      <c r="I41" s="252"/>
      <c r="J41" s="252"/>
      <c r="K41" s="252"/>
      <c r="L41" s="276">
        <f t="shared" si="16"/>
        <v>1.655</v>
      </c>
      <c r="M41" s="252"/>
      <c r="N41" s="276"/>
      <c r="O41" s="245"/>
      <c r="P41" s="245"/>
      <c r="Q41" s="245"/>
      <c r="R41" s="245"/>
      <c r="S41" s="245"/>
      <c r="T41" s="406">
        <f t="shared" si="14"/>
        <v>1.655</v>
      </c>
      <c r="U41" s="253"/>
    </row>
    <row r="42" spans="1:21" ht="18.75" x14ac:dyDescent="0.25">
      <c r="A42" s="79" t="s">
        <v>166</v>
      </c>
      <c r="B42" s="78" t="s">
        <v>151</v>
      </c>
      <c r="C42" s="242"/>
      <c r="D42" s="242"/>
      <c r="E42" s="276">
        <f t="shared" si="15"/>
        <v>0</v>
      </c>
      <c r="F42" s="244"/>
      <c r="G42" s="244"/>
      <c r="H42" s="244"/>
      <c r="I42" s="244"/>
      <c r="J42" s="244"/>
      <c r="K42" s="244"/>
      <c r="L42" s="276">
        <f t="shared" si="16"/>
        <v>0</v>
      </c>
      <c r="M42" s="244"/>
      <c r="N42" s="244"/>
      <c r="O42" s="245"/>
      <c r="P42" s="245"/>
      <c r="Q42" s="245"/>
      <c r="R42" s="245"/>
      <c r="S42" s="245"/>
      <c r="T42" s="406">
        <f t="shared" si="14"/>
        <v>0</v>
      </c>
      <c r="U42" s="243"/>
    </row>
    <row r="43" spans="1:21" x14ac:dyDescent="0.25">
      <c r="A43" s="82" t="s">
        <v>62</v>
      </c>
      <c r="B43" s="81" t="s">
        <v>165</v>
      </c>
      <c r="C43" s="242"/>
      <c r="D43" s="242"/>
      <c r="E43" s="276">
        <f t="shared" si="15"/>
        <v>0</v>
      </c>
      <c r="F43" s="244"/>
      <c r="G43" s="244"/>
      <c r="H43" s="244"/>
      <c r="I43" s="244"/>
      <c r="J43" s="244"/>
      <c r="K43" s="244"/>
      <c r="L43" s="276">
        <f t="shared" si="16"/>
        <v>0</v>
      </c>
      <c r="M43" s="244"/>
      <c r="N43" s="244"/>
      <c r="O43" s="245"/>
      <c r="P43" s="245"/>
      <c r="Q43" s="245"/>
      <c r="R43" s="245"/>
      <c r="S43" s="245"/>
      <c r="T43" s="406">
        <f t="shared" si="14"/>
        <v>0</v>
      </c>
      <c r="U43" s="243"/>
    </row>
    <row r="44" spans="1:21" x14ac:dyDescent="0.25">
      <c r="A44" s="79" t="s">
        <v>164</v>
      </c>
      <c r="B44" s="50" t="s">
        <v>163</v>
      </c>
      <c r="C44" s="242"/>
      <c r="D44" s="242"/>
      <c r="E44" s="276">
        <f t="shared" si="15"/>
        <v>0</v>
      </c>
      <c r="F44" s="244"/>
      <c r="G44" s="244"/>
      <c r="H44" s="244"/>
      <c r="I44" s="244"/>
      <c r="J44" s="244"/>
      <c r="K44" s="244"/>
      <c r="L44" s="276">
        <f t="shared" si="16"/>
        <v>0</v>
      </c>
      <c r="M44" s="244"/>
      <c r="N44" s="244"/>
      <c r="O44" s="245"/>
      <c r="P44" s="245"/>
      <c r="Q44" s="245"/>
      <c r="R44" s="245"/>
      <c r="S44" s="245"/>
      <c r="T44" s="406">
        <f t="shared" si="14"/>
        <v>0</v>
      </c>
      <c r="U44" s="243"/>
    </row>
    <row r="45" spans="1:21" x14ac:dyDescent="0.25">
      <c r="A45" s="79" t="s">
        <v>162</v>
      </c>
      <c r="B45" s="50" t="s">
        <v>161</v>
      </c>
      <c r="C45" s="251">
        <v>50</v>
      </c>
      <c r="D45" s="251"/>
      <c r="E45" s="276">
        <f t="shared" si="15"/>
        <v>50</v>
      </c>
      <c r="F45" s="252"/>
      <c r="G45" s="252"/>
      <c r="H45" s="252"/>
      <c r="I45" s="252"/>
      <c r="J45" s="252"/>
      <c r="K45" s="252"/>
      <c r="L45" s="276">
        <f t="shared" si="16"/>
        <v>50</v>
      </c>
      <c r="M45" s="252"/>
      <c r="N45" s="276"/>
      <c r="O45" s="245"/>
      <c r="P45" s="245"/>
      <c r="Q45" s="245"/>
      <c r="R45" s="245"/>
      <c r="S45" s="245"/>
      <c r="T45" s="406">
        <f t="shared" si="14"/>
        <v>50</v>
      </c>
      <c r="U45" s="253"/>
    </row>
    <row r="46" spans="1:21" x14ac:dyDescent="0.25">
      <c r="A46" s="79" t="s">
        <v>160</v>
      </c>
      <c r="B46" s="50" t="s">
        <v>159</v>
      </c>
      <c r="C46" s="242"/>
      <c r="D46" s="242"/>
      <c r="E46" s="276">
        <f t="shared" si="15"/>
        <v>0</v>
      </c>
      <c r="F46" s="244"/>
      <c r="G46" s="244"/>
      <c r="H46" s="244"/>
      <c r="I46" s="244"/>
      <c r="J46" s="244"/>
      <c r="K46" s="244"/>
      <c r="L46" s="276">
        <f t="shared" si="16"/>
        <v>0</v>
      </c>
      <c r="M46" s="244"/>
      <c r="N46" s="244"/>
      <c r="O46" s="245"/>
      <c r="P46" s="245"/>
      <c r="Q46" s="245"/>
      <c r="R46" s="245"/>
      <c r="S46" s="245"/>
      <c r="T46" s="406">
        <f t="shared" si="14"/>
        <v>0</v>
      </c>
      <c r="U46" s="243"/>
    </row>
    <row r="47" spans="1:21" ht="31.5" x14ac:dyDescent="0.25">
      <c r="A47" s="79" t="s">
        <v>158</v>
      </c>
      <c r="B47" s="50" t="s">
        <v>157</v>
      </c>
      <c r="C47" s="242"/>
      <c r="D47" s="242"/>
      <c r="E47" s="276">
        <f t="shared" si="15"/>
        <v>0</v>
      </c>
      <c r="F47" s="244"/>
      <c r="G47" s="244"/>
      <c r="H47" s="244"/>
      <c r="I47" s="244"/>
      <c r="J47" s="244"/>
      <c r="K47" s="244"/>
      <c r="L47" s="276">
        <f t="shared" si="16"/>
        <v>0</v>
      </c>
      <c r="M47" s="244"/>
      <c r="N47" s="244"/>
      <c r="O47" s="245"/>
      <c r="P47" s="245"/>
      <c r="Q47" s="245"/>
      <c r="R47" s="245"/>
      <c r="S47" s="245"/>
      <c r="T47" s="406">
        <f t="shared" si="14"/>
        <v>0</v>
      </c>
      <c r="U47" s="243"/>
    </row>
    <row r="48" spans="1:21" ht="31.5" x14ac:dyDescent="0.25">
      <c r="A48" s="79" t="s">
        <v>156</v>
      </c>
      <c r="B48" s="50" t="s">
        <v>155</v>
      </c>
      <c r="C48" s="251"/>
      <c r="D48" s="251"/>
      <c r="E48" s="276">
        <f t="shared" si="15"/>
        <v>0</v>
      </c>
      <c r="F48" s="252"/>
      <c r="G48" s="252"/>
      <c r="H48" s="252"/>
      <c r="I48" s="252"/>
      <c r="J48" s="252"/>
      <c r="K48" s="252"/>
      <c r="L48" s="276">
        <f t="shared" si="16"/>
        <v>0</v>
      </c>
      <c r="M48" s="252"/>
      <c r="N48" s="251"/>
      <c r="O48" s="251"/>
      <c r="P48" s="251"/>
      <c r="Q48" s="251"/>
      <c r="R48" s="251"/>
      <c r="S48" s="251"/>
      <c r="T48" s="406">
        <f t="shared" si="14"/>
        <v>0</v>
      </c>
      <c r="U48" s="253"/>
    </row>
    <row r="49" spans="1:21" x14ac:dyDescent="0.25">
      <c r="A49" s="79" t="s">
        <v>154</v>
      </c>
      <c r="B49" s="50" t="s">
        <v>153</v>
      </c>
      <c r="C49" s="251">
        <v>1.655</v>
      </c>
      <c r="D49" s="251"/>
      <c r="E49" s="276">
        <f t="shared" si="15"/>
        <v>1.655</v>
      </c>
      <c r="F49" s="252"/>
      <c r="G49" s="252"/>
      <c r="H49" s="252"/>
      <c r="I49" s="252"/>
      <c r="J49" s="252"/>
      <c r="K49" s="252"/>
      <c r="L49" s="276">
        <f t="shared" si="16"/>
        <v>1.655</v>
      </c>
      <c r="M49" s="252"/>
      <c r="N49" s="276"/>
      <c r="O49" s="245"/>
      <c r="P49" s="245"/>
      <c r="Q49" s="245"/>
      <c r="R49" s="245"/>
      <c r="S49" s="245"/>
      <c r="T49" s="406">
        <f t="shared" si="14"/>
        <v>1.655</v>
      </c>
      <c r="U49" s="253"/>
    </row>
    <row r="50" spans="1:21" ht="18.75" x14ac:dyDescent="0.25">
      <c r="A50" s="79" t="s">
        <v>152</v>
      </c>
      <c r="B50" s="78" t="s">
        <v>151</v>
      </c>
      <c r="C50" s="242"/>
      <c r="D50" s="242"/>
      <c r="E50" s="276">
        <f t="shared" si="15"/>
        <v>0</v>
      </c>
      <c r="F50" s="244"/>
      <c r="G50" s="244"/>
      <c r="H50" s="244"/>
      <c r="I50" s="244"/>
      <c r="J50" s="244"/>
      <c r="K50" s="244"/>
      <c r="L50" s="276">
        <f t="shared" si="16"/>
        <v>0</v>
      </c>
      <c r="M50" s="244"/>
      <c r="N50" s="244"/>
      <c r="O50" s="245"/>
      <c r="P50" s="245"/>
      <c r="Q50" s="245"/>
      <c r="R50" s="245"/>
      <c r="S50" s="245"/>
      <c r="T50" s="406">
        <f t="shared" si="14"/>
        <v>0</v>
      </c>
      <c r="U50" s="243"/>
    </row>
    <row r="51" spans="1:21" ht="35.25" customHeight="1" x14ac:dyDescent="0.25">
      <c r="A51" s="82" t="s">
        <v>60</v>
      </c>
      <c r="B51" s="81" t="s">
        <v>150</v>
      </c>
      <c r="C51" s="242"/>
      <c r="D51" s="242"/>
      <c r="E51" s="276">
        <f t="shared" si="15"/>
        <v>0</v>
      </c>
      <c r="F51" s="242"/>
      <c r="G51" s="244"/>
      <c r="H51" s="244"/>
      <c r="I51" s="244"/>
      <c r="J51" s="244"/>
      <c r="K51" s="244"/>
      <c r="L51" s="276">
        <f t="shared" si="16"/>
        <v>0</v>
      </c>
      <c r="M51" s="244"/>
      <c r="N51" s="244"/>
      <c r="O51" s="245"/>
      <c r="P51" s="245"/>
      <c r="Q51" s="245"/>
      <c r="R51" s="245"/>
      <c r="S51" s="245"/>
      <c r="T51" s="406">
        <f t="shared" si="14"/>
        <v>0</v>
      </c>
      <c r="U51" s="243"/>
    </row>
    <row r="52" spans="1:21" x14ac:dyDescent="0.25">
      <c r="A52" s="79" t="s">
        <v>149</v>
      </c>
      <c r="B52" s="50" t="s">
        <v>148</v>
      </c>
      <c r="C52" s="249">
        <f>C30</f>
        <v>940.46101694915296</v>
      </c>
      <c r="D52" s="249"/>
      <c r="E52" s="250">
        <f t="shared" si="15"/>
        <v>940.46101694915296</v>
      </c>
      <c r="F52" s="242"/>
      <c r="G52" s="244"/>
      <c r="H52" s="244"/>
      <c r="I52" s="244"/>
      <c r="J52" s="244"/>
      <c r="K52" s="244"/>
      <c r="L52" s="250">
        <f t="shared" si="16"/>
        <v>940.46101694915296</v>
      </c>
      <c r="M52" s="244"/>
      <c r="N52" s="249"/>
      <c r="O52" s="245"/>
      <c r="P52" s="245"/>
      <c r="Q52" s="245"/>
      <c r="R52" s="245"/>
      <c r="S52" s="245"/>
      <c r="T52" s="249">
        <f t="shared" si="14"/>
        <v>940.46101694915296</v>
      </c>
      <c r="U52" s="242"/>
    </row>
    <row r="53" spans="1:21" x14ac:dyDescent="0.25">
      <c r="A53" s="79" t="s">
        <v>147</v>
      </c>
      <c r="B53" s="50" t="s">
        <v>141</v>
      </c>
      <c r="C53" s="242"/>
      <c r="D53" s="242"/>
      <c r="E53" s="276">
        <f t="shared" si="15"/>
        <v>0</v>
      </c>
      <c r="F53" s="242"/>
      <c r="G53" s="244"/>
      <c r="H53" s="244"/>
      <c r="I53" s="244"/>
      <c r="J53" s="244"/>
      <c r="K53" s="244"/>
      <c r="L53" s="276">
        <f t="shared" si="16"/>
        <v>0</v>
      </c>
      <c r="M53" s="244"/>
      <c r="N53" s="244"/>
      <c r="O53" s="245"/>
      <c r="P53" s="245"/>
      <c r="Q53" s="245"/>
      <c r="R53" s="245"/>
      <c r="S53" s="245"/>
      <c r="T53" s="406">
        <f t="shared" si="14"/>
        <v>0</v>
      </c>
      <c r="U53" s="243"/>
    </row>
    <row r="54" spans="1:21" x14ac:dyDescent="0.25">
      <c r="A54" s="79" t="s">
        <v>146</v>
      </c>
      <c r="B54" s="78" t="s">
        <v>140</v>
      </c>
      <c r="C54" s="251">
        <v>50</v>
      </c>
      <c r="D54" s="251"/>
      <c r="E54" s="276">
        <f t="shared" si="15"/>
        <v>50</v>
      </c>
      <c r="F54" s="252"/>
      <c r="G54" s="252"/>
      <c r="H54" s="252"/>
      <c r="I54" s="252"/>
      <c r="J54" s="252"/>
      <c r="K54" s="252"/>
      <c r="L54" s="276">
        <f t="shared" si="16"/>
        <v>50</v>
      </c>
      <c r="M54" s="252"/>
      <c r="N54" s="276"/>
      <c r="O54" s="245"/>
      <c r="P54" s="245"/>
      <c r="Q54" s="245"/>
      <c r="R54" s="245"/>
      <c r="S54" s="245"/>
      <c r="T54" s="406">
        <f t="shared" si="14"/>
        <v>50</v>
      </c>
      <c r="U54" s="253"/>
    </row>
    <row r="55" spans="1:21" x14ac:dyDescent="0.25">
      <c r="A55" s="79" t="s">
        <v>145</v>
      </c>
      <c r="B55" s="78" t="s">
        <v>139</v>
      </c>
      <c r="C55" s="242"/>
      <c r="D55" s="242"/>
      <c r="E55" s="276">
        <f t="shared" si="15"/>
        <v>0</v>
      </c>
      <c r="F55" s="242"/>
      <c r="G55" s="244"/>
      <c r="H55" s="244"/>
      <c r="I55" s="244"/>
      <c r="J55" s="244"/>
      <c r="K55" s="244"/>
      <c r="L55" s="276">
        <f t="shared" si="16"/>
        <v>0</v>
      </c>
      <c r="M55" s="244"/>
      <c r="N55" s="244"/>
      <c r="O55" s="245"/>
      <c r="P55" s="245"/>
      <c r="Q55" s="245"/>
      <c r="R55" s="245"/>
      <c r="S55" s="245"/>
      <c r="T55" s="406">
        <f t="shared" si="14"/>
        <v>0</v>
      </c>
      <c r="U55" s="243"/>
    </row>
    <row r="56" spans="1:21" x14ac:dyDescent="0.25">
      <c r="A56" s="79" t="s">
        <v>144</v>
      </c>
      <c r="B56" s="78" t="s">
        <v>138</v>
      </c>
      <c r="C56" s="251">
        <v>1.655</v>
      </c>
      <c r="D56" s="251"/>
      <c r="E56" s="276">
        <f t="shared" si="15"/>
        <v>1.655</v>
      </c>
      <c r="F56" s="252"/>
      <c r="G56" s="252"/>
      <c r="H56" s="252"/>
      <c r="I56" s="252"/>
      <c r="J56" s="252"/>
      <c r="K56" s="252"/>
      <c r="L56" s="276">
        <f t="shared" si="16"/>
        <v>1.655</v>
      </c>
      <c r="M56" s="252"/>
      <c r="N56" s="276"/>
      <c r="O56" s="245"/>
      <c r="P56" s="245"/>
      <c r="Q56" s="245"/>
      <c r="R56" s="245"/>
      <c r="S56" s="245"/>
      <c r="T56" s="406">
        <f t="shared" si="14"/>
        <v>1.655</v>
      </c>
      <c r="U56" s="253"/>
    </row>
    <row r="57" spans="1:21" ht="18.75" x14ac:dyDescent="0.25">
      <c r="A57" s="79" t="s">
        <v>143</v>
      </c>
      <c r="B57" s="78" t="s">
        <v>137</v>
      </c>
      <c r="C57" s="246"/>
      <c r="D57" s="242"/>
      <c r="E57" s="242"/>
      <c r="F57" s="242"/>
      <c r="G57" s="244"/>
      <c r="H57" s="244"/>
      <c r="I57" s="244"/>
      <c r="J57" s="244"/>
      <c r="K57" s="244"/>
      <c r="L57" s="244"/>
      <c r="M57" s="244"/>
      <c r="N57" s="244"/>
      <c r="O57" s="245"/>
      <c r="P57" s="245"/>
      <c r="Q57" s="245"/>
      <c r="R57" s="245"/>
      <c r="S57" s="245"/>
      <c r="T57" s="245"/>
      <c r="U57" s="243"/>
    </row>
    <row r="58" spans="1:21" ht="36.75" customHeight="1" x14ac:dyDescent="0.25">
      <c r="A58" s="82" t="s">
        <v>59</v>
      </c>
      <c r="B58" s="100" t="s">
        <v>228</v>
      </c>
      <c r="C58" s="246"/>
      <c r="D58" s="242"/>
      <c r="E58" s="242"/>
      <c r="F58" s="242"/>
      <c r="G58" s="244"/>
      <c r="H58" s="244"/>
      <c r="I58" s="244"/>
      <c r="J58" s="244"/>
      <c r="K58" s="244"/>
      <c r="L58" s="244"/>
      <c r="M58" s="244"/>
      <c r="N58" s="244"/>
      <c r="O58" s="245"/>
      <c r="P58" s="245"/>
      <c r="Q58" s="245"/>
      <c r="R58" s="245"/>
      <c r="S58" s="245"/>
      <c r="T58" s="245"/>
      <c r="U58" s="243"/>
    </row>
    <row r="59" spans="1:21" x14ac:dyDescent="0.25">
      <c r="A59" s="82" t="s">
        <v>57</v>
      </c>
      <c r="B59" s="81" t="s">
        <v>142</v>
      </c>
      <c r="C59" s="242"/>
      <c r="D59" s="242"/>
      <c r="E59" s="244"/>
      <c r="F59" s="244"/>
      <c r="G59" s="244"/>
      <c r="H59" s="244"/>
      <c r="I59" s="244"/>
      <c r="J59" s="244"/>
      <c r="K59" s="244"/>
      <c r="L59" s="244"/>
      <c r="M59" s="244"/>
      <c r="N59" s="244"/>
      <c r="O59" s="245"/>
      <c r="P59" s="245"/>
      <c r="Q59" s="245"/>
      <c r="R59" s="245"/>
      <c r="S59" s="245"/>
      <c r="T59" s="245"/>
      <c r="U59" s="243"/>
    </row>
    <row r="60" spans="1:21" x14ac:dyDescent="0.25">
      <c r="A60" s="79" t="s">
        <v>222</v>
      </c>
      <c r="B60" s="80" t="s">
        <v>163</v>
      </c>
      <c r="C60" s="247"/>
      <c r="D60" s="242"/>
      <c r="E60" s="244"/>
      <c r="F60" s="244"/>
      <c r="G60" s="244"/>
      <c r="H60" s="244"/>
      <c r="I60" s="244"/>
      <c r="J60" s="244"/>
      <c r="K60" s="244"/>
      <c r="L60" s="244"/>
      <c r="M60" s="244"/>
      <c r="N60" s="244"/>
      <c r="O60" s="245"/>
      <c r="P60" s="245"/>
      <c r="Q60" s="245"/>
      <c r="R60" s="245"/>
      <c r="S60" s="245"/>
      <c r="T60" s="245"/>
      <c r="U60" s="243"/>
    </row>
    <row r="61" spans="1:21" x14ac:dyDescent="0.25">
      <c r="A61" s="79" t="s">
        <v>223</v>
      </c>
      <c r="B61" s="80" t="s">
        <v>161</v>
      </c>
      <c r="C61" s="247"/>
      <c r="D61" s="242"/>
      <c r="E61" s="244"/>
      <c r="F61" s="244"/>
      <c r="G61" s="244"/>
      <c r="H61" s="244"/>
      <c r="I61" s="244"/>
      <c r="J61" s="244"/>
      <c r="K61" s="244"/>
      <c r="L61" s="244"/>
      <c r="M61" s="244"/>
      <c r="N61" s="244"/>
      <c r="O61" s="245"/>
      <c r="P61" s="245"/>
      <c r="Q61" s="245"/>
      <c r="R61" s="245"/>
      <c r="S61" s="245"/>
      <c r="T61" s="245"/>
      <c r="U61" s="243"/>
    </row>
    <row r="62" spans="1:21" x14ac:dyDescent="0.25">
      <c r="A62" s="79" t="s">
        <v>224</v>
      </c>
      <c r="B62" s="80" t="s">
        <v>159</v>
      </c>
      <c r="C62" s="247"/>
      <c r="D62" s="242"/>
      <c r="E62" s="244"/>
      <c r="F62" s="244"/>
      <c r="G62" s="244"/>
      <c r="H62" s="244"/>
      <c r="I62" s="244"/>
      <c r="J62" s="244"/>
      <c r="K62" s="244"/>
      <c r="L62" s="244"/>
      <c r="M62" s="244"/>
      <c r="N62" s="244"/>
      <c r="O62" s="245"/>
      <c r="P62" s="245"/>
      <c r="Q62" s="245"/>
      <c r="R62" s="245"/>
      <c r="S62" s="245"/>
      <c r="T62" s="245"/>
      <c r="U62" s="243"/>
    </row>
    <row r="63" spans="1:21" x14ac:dyDescent="0.25">
      <c r="A63" s="79" t="s">
        <v>225</v>
      </c>
      <c r="B63" s="80" t="s">
        <v>227</v>
      </c>
      <c r="C63" s="247"/>
      <c r="D63" s="251"/>
      <c r="E63" s="251"/>
      <c r="F63" s="252"/>
      <c r="G63" s="252"/>
      <c r="H63" s="252"/>
      <c r="I63" s="252"/>
      <c r="J63" s="252"/>
      <c r="K63" s="252"/>
      <c r="L63" s="252"/>
      <c r="M63" s="252"/>
      <c r="N63" s="251"/>
      <c r="O63" s="251"/>
      <c r="P63" s="251"/>
      <c r="Q63" s="251"/>
      <c r="R63" s="251"/>
      <c r="S63" s="251"/>
      <c r="T63" s="251"/>
      <c r="U63" s="253">
        <f>J63+N63+R63</f>
        <v>0</v>
      </c>
    </row>
    <row r="64" spans="1:21" ht="18.75" x14ac:dyDescent="0.25">
      <c r="A64" s="79" t="s">
        <v>226</v>
      </c>
      <c r="B64" s="78" t="s">
        <v>137</v>
      </c>
      <c r="C64" s="246"/>
      <c r="D64" s="242"/>
      <c r="E64" s="244"/>
      <c r="F64" s="244"/>
      <c r="G64" s="244"/>
      <c r="H64" s="244"/>
      <c r="I64" s="244"/>
      <c r="J64" s="244"/>
      <c r="K64" s="244"/>
      <c r="L64" s="244"/>
      <c r="M64" s="244"/>
      <c r="N64" s="244"/>
      <c r="O64" s="245"/>
      <c r="P64" s="245"/>
      <c r="Q64" s="245"/>
      <c r="R64" s="245"/>
      <c r="S64" s="245"/>
      <c r="T64" s="245"/>
      <c r="U64" s="243"/>
    </row>
    <row r="65" spans="1:20" x14ac:dyDescent="0.25">
      <c r="A65" s="75"/>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348"/>
      <c r="C66" s="348"/>
      <c r="D66" s="348"/>
      <c r="E66" s="348"/>
      <c r="F66" s="348"/>
      <c r="G66" s="348"/>
      <c r="H66" s="348"/>
      <c r="I66" s="348"/>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349"/>
      <c r="C68" s="349"/>
      <c r="D68" s="349"/>
      <c r="E68" s="349"/>
      <c r="F68" s="349"/>
      <c r="G68" s="349"/>
      <c r="H68" s="349"/>
      <c r="I68" s="349"/>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348"/>
      <c r="C70" s="348"/>
      <c r="D70" s="348"/>
      <c r="E70" s="348"/>
      <c r="F70" s="348"/>
      <c r="G70" s="348"/>
      <c r="H70" s="348"/>
      <c r="I70" s="348"/>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348"/>
      <c r="C72" s="348"/>
      <c r="D72" s="348"/>
      <c r="E72" s="348"/>
      <c r="F72" s="348"/>
      <c r="G72" s="348"/>
      <c r="H72" s="348"/>
      <c r="I72" s="348"/>
      <c r="J72" s="70"/>
      <c r="K72" s="70"/>
      <c r="L72" s="66"/>
      <c r="M72" s="66"/>
      <c r="N72" s="72"/>
      <c r="O72" s="66"/>
      <c r="P72" s="66"/>
      <c r="Q72" s="66"/>
      <c r="R72" s="66"/>
      <c r="S72" s="66"/>
      <c r="T72" s="66"/>
    </row>
    <row r="73" spans="1:20" ht="32.25" customHeight="1" x14ac:dyDescent="0.25">
      <c r="A73" s="66"/>
      <c r="B73" s="349"/>
      <c r="C73" s="349"/>
      <c r="D73" s="349"/>
      <c r="E73" s="349"/>
      <c r="F73" s="349"/>
      <c r="G73" s="349"/>
      <c r="H73" s="349"/>
      <c r="I73" s="349"/>
      <c r="J73" s="71"/>
      <c r="K73" s="71"/>
      <c r="L73" s="66"/>
      <c r="M73" s="66"/>
      <c r="N73" s="66"/>
      <c r="O73" s="66"/>
      <c r="P73" s="66"/>
      <c r="Q73" s="66"/>
      <c r="R73" s="66"/>
      <c r="S73" s="66"/>
      <c r="T73" s="66"/>
    </row>
    <row r="74" spans="1:20" ht="51.75" customHeight="1" x14ac:dyDescent="0.25">
      <c r="A74" s="66"/>
      <c r="B74" s="348"/>
      <c r="C74" s="348"/>
      <c r="D74" s="348"/>
      <c r="E74" s="348"/>
      <c r="F74" s="348"/>
      <c r="G74" s="348"/>
      <c r="H74" s="348"/>
      <c r="I74" s="348"/>
      <c r="J74" s="70"/>
      <c r="K74" s="70"/>
      <c r="L74" s="66"/>
      <c r="M74" s="66"/>
      <c r="N74" s="66"/>
      <c r="O74" s="66"/>
      <c r="P74" s="66"/>
      <c r="Q74" s="66"/>
      <c r="R74" s="66"/>
      <c r="S74" s="66"/>
      <c r="T74" s="66"/>
    </row>
    <row r="75" spans="1:20" ht="21.75" customHeight="1" x14ac:dyDescent="0.25">
      <c r="A75" s="66"/>
      <c r="B75" s="346"/>
      <c r="C75" s="346"/>
      <c r="D75" s="346"/>
      <c r="E75" s="346"/>
      <c r="F75" s="346"/>
      <c r="G75" s="346"/>
      <c r="H75" s="346"/>
      <c r="I75" s="346"/>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347"/>
      <c r="C77" s="347"/>
      <c r="D77" s="347"/>
      <c r="E77" s="347"/>
      <c r="F77" s="347"/>
      <c r="G77" s="347"/>
      <c r="H77" s="347"/>
      <c r="I77" s="347"/>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K26" sqref="K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288" t="str">
        <f>'1. паспорт местоположение'!A5:C5</f>
        <v>Год раскрытия информации: 2016 год</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c r="AB5" s="288"/>
      <c r="AC5" s="288"/>
      <c r="AD5" s="288"/>
      <c r="AE5" s="288"/>
      <c r="AF5" s="288"/>
      <c r="AG5" s="288"/>
      <c r="AH5" s="288"/>
      <c r="AI5" s="288"/>
      <c r="AJ5" s="288"/>
      <c r="AK5" s="288"/>
      <c r="AL5" s="288"/>
      <c r="AM5" s="288"/>
      <c r="AN5" s="288"/>
      <c r="AO5" s="288"/>
      <c r="AP5" s="288"/>
      <c r="AQ5" s="288"/>
      <c r="AR5" s="288"/>
      <c r="AS5" s="288"/>
      <c r="AT5" s="288"/>
      <c r="AU5" s="288"/>
      <c r="AV5" s="288"/>
    </row>
    <row r="6" spans="1:48" ht="18.75" x14ac:dyDescent="0.3">
      <c r="AV6" s="15"/>
    </row>
    <row r="7" spans="1:48" ht="18.75" x14ac:dyDescent="0.25">
      <c r="A7" s="284" t="s">
        <v>10</v>
      </c>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84"/>
      <c r="AQ7" s="284"/>
      <c r="AR7" s="284"/>
      <c r="AS7" s="284"/>
      <c r="AT7" s="284"/>
      <c r="AU7" s="284"/>
      <c r="AV7" s="284"/>
    </row>
    <row r="8" spans="1:48" ht="18.75" x14ac:dyDescent="0.25">
      <c r="A8" s="284"/>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284"/>
      <c r="AB8" s="284"/>
      <c r="AC8" s="284"/>
      <c r="AD8" s="284"/>
      <c r="AE8" s="284"/>
      <c r="AF8" s="284"/>
      <c r="AG8" s="284"/>
      <c r="AH8" s="284"/>
      <c r="AI8" s="284"/>
      <c r="AJ8" s="284"/>
      <c r="AK8" s="284"/>
      <c r="AL8" s="284"/>
      <c r="AM8" s="284"/>
      <c r="AN8" s="284"/>
      <c r="AO8" s="284"/>
      <c r="AP8" s="284"/>
      <c r="AQ8" s="284"/>
      <c r="AR8" s="284"/>
      <c r="AS8" s="284"/>
      <c r="AT8" s="284"/>
      <c r="AU8" s="284"/>
      <c r="AV8" s="284"/>
    </row>
    <row r="9" spans="1:48" ht="15.75" x14ac:dyDescent="0.25">
      <c r="A9" s="289" t="str">
        <f>'1. паспорт местоположение'!A9:C9</f>
        <v>АО "Янтарьэнерго"</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5.75" x14ac:dyDescent="0.25">
      <c r="A10" s="281" t="s">
        <v>9</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c r="AS10" s="281"/>
      <c r="AT10" s="281"/>
      <c r="AU10" s="281"/>
      <c r="AV10" s="281"/>
    </row>
    <row r="11" spans="1:48" ht="18.75" x14ac:dyDescent="0.25">
      <c r="A11" s="284"/>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284"/>
      <c r="AB11" s="284"/>
      <c r="AC11" s="284"/>
      <c r="AD11" s="284"/>
      <c r="AE11" s="284"/>
      <c r="AF11" s="284"/>
      <c r="AG11" s="284"/>
      <c r="AH11" s="284"/>
      <c r="AI11" s="284"/>
      <c r="AJ11" s="284"/>
      <c r="AK11" s="284"/>
      <c r="AL11" s="284"/>
      <c r="AM11" s="284"/>
      <c r="AN11" s="284"/>
      <c r="AO11" s="284"/>
      <c r="AP11" s="284"/>
      <c r="AQ11" s="284"/>
      <c r="AR11" s="284"/>
      <c r="AS11" s="284"/>
      <c r="AT11" s="284"/>
      <c r="AU11" s="284"/>
      <c r="AV11" s="284"/>
    </row>
    <row r="12" spans="1:48" ht="15.75" x14ac:dyDescent="0.25">
      <c r="A12" s="289" t="str">
        <f>'1. паспорт местоположение'!A12:C12</f>
        <v>prj_111001_2498</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x14ac:dyDescent="0.25">
      <c r="A13" s="281" t="s">
        <v>8</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281"/>
      <c r="AT13" s="281"/>
      <c r="AU13" s="281"/>
      <c r="AV13" s="281"/>
    </row>
    <row r="14" spans="1:48" ht="18.75" x14ac:dyDescent="0.25">
      <c r="A14" s="293"/>
      <c r="B14" s="293"/>
      <c r="C14" s="293"/>
      <c r="D14" s="293"/>
      <c r="E14" s="293"/>
      <c r="F14" s="293"/>
      <c r="G14" s="293"/>
      <c r="H14" s="293"/>
      <c r="I14" s="293"/>
      <c r="J14" s="293"/>
      <c r="K14" s="293"/>
      <c r="L14" s="293"/>
      <c r="M14" s="293"/>
      <c r="N14" s="293"/>
      <c r="O14" s="293"/>
      <c r="P14" s="293"/>
      <c r="Q14" s="293"/>
      <c r="R14" s="293"/>
      <c r="S14" s="293"/>
      <c r="T14" s="293"/>
      <c r="U14" s="293"/>
      <c r="V14" s="293"/>
      <c r="W14" s="293"/>
      <c r="X14" s="293"/>
      <c r="Y14" s="293"/>
      <c r="Z14" s="293"/>
      <c r="AA14" s="293"/>
      <c r="AB14" s="293"/>
      <c r="AC14" s="293"/>
      <c r="AD14" s="293"/>
      <c r="AE14" s="293"/>
      <c r="AF14" s="293"/>
      <c r="AG14" s="293"/>
      <c r="AH14" s="293"/>
      <c r="AI14" s="293"/>
      <c r="AJ14" s="293"/>
      <c r="AK14" s="293"/>
      <c r="AL14" s="293"/>
      <c r="AM14" s="293"/>
      <c r="AN14" s="293"/>
      <c r="AO14" s="293"/>
      <c r="AP14" s="293"/>
      <c r="AQ14" s="293"/>
      <c r="AR14" s="293"/>
      <c r="AS14" s="293"/>
      <c r="AT14" s="293"/>
      <c r="AU14" s="293"/>
      <c r="AV14" s="293"/>
    </row>
    <row r="15" spans="1:48" ht="15.75" x14ac:dyDescent="0.25">
      <c r="A15" s="289" t="str">
        <f>'1. паспорт местоположение'!A15:C15</f>
        <v>Строительство ПС 110/10кВ Береговая с заходами 4-х КЛ 110 кВ от ПС 110 кВ Береговая на ВЛ 110 кВ № 115/116 (ПС Центральная - ПС Московская/ ПС Центральная - ПС Северная), г. Калининград</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c r="AD15" s="289"/>
      <c r="AE15" s="289"/>
      <c r="AF15" s="289"/>
      <c r="AG15" s="289"/>
      <c r="AH15" s="289"/>
      <c r="AI15" s="289"/>
      <c r="AJ15" s="289"/>
      <c r="AK15" s="289"/>
      <c r="AL15" s="289"/>
      <c r="AM15" s="289"/>
      <c r="AN15" s="289"/>
      <c r="AO15" s="289"/>
      <c r="AP15" s="289"/>
      <c r="AQ15" s="289"/>
      <c r="AR15" s="289"/>
      <c r="AS15" s="289"/>
      <c r="AT15" s="289"/>
      <c r="AU15" s="289"/>
      <c r="AV15" s="289"/>
    </row>
    <row r="16" spans="1:48" ht="15.75" x14ac:dyDescent="0.25">
      <c r="A16" s="281" t="s">
        <v>7</v>
      </c>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1"/>
      <c r="AK16" s="281"/>
      <c r="AL16" s="281"/>
      <c r="AM16" s="281"/>
      <c r="AN16" s="281"/>
      <c r="AO16" s="281"/>
      <c r="AP16" s="281"/>
      <c r="AQ16" s="281"/>
      <c r="AR16" s="281"/>
      <c r="AS16" s="281"/>
      <c r="AT16" s="281"/>
      <c r="AU16" s="281"/>
      <c r="AV16" s="281"/>
    </row>
    <row r="17" spans="1:4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325"/>
      <c r="AB17" s="325"/>
      <c r="AC17" s="325"/>
      <c r="AD17" s="325"/>
      <c r="AE17" s="325"/>
      <c r="AF17" s="325"/>
      <c r="AG17" s="325"/>
      <c r="AH17" s="325"/>
      <c r="AI17" s="325"/>
      <c r="AJ17" s="325"/>
      <c r="AK17" s="325"/>
      <c r="AL17" s="325"/>
      <c r="AM17" s="325"/>
      <c r="AN17" s="325"/>
      <c r="AO17" s="325"/>
      <c r="AP17" s="325"/>
      <c r="AQ17" s="325"/>
      <c r="AR17" s="325"/>
      <c r="AS17" s="325"/>
      <c r="AT17" s="325"/>
      <c r="AU17" s="325"/>
      <c r="AV17" s="325"/>
    </row>
    <row r="18" spans="1:48" ht="14.25" customHeight="1"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c r="AC18" s="325"/>
      <c r="AD18" s="325"/>
      <c r="AE18" s="325"/>
      <c r="AF18" s="325"/>
      <c r="AG18" s="325"/>
      <c r="AH18" s="325"/>
      <c r="AI18" s="325"/>
      <c r="AJ18" s="325"/>
      <c r="AK18" s="325"/>
      <c r="AL18" s="325"/>
      <c r="AM18" s="325"/>
      <c r="AN18" s="325"/>
      <c r="AO18" s="325"/>
      <c r="AP18" s="325"/>
      <c r="AQ18" s="325"/>
      <c r="AR18" s="325"/>
      <c r="AS18" s="325"/>
      <c r="AT18" s="325"/>
      <c r="AU18" s="325"/>
      <c r="AV18" s="325"/>
    </row>
    <row r="19" spans="1:48"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c r="AB19" s="325"/>
      <c r="AC19" s="325"/>
      <c r="AD19" s="325"/>
      <c r="AE19" s="325"/>
      <c r="AF19" s="325"/>
      <c r="AG19" s="325"/>
      <c r="AH19" s="325"/>
      <c r="AI19" s="325"/>
      <c r="AJ19" s="325"/>
      <c r="AK19" s="325"/>
      <c r="AL19" s="325"/>
      <c r="AM19" s="325"/>
      <c r="AN19" s="325"/>
      <c r="AO19" s="325"/>
      <c r="AP19" s="325"/>
      <c r="AQ19" s="325"/>
      <c r="AR19" s="325"/>
      <c r="AS19" s="325"/>
      <c r="AT19" s="325"/>
      <c r="AU19" s="325"/>
      <c r="AV19" s="325"/>
    </row>
    <row r="20" spans="1:48" s="22" customFormat="1"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c r="AT20" s="319"/>
      <c r="AU20" s="319"/>
      <c r="AV20" s="319"/>
    </row>
    <row r="21" spans="1:48" s="22" customFormat="1" x14ac:dyDescent="0.25">
      <c r="A21" s="373" t="s">
        <v>472</v>
      </c>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373"/>
      <c r="AB21" s="373"/>
      <c r="AC21" s="373"/>
      <c r="AD21" s="373"/>
      <c r="AE21" s="373"/>
      <c r="AF21" s="373"/>
      <c r="AG21" s="373"/>
      <c r="AH21" s="373"/>
      <c r="AI21" s="373"/>
      <c r="AJ21" s="373"/>
      <c r="AK21" s="373"/>
      <c r="AL21" s="373"/>
      <c r="AM21" s="373"/>
      <c r="AN21" s="373"/>
      <c r="AO21" s="373"/>
      <c r="AP21" s="373"/>
      <c r="AQ21" s="373"/>
      <c r="AR21" s="373"/>
      <c r="AS21" s="373"/>
      <c r="AT21" s="373"/>
      <c r="AU21" s="373"/>
      <c r="AV21" s="373"/>
    </row>
    <row r="22" spans="1:48" s="22" customFormat="1" ht="58.5" customHeight="1" x14ac:dyDescent="0.25">
      <c r="A22" s="364" t="s">
        <v>53</v>
      </c>
      <c r="B22" s="375" t="s">
        <v>25</v>
      </c>
      <c r="C22" s="364" t="s">
        <v>52</v>
      </c>
      <c r="D22" s="364" t="s">
        <v>51</v>
      </c>
      <c r="E22" s="378" t="s">
        <v>483</v>
      </c>
      <c r="F22" s="379"/>
      <c r="G22" s="379"/>
      <c r="H22" s="379"/>
      <c r="I22" s="379"/>
      <c r="J22" s="379"/>
      <c r="K22" s="379"/>
      <c r="L22" s="380"/>
      <c r="M22" s="364" t="s">
        <v>50</v>
      </c>
      <c r="N22" s="364" t="s">
        <v>49</v>
      </c>
      <c r="O22" s="364" t="s">
        <v>48</v>
      </c>
      <c r="P22" s="359" t="s">
        <v>258</v>
      </c>
      <c r="Q22" s="359" t="s">
        <v>47</v>
      </c>
      <c r="R22" s="359" t="s">
        <v>46</v>
      </c>
      <c r="S22" s="359" t="s">
        <v>45</v>
      </c>
      <c r="T22" s="359"/>
      <c r="U22" s="381" t="s">
        <v>44</v>
      </c>
      <c r="V22" s="381" t="s">
        <v>43</v>
      </c>
      <c r="W22" s="359" t="s">
        <v>42</v>
      </c>
      <c r="X22" s="359" t="s">
        <v>41</v>
      </c>
      <c r="Y22" s="359" t="s">
        <v>40</v>
      </c>
      <c r="Z22" s="366" t="s">
        <v>39</v>
      </c>
      <c r="AA22" s="359" t="s">
        <v>38</v>
      </c>
      <c r="AB22" s="359" t="s">
        <v>37</v>
      </c>
      <c r="AC22" s="359" t="s">
        <v>36</v>
      </c>
      <c r="AD22" s="359" t="s">
        <v>35</v>
      </c>
      <c r="AE22" s="359" t="s">
        <v>34</v>
      </c>
      <c r="AF22" s="359" t="s">
        <v>33</v>
      </c>
      <c r="AG22" s="359"/>
      <c r="AH22" s="359"/>
      <c r="AI22" s="359"/>
      <c r="AJ22" s="359"/>
      <c r="AK22" s="359"/>
      <c r="AL22" s="359" t="s">
        <v>32</v>
      </c>
      <c r="AM22" s="359"/>
      <c r="AN22" s="359"/>
      <c r="AO22" s="359"/>
      <c r="AP22" s="359" t="s">
        <v>31</v>
      </c>
      <c r="AQ22" s="359"/>
      <c r="AR22" s="359" t="s">
        <v>30</v>
      </c>
      <c r="AS22" s="359" t="s">
        <v>29</v>
      </c>
      <c r="AT22" s="359" t="s">
        <v>28</v>
      </c>
      <c r="AU22" s="359" t="s">
        <v>27</v>
      </c>
      <c r="AV22" s="367" t="s">
        <v>26</v>
      </c>
    </row>
    <row r="23" spans="1:48" s="22" customFormat="1" ht="64.5" customHeight="1" x14ac:dyDescent="0.25">
      <c r="A23" s="374"/>
      <c r="B23" s="376"/>
      <c r="C23" s="374"/>
      <c r="D23" s="374"/>
      <c r="E23" s="369" t="s">
        <v>24</v>
      </c>
      <c r="F23" s="360" t="s">
        <v>141</v>
      </c>
      <c r="G23" s="360" t="s">
        <v>140</v>
      </c>
      <c r="H23" s="360" t="s">
        <v>139</v>
      </c>
      <c r="I23" s="362" t="s">
        <v>417</v>
      </c>
      <c r="J23" s="362" t="s">
        <v>418</v>
      </c>
      <c r="K23" s="362" t="s">
        <v>419</v>
      </c>
      <c r="L23" s="360" t="s">
        <v>81</v>
      </c>
      <c r="M23" s="374"/>
      <c r="N23" s="374"/>
      <c r="O23" s="374"/>
      <c r="P23" s="359"/>
      <c r="Q23" s="359"/>
      <c r="R23" s="359"/>
      <c r="S23" s="371" t="s">
        <v>3</v>
      </c>
      <c r="T23" s="371" t="s">
        <v>12</v>
      </c>
      <c r="U23" s="381"/>
      <c r="V23" s="381"/>
      <c r="W23" s="359"/>
      <c r="X23" s="359"/>
      <c r="Y23" s="359"/>
      <c r="Z23" s="359"/>
      <c r="AA23" s="359"/>
      <c r="AB23" s="359"/>
      <c r="AC23" s="359"/>
      <c r="AD23" s="359"/>
      <c r="AE23" s="359"/>
      <c r="AF23" s="359" t="s">
        <v>23</v>
      </c>
      <c r="AG23" s="359"/>
      <c r="AH23" s="359" t="s">
        <v>22</v>
      </c>
      <c r="AI23" s="359"/>
      <c r="AJ23" s="364" t="s">
        <v>21</v>
      </c>
      <c r="AK23" s="364" t="s">
        <v>20</v>
      </c>
      <c r="AL23" s="364" t="s">
        <v>19</v>
      </c>
      <c r="AM23" s="364" t="s">
        <v>18</v>
      </c>
      <c r="AN23" s="364" t="s">
        <v>17</v>
      </c>
      <c r="AO23" s="364" t="s">
        <v>16</v>
      </c>
      <c r="AP23" s="364" t="s">
        <v>15</v>
      </c>
      <c r="AQ23" s="382" t="s">
        <v>12</v>
      </c>
      <c r="AR23" s="359"/>
      <c r="AS23" s="359"/>
      <c r="AT23" s="359"/>
      <c r="AU23" s="359"/>
      <c r="AV23" s="368"/>
    </row>
    <row r="24" spans="1:48" s="22" customFormat="1" ht="96.75" customHeight="1" x14ac:dyDescent="0.25">
      <c r="A24" s="365"/>
      <c r="B24" s="377"/>
      <c r="C24" s="365"/>
      <c r="D24" s="365"/>
      <c r="E24" s="370"/>
      <c r="F24" s="361"/>
      <c r="G24" s="361"/>
      <c r="H24" s="361"/>
      <c r="I24" s="363"/>
      <c r="J24" s="363"/>
      <c r="K24" s="363"/>
      <c r="L24" s="361"/>
      <c r="M24" s="365"/>
      <c r="N24" s="365"/>
      <c r="O24" s="365"/>
      <c r="P24" s="359"/>
      <c r="Q24" s="359"/>
      <c r="R24" s="359"/>
      <c r="S24" s="372"/>
      <c r="T24" s="372"/>
      <c r="U24" s="381"/>
      <c r="V24" s="381"/>
      <c r="W24" s="359"/>
      <c r="X24" s="359"/>
      <c r="Y24" s="359"/>
      <c r="Z24" s="359"/>
      <c r="AA24" s="359"/>
      <c r="AB24" s="359"/>
      <c r="AC24" s="359"/>
      <c r="AD24" s="359"/>
      <c r="AE24" s="359"/>
      <c r="AF24" s="153" t="s">
        <v>14</v>
      </c>
      <c r="AG24" s="153" t="s">
        <v>13</v>
      </c>
      <c r="AH24" s="154" t="s">
        <v>3</v>
      </c>
      <c r="AI24" s="154" t="s">
        <v>12</v>
      </c>
      <c r="AJ24" s="365"/>
      <c r="AK24" s="365"/>
      <c r="AL24" s="365"/>
      <c r="AM24" s="365"/>
      <c r="AN24" s="365"/>
      <c r="AO24" s="365"/>
      <c r="AP24" s="365"/>
      <c r="AQ24" s="383"/>
      <c r="AR24" s="359"/>
      <c r="AS24" s="359"/>
      <c r="AT24" s="359"/>
      <c r="AU24" s="359"/>
      <c r="AV24" s="368"/>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61" customFormat="1" ht="15.75" x14ac:dyDescent="0.25">
      <c r="A26" s="257">
        <v>1</v>
      </c>
      <c r="B26" s="258" t="s">
        <v>492</v>
      </c>
      <c r="C26" s="258"/>
      <c r="D26" s="263">
        <v>42887</v>
      </c>
      <c r="E26" s="257"/>
      <c r="F26" s="257"/>
      <c r="G26" s="262">
        <v>50</v>
      </c>
      <c r="H26" s="257"/>
      <c r="I26" s="257"/>
      <c r="J26" s="262"/>
      <c r="K26" s="262">
        <v>1.655</v>
      </c>
      <c r="L26" s="257"/>
      <c r="M26" s="258"/>
      <c r="N26" s="258"/>
      <c r="O26" s="258"/>
      <c r="P26" s="259"/>
      <c r="Q26" s="258"/>
      <c r="R26" s="259"/>
      <c r="S26" s="258"/>
      <c r="T26" s="258"/>
      <c r="U26" s="257"/>
      <c r="V26" s="257"/>
      <c r="W26" s="258"/>
      <c r="X26" s="259"/>
      <c r="Y26" s="258"/>
      <c r="Z26" s="260"/>
      <c r="AA26" s="259"/>
      <c r="AB26" s="259"/>
      <c r="AC26" s="259"/>
      <c r="AD26" s="259"/>
      <c r="AE26" s="259"/>
      <c r="AF26" s="257"/>
      <c r="AG26" s="258"/>
      <c r="AH26" s="260"/>
      <c r="AI26" s="260"/>
      <c r="AJ26" s="260"/>
      <c r="AK26" s="260"/>
      <c r="AL26" s="258"/>
      <c r="AM26" s="258"/>
      <c r="AN26" s="260"/>
      <c r="AO26" s="258"/>
      <c r="AP26" s="260"/>
      <c r="AQ26" s="260"/>
      <c r="AR26" s="260"/>
      <c r="AS26" s="260"/>
      <c r="AT26" s="260"/>
      <c r="AU26" s="258"/>
      <c r="AV26" s="25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8"/>
  <sheetViews>
    <sheetView view="pageBreakPreview" zoomScale="80" zoomScaleNormal="90" zoomScaleSheetLayoutView="80" workbookViewId="0">
      <selection activeCell="B48" sqref="B48"/>
    </sheetView>
  </sheetViews>
  <sheetFormatPr defaultRowHeight="15.75" x14ac:dyDescent="0.25"/>
  <cols>
    <col min="1" max="2" width="66.140625" style="123" customWidth="1"/>
    <col min="3" max="256" width="9.140625" style="124"/>
    <col min="257" max="258" width="66.140625" style="124" customWidth="1"/>
    <col min="259" max="512" width="9.140625" style="124"/>
    <col min="513" max="514" width="66.140625" style="124" customWidth="1"/>
    <col min="515" max="768" width="9.140625" style="124"/>
    <col min="769" max="770" width="66.140625" style="124" customWidth="1"/>
    <col min="771" max="1024" width="9.140625" style="124"/>
    <col min="1025" max="1026" width="66.140625" style="124" customWidth="1"/>
    <col min="1027" max="1280" width="9.140625" style="124"/>
    <col min="1281" max="1282" width="66.140625" style="124" customWidth="1"/>
    <col min="1283" max="1536" width="9.140625" style="124"/>
    <col min="1537" max="1538" width="66.140625" style="124" customWidth="1"/>
    <col min="1539" max="1792" width="9.140625" style="124"/>
    <col min="1793" max="1794" width="66.140625" style="124" customWidth="1"/>
    <col min="1795" max="2048" width="9.140625" style="124"/>
    <col min="2049" max="2050" width="66.140625" style="124" customWidth="1"/>
    <col min="2051" max="2304" width="9.140625" style="124"/>
    <col min="2305" max="2306" width="66.140625" style="124" customWidth="1"/>
    <col min="2307" max="2560" width="9.140625" style="124"/>
    <col min="2561" max="2562" width="66.140625" style="124" customWidth="1"/>
    <col min="2563" max="2816" width="9.140625" style="124"/>
    <col min="2817" max="2818" width="66.140625" style="124" customWidth="1"/>
    <col min="2819" max="3072" width="9.140625" style="124"/>
    <col min="3073" max="3074" width="66.140625" style="124" customWidth="1"/>
    <col min="3075" max="3328" width="9.140625" style="124"/>
    <col min="3329" max="3330" width="66.140625" style="124" customWidth="1"/>
    <col min="3331" max="3584" width="9.140625" style="124"/>
    <col min="3585" max="3586" width="66.140625" style="124" customWidth="1"/>
    <col min="3587" max="3840" width="9.140625" style="124"/>
    <col min="3841" max="3842" width="66.140625" style="124" customWidth="1"/>
    <col min="3843" max="4096" width="9.140625" style="124"/>
    <col min="4097" max="4098" width="66.140625" style="124" customWidth="1"/>
    <col min="4099" max="4352" width="9.140625" style="124"/>
    <col min="4353" max="4354" width="66.140625" style="124" customWidth="1"/>
    <col min="4355" max="4608" width="9.140625" style="124"/>
    <col min="4609" max="4610" width="66.140625" style="124" customWidth="1"/>
    <col min="4611" max="4864" width="9.140625" style="124"/>
    <col min="4865" max="4866" width="66.140625" style="124" customWidth="1"/>
    <col min="4867" max="5120" width="9.140625" style="124"/>
    <col min="5121" max="5122" width="66.140625" style="124" customWidth="1"/>
    <col min="5123" max="5376" width="9.140625" style="124"/>
    <col min="5377" max="5378" width="66.140625" style="124" customWidth="1"/>
    <col min="5379" max="5632" width="9.140625" style="124"/>
    <col min="5633" max="5634" width="66.140625" style="124" customWidth="1"/>
    <col min="5635" max="5888" width="9.140625" style="124"/>
    <col min="5889" max="5890" width="66.140625" style="124" customWidth="1"/>
    <col min="5891" max="6144" width="9.140625" style="124"/>
    <col min="6145" max="6146" width="66.140625" style="124" customWidth="1"/>
    <col min="6147" max="6400" width="9.140625" style="124"/>
    <col min="6401" max="6402" width="66.140625" style="124" customWidth="1"/>
    <col min="6403" max="6656" width="9.140625" style="124"/>
    <col min="6657" max="6658" width="66.140625" style="124" customWidth="1"/>
    <col min="6659" max="6912" width="9.140625" style="124"/>
    <col min="6913" max="6914" width="66.140625" style="124" customWidth="1"/>
    <col min="6915" max="7168" width="9.140625" style="124"/>
    <col min="7169" max="7170" width="66.140625" style="124" customWidth="1"/>
    <col min="7171" max="7424" width="9.140625" style="124"/>
    <col min="7425" max="7426" width="66.140625" style="124" customWidth="1"/>
    <col min="7427" max="7680" width="9.140625" style="124"/>
    <col min="7681" max="7682" width="66.140625" style="124" customWidth="1"/>
    <col min="7683" max="7936" width="9.140625" style="124"/>
    <col min="7937" max="7938" width="66.140625" style="124" customWidth="1"/>
    <col min="7939" max="8192" width="9.140625" style="124"/>
    <col min="8193" max="8194" width="66.140625" style="124" customWidth="1"/>
    <col min="8195" max="8448" width="9.140625" style="124"/>
    <col min="8449" max="8450" width="66.140625" style="124" customWidth="1"/>
    <col min="8451" max="8704" width="9.140625" style="124"/>
    <col min="8705" max="8706" width="66.140625" style="124" customWidth="1"/>
    <col min="8707" max="8960" width="9.140625" style="124"/>
    <col min="8961" max="8962" width="66.140625" style="124" customWidth="1"/>
    <col min="8963" max="9216" width="9.140625" style="124"/>
    <col min="9217" max="9218" width="66.140625" style="124" customWidth="1"/>
    <col min="9219" max="9472" width="9.140625" style="124"/>
    <col min="9473" max="9474" width="66.140625" style="124" customWidth="1"/>
    <col min="9475" max="9728" width="9.140625" style="124"/>
    <col min="9729" max="9730" width="66.140625" style="124" customWidth="1"/>
    <col min="9731" max="9984" width="9.140625" style="124"/>
    <col min="9985" max="9986" width="66.140625" style="124" customWidth="1"/>
    <col min="9987" max="10240" width="9.140625" style="124"/>
    <col min="10241" max="10242" width="66.140625" style="124" customWidth="1"/>
    <col min="10243" max="10496" width="9.140625" style="124"/>
    <col min="10497" max="10498" width="66.140625" style="124" customWidth="1"/>
    <col min="10499" max="10752" width="9.140625" style="124"/>
    <col min="10753" max="10754" width="66.140625" style="124" customWidth="1"/>
    <col min="10755" max="11008" width="9.140625" style="124"/>
    <col min="11009" max="11010" width="66.140625" style="124" customWidth="1"/>
    <col min="11011" max="11264" width="9.140625" style="124"/>
    <col min="11265" max="11266" width="66.140625" style="124" customWidth="1"/>
    <col min="11267" max="11520" width="9.140625" style="124"/>
    <col min="11521" max="11522" width="66.140625" style="124" customWidth="1"/>
    <col min="11523" max="11776" width="9.140625" style="124"/>
    <col min="11777" max="11778" width="66.140625" style="124" customWidth="1"/>
    <col min="11779" max="12032" width="9.140625" style="124"/>
    <col min="12033" max="12034" width="66.140625" style="124" customWidth="1"/>
    <col min="12035" max="12288" width="9.140625" style="124"/>
    <col min="12289" max="12290" width="66.140625" style="124" customWidth="1"/>
    <col min="12291" max="12544" width="9.140625" style="124"/>
    <col min="12545" max="12546" width="66.140625" style="124" customWidth="1"/>
    <col min="12547" max="12800" width="9.140625" style="124"/>
    <col min="12801" max="12802" width="66.140625" style="124" customWidth="1"/>
    <col min="12803" max="13056" width="9.140625" style="124"/>
    <col min="13057" max="13058" width="66.140625" style="124" customWidth="1"/>
    <col min="13059" max="13312" width="9.140625" style="124"/>
    <col min="13313" max="13314" width="66.140625" style="124" customWidth="1"/>
    <col min="13315" max="13568" width="9.140625" style="124"/>
    <col min="13569" max="13570" width="66.140625" style="124" customWidth="1"/>
    <col min="13571" max="13824" width="9.140625" style="124"/>
    <col min="13825" max="13826" width="66.140625" style="124" customWidth="1"/>
    <col min="13827" max="14080" width="9.140625" style="124"/>
    <col min="14081" max="14082" width="66.140625" style="124" customWidth="1"/>
    <col min="14083" max="14336" width="9.140625" style="124"/>
    <col min="14337" max="14338" width="66.140625" style="124" customWidth="1"/>
    <col min="14339" max="14592" width="9.140625" style="124"/>
    <col min="14593" max="14594" width="66.140625" style="124" customWidth="1"/>
    <col min="14595" max="14848" width="9.140625" style="124"/>
    <col min="14849" max="14850" width="66.140625" style="124" customWidth="1"/>
    <col min="14851" max="15104" width="9.140625" style="124"/>
    <col min="15105" max="15106" width="66.140625" style="124" customWidth="1"/>
    <col min="15107" max="15360" width="9.140625" style="124"/>
    <col min="15361" max="15362" width="66.140625" style="124" customWidth="1"/>
    <col min="15363" max="15616" width="9.140625" style="124"/>
    <col min="15617" max="15618" width="66.140625" style="124" customWidth="1"/>
    <col min="15619" max="15872" width="9.140625" style="124"/>
    <col min="15873" max="15874" width="66.140625" style="124" customWidth="1"/>
    <col min="15875" max="16128" width="9.140625" style="124"/>
    <col min="16129" max="16130" width="66.140625" style="124" customWidth="1"/>
    <col min="16131" max="16384" width="9.140625" style="124"/>
  </cols>
  <sheetData>
    <row r="1" spans="1:8" ht="18.75" x14ac:dyDescent="0.25">
      <c r="B1" s="39" t="s">
        <v>70</v>
      </c>
    </row>
    <row r="2" spans="1:8" ht="18.75" x14ac:dyDescent="0.3">
      <c r="B2" s="15" t="s">
        <v>11</v>
      </c>
    </row>
    <row r="3" spans="1:8" ht="18.75" x14ac:dyDescent="0.3">
      <c r="B3" s="15" t="s">
        <v>490</v>
      </c>
    </row>
    <row r="4" spans="1:8" x14ac:dyDescent="0.25">
      <c r="B4" s="44"/>
    </row>
    <row r="5" spans="1:8" ht="18.75" x14ac:dyDescent="0.3">
      <c r="A5" s="389" t="str">
        <f>'1. паспорт местоположение'!A5:C5</f>
        <v>Год раскрытия информации: 2016 год</v>
      </c>
      <c r="B5" s="389"/>
      <c r="C5" s="90"/>
      <c r="D5" s="90"/>
      <c r="E5" s="90"/>
      <c r="F5" s="90"/>
      <c r="G5" s="90"/>
      <c r="H5" s="90"/>
    </row>
    <row r="6" spans="1:8" ht="18.75" x14ac:dyDescent="0.3">
      <c r="A6" s="158"/>
      <c r="B6" s="158"/>
      <c r="C6" s="158"/>
      <c r="D6" s="158"/>
      <c r="E6" s="158"/>
      <c r="F6" s="158"/>
      <c r="G6" s="158"/>
      <c r="H6" s="158"/>
    </row>
    <row r="7" spans="1:8" ht="18.75" x14ac:dyDescent="0.25">
      <c r="A7" s="284" t="s">
        <v>10</v>
      </c>
      <c r="B7" s="284"/>
      <c r="C7" s="157"/>
      <c r="D7" s="157"/>
      <c r="E7" s="157"/>
      <c r="F7" s="157"/>
      <c r="G7" s="157"/>
      <c r="H7" s="157"/>
    </row>
    <row r="8" spans="1:8" ht="18.75" x14ac:dyDescent="0.25">
      <c r="A8" s="157"/>
      <c r="B8" s="157"/>
      <c r="C8" s="157"/>
      <c r="D8" s="157"/>
      <c r="E8" s="157"/>
      <c r="F8" s="157"/>
      <c r="G8" s="157"/>
      <c r="H8" s="157"/>
    </row>
    <row r="9" spans="1:8" x14ac:dyDescent="0.25">
      <c r="A9" s="289" t="str">
        <f>'1. паспорт местоположение'!A9:C9</f>
        <v>АО "Янтарьэнерго"</v>
      </c>
      <c r="B9" s="289"/>
      <c r="C9" s="155"/>
      <c r="D9" s="155"/>
      <c r="E9" s="155"/>
      <c r="F9" s="155"/>
      <c r="G9" s="155"/>
      <c r="H9" s="155"/>
    </row>
    <row r="10" spans="1:8" x14ac:dyDescent="0.25">
      <c r="A10" s="281" t="s">
        <v>9</v>
      </c>
      <c r="B10" s="281"/>
      <c r="C10" s="156"/>
      <c r="D10" s="156"/>
      <c r="E10" s="156"/>
      <c r="F10" s="156"/>
      <c r="G10" s="156"/>
      <c r="H10" s="156"/>
    </row>
    <row r="11" spans="1:8" ht="18.75" x14ac:dyDescent="0.25">
      <c r="A11" s="157"/>
      <c r="B11" s="157"/>
      <c r="C11" s="157"/>
      <c r="D11" s="157"/>
      <c r="E11" s="157"/>
      <c r="F11" s="157"/>
      <c r="G11" s="157"/>
      <c r="H11" s="157"/>
    </row>
    <row r="12" spans="1:8" ht="30.75" customHeight="1" x14ac:dyDescent="0.25">
      <c r="A12" s="289" t="str">
        <f>'1. паспорт местоположение'!A12:C12</f>
        <v>prj_111001_2498</v>
      </c>
      <c r="B12" s="289"/>
      <c r="C12" s="155"/>
      <c r="D12" s="155"/>
      <c r="E12" s="155"/>
      <c r="F12" s="155"/>
      <c r="G12" s="155"/>
      <c r="H12" s="155"/>
    </row>
    <row r="13" spans="1:8" x14ac:dyDescent="0.25">
      <c r="A13" s="281" t="s">
        <v>8</v>
      </c>
      <c r="B13" s="281"/>
      <c r="C13" s="156"/>
      <c r="D13" s="156"/>
      <c r="E13" s="156"/>
      <c r="F13" s="156"/>
      <c r="G13" s="156"/>
      <c r="H13" s="156"/>
    </row>
    <row r="14" spans="1:8" ht="18.75" x14ac:dyDescent="0.25">
      <c r="A14" s="11"/>
      <c r="B14" s="11"/>
      <c r="C14" s="11"/>
      <c r="D14" s="11"/>
      <c r="E14" s="11"/>
      <c r="F14" s="11"/>
      <c r="G14" s="11"/>
      <c r="H14" s="11"/>
    </row>
    <row r="15" spans="1:8" ht="63.75" customHeight="1" x14ac:dyDescent="0.25">
      <c r="A15" s="318" t="str">
        <f>'1. паспорт местоположение'!A15:C15</f>
        <v>Строительство ПС 110/10кВ Береговая с заходами 4-х КЛ 110 кВ от ПС 110 кВ Береговая на ВЛ 110 кВ № 115/116 (ПС Центральная - ПС Московская/ ПС Центральная - ПС Северная), г. Калининград</v>
      </c>
      <c r="B15" s="318"/>
      <c r="C15" s="155"/>
      <c r="D15" s="155"/>
      <c r="E15" s="155"/>
      <c r="F15" s="155"/>
      <c r="G15" s="155"/>
      <c r="H15" s="155"/>
    </row>
    <row r="16" spans="1:8" x14ac:dyDescent="0.25">
      <c r="A16" s="281" t="s">
        <v>7</v>
      </c>
      <c r="B16" s="281"/>
      <c r="C16" s="156"/>
      <c r="D16" s="156"/>
      <c r="E16" s="156"/>
      <c r="F16" s="156"/>
      <c r="G16" s="156"/>
      <c r="H16" s="156"/>
    </row>
    <row r="17" spans="1:2" x14ac:dyDescent="0.25">
      <c r="B17" s="125"/>
    </row>
    <row r="18" spans="1:2" ht="33.75" customHeight="1" x14ac:dyDescent="0.25">
      <c r="A18" s="387" t="s">
        <v>473</v>
      </c>
      <c r="B18" s="388"/>
    </row>
    <row r="19" spans="1:2" x14ac:dyDescent="0.25">
      <c r="B19" s="44"/>
    </row>
    <row r="20" spans="1:2" ht="16.5" thickBot="1" x14ac:dyDescent="0.3">
      <c r="B20" s="126"/>
    </row>
    <row r="21" spans="1:2" ht="45.75" thickBot="1" x14ac:dyDescent="0.3">
      <c r="A21" s="127" t="s">
        <v>366</v>
      </c>
      <c r="B21" s="255" t="str">
        <f>A15</f>
        <v>Строительство ПС 110/10кВ Береговая с заходами 4-х КЛ 110 кВ от ПС 110 кВ Береговая на ВЛ 110 кВ № 115/116 (ПС Центральная - ПС Московская/ ПС Центральная - ПС Северная), г. Калининград</v>
      </c>
    </row>
    <row r="22" spans="1:2" ht="16.5" thickBot="1" x14ac:dyDescent="0.3">
      <c r="A22" s="127" t="s">
        <v>367</v>
      </c>
      <c r="B22" s="255" t="str">
        <f>'1. паспорт местоположение'!C27</f>
        <v>г.Калининград</v>
      </c>
    </row>
    <row r="23" spans="1:2" ht="16.5" thickBot="1" x14ac:dyDescent="0.3">
      <c r="A23" s="127" t="s">
        <v>333</v>
      </c>
      <c r="B23" s="129" t="s">
        <v>545</v>
      </c>
    </row>
    <row r="24" spans="1:2" ht="16.5" thickBot="1" x14ac:dyDescent="0.3">
      <c r="A24" s="127" t="s">
        <v>368</v>
      </c>
      <c r="B24" s="129" t="s">
        <v>556</v>
      </c>
    </row>
    <row r="25" spans="1:2" ht="16.5" thickBot="1" x14ac:dyDescent="0.3">
      <c r="A25" s="130" t="s">
        <v>369</v>
      </c>
      <c r="B25" s="128" t="s">
        <v>515</v>
      </c>
    </row>
    <row r="26" spans="1:2" ht="16.5" thickBot="1" x14ac:dyDescent="0.3">
      <c r="A26" s="131" t="s">
        <v>370</v>
      </c>
      <c r="B26" s="256" t="str">
        <f>'3.3 паспорт описание'!C30</f>
        <v>строительство</v>
      </c>
    </row>
    <row r="27" spans="1:2" ht="29.25" thickBot="1" x14ac:dyDescent="0.3">
      <c r="A27" s="138" t="s">
        <v>548</v>
      </c>
      <c r="B27" s="407">
        <v>1109.7439999999999</v>
      </c>
    </row>
    <row r="28" spans="1:2" ht="16.5" thickBot="1" x14ac:dyDescent="0.3">
      <c r="A28" s="133" t="s">
        <v>371</v>
      </c>
      <c r="B28" s="133" t="s">
        <v>557</v>
      </c>
    </row>
    <row r="29" spans="1:2" ht="29.25" thickBot="1" x14ac:dyDescent="0.3">
      <c r="A29" s="139" t="s">
        <v>372</v>
      </c>
      <c r="B29" s="133"/>
    </row>
    <row r="30" spans="1:2" ht="29.25" thickBot="1" x14ac:dyDescent="0.3">
      <c r="A30" s="139" t="s">
        <v>373</v>
      </c>
      <c r="B30" s="133"/>
    </row>
    <row r="31" spans="1:2" ht="16.5" thickBot="1" x14ac:dyDescent="0.3">
      <c r="A31" s="133" t="s">
        <v>374</v>
      </c>
      <c r="B31" s="133"/>
    </row>
    <row r="32" spans="1:2" ht="29.25" thickBot="1" x14ac:dyDescent="0.3">
      <c r="A32" s="410" t="s">
        <v>570</v>
      </c>
      <c r="B32" s="133"/>
    </row>
    <row r="33" spans="1:2" ht="16.5" thickBot="1" x14ac:dyDescent="0.3">
      <c r="A33" s="133" t="s">
        <v>571</v>
      </c>
      <c r="B33" s="133">
        <f>1030730000/1000000</f>
        <v>1030.73</v>
      </c>
    </row>
    <row r="34" spans="1:2" ht="16.5" thickBot="1" x14ac:dyDescent="0.3">
      <c r="A34" s="133" t="s">
        <v>377</v>
      </c>
      <c r="B34" s="133"/>
    </row>
    <row r="35" spans="1:2" ht="16.5" thickBot="1" x14ac:dyDescent="0.3">
      <c r="A35" s="133" t="s">
        <v>378</v>
      </c>
      <c r="B35" s="133"/>
    </row>
    <row r="36" spans="1:2" ht="16.5" thickBot="1" x14ac:dyDescent="0.3">
      <c r="A36" s="133" t="s">
        <v>379</v>
      </c>
      <c r="B36" s="133"/>
    </row>
    <row r="37" spans="1:2" ht="29.25" thickBot="1" x14ac:dyDescent="0.3">
      <c r="A37" s="139" t="s">
        <v>375</v>
      </c>
      <c r="B37" s="133"/>
    </row>
    <row r="38" spans="1:2" ht="16.5" thickBot="1" x14ac:dyDescent="0.3">
      <c r="A38" s="133" t="s">
        <v>376</v>
      </c>
      <c r="B38" s="133"/>
    </row>
    <row r="39" spans="1:2" ht="16.5" thickBot="1" x14ac:dyDescent="0.3">
      <c r="A39" s="133" t="s">
        <v>377</v>
      </c>
      <c r="B39" s="133"/>
    </row>
    <row r="40" spans="1:2" ht="16.5" thickBot="1" x14ac:dyDescent="0.3">
      <c r="A40" s="133" t="s">
        <v>378</v>
      </c>
      <c r="B40" s="133"/>
    </row>
    <row r="41" spans="1:2" ht="16.5" thickBot="1" x14ac:dyDescent="0.3">
      <c r="A41" s="133" t="s">
        <v>379</v>
      </c>
      <c r="B41" s="133"/>
    </row>
    <row r="42" spans="1:2" ht="29.25" thickBot="1" x14ac:dyDescent="0.3">
      <c r="A42" s="139" t="s">
        <v>380</v>
      </c>
      <c r="B42" s="133"/>
    </row>
    <row r="43" spans="1:2" ht="16.5" thickBot="1" x14ac:dyDescent="0.3">
      <c r="A43" s="133" t="s">
        <v>376</v>
      </c>
      <c r="B43" s="133"/>
    </row>
    <row r="44" spans="1:2" ht="16.5" thickBot="1" x14ac:dyDescent="0.3">
      <c r="A44" s="133" t="s">
        <v>377</v>
      </c>
      <c r="B44" s="133"/>
    </row>
    <row r="45" spans="1:2" ht="16.5" thickBot="1" x14ac:dyDescent="0.3">
      <c r="A45" s="133" t="s">
        <v>378</v>
      </c>
      <c r="B45" s="133"/>
    </row>
    <row r="46" spans="1:2" ht="16.5" thickBot="1" x14ac:dyDescent="0.3">
      <c r="A46" s="133" t="s">
        <v>379</v>
      </c>
      <c r="B46" s="133"/>
    </row>
    <row r="47" spans="1:2" ht="29.25" thickBot="1" x14ac:dyDescent="0.3">
      <c r="A47" s="410" t="s">
        <v>572</v>
      </c>
      <c r="B47" s="133"/>
    </row>
    <row r="48" spans="1:2" ht="16.5" thickBot="1" x14ac:dyDescent="0.3">
      <c r="A48" s="133" t="s">
        <v>573</v>
      </c>
      <c r="B48" s="407">
        <f>1860775.42*1.18/1000000</f>
        <v>2.1957149955999999</v>
      </c>
    </row>
    <row r="49" spans="1:2" ht="16.5" thickBot="1" x14ac:dyDescent="0.3">
      <c r="A49" s="133" t="s">
        <v>377</v>
      </c>
      <c r="B49" s="133"/>
    </row>
    <row r="50" spans="1:2" ht="16.5" thickBot="1" x14ac:dyDescent="0.3">
      <c r="A50" s="133" t="s">
        <v>378</v>
      </c>
      <c r="B50" s="133"/>
    </row>
    <row r="51" spans="1:2" ht="16.5" thickBot="1" x14ac:dyDescent="0.3">
      <c r="A51" s="133" t="s">
        <v>379</v>
      </c>
      <c r="B51" s="133"/>
    </row>
    <row r="52" spans="1:2" ht="29.25" thickBot="1" x14ac:dyDescent="0.3">
      <c r="A52" s="132" t="s">
        <v>381</v>
      </c>
      <c r="B52" s="140"/>
    </row>
    <row r="53" spans="1:2" ht="16.5" thickBot="1" x14ac:dyDescent="0.3">
      <c r="A53" s="134" t="s">
        <v>374</v>
      </c>
      <c r="B53" s="140"/>
    </row>
    <row r="54" spans="1:2" ht="16.5" thickBot="1" x14ac:dyDescent="0.3">
      <c r="A54" s="134" t="s">
        <v>382</v>
      </c>
      <c r="B54" s="140"/>
    </row>
    <row r="55" spans="1:2" ht="16.5" thickBot="1" x14ac:dyDescent="0.3">
      <c r="A55" s="134" t="s">
        <v>383</v>
      </c>
      <c r="B55" s="140"/>
    </row>
    <row r="56" spans="1:2" ht="16.5" thickBot="1" x14ac:dyDescent="0.3">
      <c r="A56" s="134" t="s">
        <v>384</v>
      </c>
      <c r="B56" s="140"/>
    </row>
    <row r="57" spans="1:2" ht="16.5" thickBot="1" x14ac:dyDescent="0.3">
      <c r="A57" s="130" t="s">
        <v>385</v>
      </c>
      <c r="B57" s="141"/>
    </row>
    <row r="58" spans="1:2" ht="16.5" thickBot="1" x14ac:dyDescent="0.3">
      <c r="A58" s="130" t="s">
        <v>386</v>
      </c>
      <c r="B58" s="408">
        <f>259.324531155071+'6.2. Паспорт фин осв ввод'!J24</f>
        <v>312.23864005987099</v>
      </c>
    </row>
    <row r="59" spans="1:2" ht="16.5" thickBot="1" x14ac:dyDescent="0.3">
      <c r="A59" s="130" t="s">
        <v>387</v>
      </c>
      <c r="B59" s="141"/>
    </row>
    <row r="60" spans="1:2" ht="16.5" thickBot="1" x14ac:dyDescent="0.3">
      <c r="A60" s="131" t="s">
        <v>388</v>
      </c>
      <c r="B60" s="409">
        <f>45.02225869+'6.2. Паспорт фин осв ввод'!J30</f>
        <v>100.07977195000001</v>
      </c>
    </row>
    <row r="61" spans="1:2" x14ac:dyDescent="0.25">
      <c r="A61" s="132" t="s">
        <v>389</v>
      </c>
      <c r="B61" s="384" t="s">
        <v>569</v>
      </c>
    </row>
    <row r="62" spans="1:2" x14ac:dyDescent="0.25">
      <c r="A62" s="136" t="s">
        <v>390</v>
      </c>
      <c r="B62" s="385"/>
    </row>
    <row r="63" spans="1:2" x14ac:dyDescent="0.25">
      <c r="A63" s="136" t="s">
        <v>391</v>
      </c>
      <c r="B63" s="385"/>
    </row>
    <row r="64" spans="1:2" x14ac:dyDescent="0.25">
      <c r="A64" s="136" t="s">
        <v>392</v>
      </c>
      <c r="B64" s="385"/>
    </row>
    <row r="65" spans="1:2" x14ac:dyDescent="0.25">
      <c r="A65" s="136" t="s">
        <v>393</v>
      </c>
      <c r="B65" s="385"/>
    </row>
    <row r="66" spans="1:2" ht="16.5" thickBot="1" x14ac:dyDescent="0.3">
      <c r="A66" s="137" t="s">
        <v>394</v>
      </c>
      <c r="B66" s="386"/>
    </row>
    <row r="67" spans="1:2" ht="30.75" thickBot="1" x14ac:dyDescent="0.3">
      <c r="A67" s="134" t="s">
        <v>395</v>
      </c>
      <c r="B67" s="135"/>
    </row>
    <row r="68" spans="1:2" ht="29.25" thickBot="1" x14ac:dyDescent="0.3">
      <c r="A68" s="130" t="s">
        <v>396</v>
      </c>
      <c r="B68" s="135"/>
    </row>
    <row r="69" spans="1:2" ht="16.5" thickBot="1" x14ac:dyDescent="0.3">
      <c r="A69" s="134" t="s">
        <v>374</v>
      </c>
      <c r="B69" s="142"/>
    </row>
    <row r="70" spans="1:2" ht="16.5" thickBot="1" x14ac:dyDescent="0.3">
      <c r="A70" s="134" t="s">
        <v>397</v>
      </c>
      <c r="B70" s="135"/>
    </row>
    <row r="71" spans="1:2" ht="16.5" thickBot="1" x14ac:dyDescent="0.3">
      <c r="A71" s="134" t="s">
        <v>398</v>
      </c>
      <c r="B71" s="142"/>
    </row>
    <row r="72" spans="1:2" ht="30.75" thickBot="1" x14ac:dyDescent="0.3">
      <c r="A72" s="143" t="s">
        <v>399</v>
      </c>
      <c r="B72" s="159" t="s">
        <v>400</v>
      </c>
    </row>
    <row r="73" spans="1:2" ht="16.5" thickBot="1" x14ac:dyDescent="0.3">
      <c r="A73" s="130" t="s">
        <v>401</v>
      </c>
      <c r="B73" s="141"/>
    </row>
    <row r="74" spans="1:2" ht="16.5" thickBot="1" x14ac:dyDescent="0.3">
      <c r="A74" s="136" t="s">
        <v>402</v>
      </c>
      <c r="B74" s="144"/>
    </row>
    <row r="75" spans="1:2" ht="16.5" thickBot="1" x14ac:dyDescent="0.3">
      <c r="A75" s="136" t="s">
        <v>403</v>
      </c>
      <c r="B75" s="144"/>
    </row>
    <row r="76" spans="1:2" ht="16.5" thickBot="1" x14ac:dyDescent="0.3">
      <c r="A76" s="136" t="s">
        <v>404</v>
      </c>
      <c r="B76" s="144"/>
    </row>
    <row r="77" spans="1:2" ht="45.75" thickBot="1" x14ac:dyDescent="0.3">
      <c r="A77" s="145" t="s">
        <v>405</v>
      </c>
      <c r="B77" s="142" t="s">
        <v>406</v>
      </c>
    </row>
    <row r="78" spans="1:2" ht="28.5" x14ac:dyDescent="0.25">
      <c r="A78" s="132" t="s">
        <v>407</v>
      </c>
      <c r="B78" s="384" t="s">
        <v>408</v>
      </c>
    </row>
    <row r="79" spans="1:2" x14ac:dyDescent="0.25">
      <c r="A79" s="136" t="s">
        <v>409</v>
      </c>
      <c r="B79" s="385"/>
    </row>
    <row r="80" spans="1:2" x14ac:dyDescent="0.25">
      <c r="A80" s="136" t="s">
        <v>410</v>
      </c>
      <c r="B80" s="385"/>
    </row>
    <row r="81" spans="1:2" x14ac:dyDescent="0.25">
      <c r="A81" s="136" t="s">
        <v>411</v>
      </c>
      <c r="B81" s="385"/>
    </row>
    <row r="82" spans="1:2" x14ac:dyDescent="0.25">
      <c r="A82" s="136" t="s">
        <v>412</v>
      </c>
      <c r="B82" s="385"/>
    </row>
    <row r="83" spans="1:2" ht="16.5" thickBot="1" x14ac:dyDescent="0.3">
      <c r="A83" s="146" t="s">
        <v>413</v>
      </c>
      <c r="B83" s="386"/>
    </row>
    <row r="86" spans="1:2" x14ac:dyDescent="0.25">
      <c r="A86" s="147"/>
      <c r="B86" s="148"/>
    </row>
    <row r="87" spans="1:2" x14ac:dyDescent="0.25">
      <c r="B87" s="149"/>
    </row>
    <row r="88" spans="1:2" x14ac:dyDescent="0.25">
      <c r="B88" s="150"/>
    </row>
  </sheetData>
  <mergeCells count="11">
    <mergeCell ref="A5:B5"/>
    <mergeCell ref="A7:B7"/>
    <mergeCell ref="A9:B9"/>
    <mergeCell ref="A10:B10"/>
    <mergeCell ref="A12:B12"/>
    <mergeCell ref="B78:B83"/>
    <mergeCell ref="A13:B13"/>
    <mergeCell ref="A15:B15"/>
    <mergeCell ref="A16:B16"/>
    <mergeCell ref="A18:B18"/>
    <mergeCell ref="B61:B66"/>
  </mergeCells>
  <pageMargins left="0.70866141732283472" right="0.70866141732283472" top="0.74803149606299213" bottom="0.74803149606299213" header="0.31496062992125984" footer="0.31496062992125984"/>
  <pageSetup paperSize="8" scale="67"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6" zoomScale="80" zoomScaleSheetLayoutView="8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88" t="str">
        <f>'1. паспорт местоположение'!A5:C5</f>
        <v>Год раскрытия информации: 2016 год</v>
      </c>
      <c r="B4" s="288"/>
      <c r="C4" s="288"/>
      <c r="D4" s="288"/>
      <c r="E4" s="288"/>
      <c r="F4" s="288"/>
      <c r="G4" s="288"/>
      <c r="H4" s="288"/>
      <c r="I4" s="288"/>
      <c r="J4" s="288"/>
      <c r="K4" s="288"/>
      <c r="L4" s="288"/>
      <c r="M4" s="288"/>
      <c r="N4" s="288"/>
      <c r="O4" s="288"/>
      <c r="P4" s="288"/>
      <c r="Q4" s="288"/>
      <c r="R4" s="288"/>
      <c r="S4" s="288"/>
    </row>
    <row r="5" spans="1:28" s="12" customFormat="1" ht="15.75" x14ac:dyDescent="0.2">
      <c r="A5" s="17"/>
    </row>
    <row r="6" spans="1:28" s="12" customFormat="1" ht="18.75" x14ac:dyDescent="0.2">
      <c r="A6" s="284" t="s">
        <v>10</v>
      </c>
      <c r="B6" s="284"/>
      <c r="C6" s="284"/>
      <c r="D6" s="284"/>
      <c r="E6" s="284"/>
      <c r="F6" s="284"/>
      <c r="G6" s="284"/>
      <c r="H6" s="284"/>
      <c r="I6" s="284"/>
      <c r="J6" s="284"/>
      <c r="K6" s="284"/>
      <c r="L6" s="284"/>
      <c r="M6" s="284"/>
      <c r="N6" s="284"/>
      <c r="O6" s="284"/>
      <c r="P6" s="284"/>
      <c r="Q6" s="284"/>
      <c r="R6" s="284"/>
      <c r="S6" s="284"/>
      <c r="T6" s="13"/>
      <c r="U6" s="13"/>
      <c r="V6" s="13"/>
      <c r="W6" s="13"/>
      <c r="X6" s="13"/>
      <c r="Y6" s="13"/>
      <c r="Z6" s="13"/>
      <c r="AA6" s="13"/>
      <c r="AB6" s="13"/>
    </row>
    <row r="7" spans="1:28" s="12" customFormat="1" ht="18.75" x14ac:dyDescent="0.2">
      <c r="A7" s="284"/>
      <c r="B7" s="284"/>
      <c r="C7" s="284"/>
      <c r="D7" s="284"/>
      <c r="E7" s="284"/>
      <c r="F7" s="284"/>
      <c r="G7" s="284"/>
      <c r="H7" s="284"/>
      <c r="I7" s="284"/>
      <c r="J7" s="284"/>
      <c r="K7" s="284"/>
      <c r="L7" s="284"/>
      <c r="M7" s="284"/>
      <c r="N7" s="284"/>
      <c r="O7" s="284"/>
      <c r="P7" s="284"/>
      <c r="Q7" s="284"/>
      <c r="R7" s="284"/>
      <c r="S7" s="284"/>
      <c r="T7" s="13"/>
      <c r="U7" s="13"/>
      <c r="V7" s="13"/>
      <c r="W7" s="13"/>
      <c r="X7" s="13"/>
      <c r="Y7" s="13"/>
      <c r="Z7" s="13"/>
      <c r="AA7" s="13"/>
      <c r="AB7" s="13"/>
    </row>
    <row r="8" spans="1:28" s="12" customFormat="1" ht="18.75" x14ac:dyDescent="0.2">
      <c r="A8" s="289" t="str">
        <f>'1. паспорт местоположение'!A9:C9</f>
        <v>АО "Янтарьэнерго"</v>
      </c>
      <c r="B8" s="289"/>
      <c r="C8" s="289"/>
      <c r="D8" s="289"/>
      <c r="E8" s="289"/>
      <c r="F8" s="289"/>
      <c r="G8" s="289"/>
      <c r="H8" s="289"/>
      <c r="I8" s="289"/>
      <c r="J8" s="289"/>
      <c r="K8" s="289"/>
      <c r="L8" s="289"/>
      <c r="M8" s="289"/>
      <c r="N8" s="289"/>
      <c r="O8" s="289"/>
      <c r="P8" s="289"/>
      <c r="Q8" s="289"/>
      <c r="R8" s="289"/>
      <c r="S8" s="289"/>
      <c r="T8" s="13"/>
      <c r="U8" s="13"/>
      <c r="V8" s="13"/>
      <c r="W8" s="13"/>
      <c r="X8" s="13"/>
      <c r="Y8" s="13"/>
      <c r="Z8" s="13"/>
      <c r="AA8" s="13"/>
      <c r="AB8" s="13"/>
    </row>
    <row r="9" spans="1:28" s="12" customFormat="1" ht="18.75" x14ac:dyDescent="0.2">
      <c r="A9" s="281" t="s">
        <v>9</v>
      </c>
      <c r="B9" s="281"/>
      <c r="C9" s="281"/>
      <c r="D9" s="281"/>
      <c r="E9" s="281"/>
      <c r="F9" s="281"/>
      <c r="G9" s="281"/>
      <c r="H9" s="281"/>
      <c r="I9" s="281"/>
      <c r="J9" s="281"/>
      <c r="K9" s="281"/>
      <c r="L9" s="281"/>
      <c r="M9" s="281"/>
      <c r="N9" s="281"/>
      <c r="O9" s="281"/>
      <c r="P9" s="281"/>
      <c r="Q9" s="281"/>
      <c r="R9" s="281"/>
      <c r="S9" s="281"/>
      <c r="T9" s="13"/>
      <c r="U9" s="13"/>
      <c r="V9" s="13"/>
      <c r="W9" s="13"/>
      <c r="X9" s="13"/>
      <c r="Y9" s="13"/>
      <c r="Z9" s="13"/>
      <c r="AA9" s="13"/>
      <c r="AB9" s="13"/>
    </row>
    <row r="10" spans="1:28" s="12" customFormat="1" ht="18.75" x14ac:dyDescent="0.2">
      <c r="A10" s="284"/>
      <c r="B10" s="284"/>
      <c r="C10" s="284"/>
      <c r="D10" s="284"/>
      <c r="E10" s="284"/>
      <c r="F10" s="284"/>
      <c r="G10" s="284"/>
      <c r="H10" s="284"/>
      <c r="I10" s="284"/>
      <c r="J10" s="284"/>
      <c r="K10" s="284"/>
      <c r="L10" s="284"/>
      <c r="M10" s="284"/>
      <c r="N10" s="284"/>
      <c r="O10" s="284"/>
      <c r="P10" s="284"/>
      <c r="Q10" s="284"/>
      <c r="R10" s="284"/>
      <c r="S10" s="284"/>
      <c r="T10" s="13"/>
      <c r="U10" s="13"/>
      <c r="V10" s="13"/>
      <c r="W10" s="13"/>
      <c r="X10" s="13"/>
      <c r="Y10" s="13"/>
      <c r="Z10" s="13"/>
      <c r="AA10" s="13"/>
      <c r="AB10" s="13"/>
    </row>
    <row r="11" spans="1:28" s="12" customFormat="1" ht="18.75" x14ac:dyDescent="0.2">
      <c r="A11" s="289" t="str">
        <f>'1. паспорт местоположение'!A12:C12</f>
        <v>prj_111001_2498</v>
      </c>
      <c r="B11" s="289"/>
      <c r="C11" s="289"/>
      <c r="D11" s="289"/>
      <c r="E11" s="289"/>
      <c r="F11" s="289"/>
      <c r="G11" s="289"/>
      <c r="H11" s="289"/>
      <c r="I11" s="289"/>
      <c r="J11" s="289"/>
      <c r="K11" s="289"/>
      <c r="L11" s="289"/>
      <c r="M11" s="289"/>
      <c r="N11" s="289"/>
      <c r="O11" s="289"/>
      <c r="P11" s="289"/>
      <c r="Q11" s="289"/>
      <c r="R11" s="289"/>
      <c r="S11" s="289"/>
      <c r="T11" s="13"/>
      <c r="U11" s="13"/>
      <c r="V11" s="13"/>
      <c r="W11" s="13"/>
      <c r="X11" s="13"/>
      <c r="Y11" s="13"/>
      <c r="Z11" s="13"/>
      <c r="AA11" s="13"/>
      <c r="AB11" s="13"/>
    </row>
    <row r="12" spans="1:28" s="12" customFormat="1" ht="18.75" x14ac:dyDescent="0.2">
      <c r="A12" s="281" t="s">
        <v>8</v>
      </c>
      <c r="B12" s="281"/>
      <c r="C12" s="281"/>
      <c r="D12" s="281"/>
      <c r="E12" s="281"/>
      <c r="F12" s="281"/>
      <c r="G12" s="281"/>
      <c r="H12" s="281"/>
      <c r="I12" s="281"/>
      <c r="J12" s="281"/>
      <c r="K12" s="281"/>
      <c r="L12" s="281"/>
      <c r="M12" s="281"/>
      <c r="N12" s="281"/>
      <c r="O12" s="281"/>
      <c r="P12" s="281"/>
      <c r="Q12" s="281"/>
      <c r="R12" s="281"/>
      <c r="S12" s="281"/>
      <c r="T12" s="13"/>
      <c r="U12" s="13"/>
      <c r="V12" s="13"/>
      <c r="W12" s="13"/>
      <c r="X12" s="13"/>
      <c r="Y12" s="13"/>
      <c r="Z12" s="13"/>
      <c r="AA12" s="13"/>
      <c r="AB12" s="13"/>
    </row>
    <row r="13" spans="1:28" s="9" customFormat="1" ht="15.75" customHeight="1" x14ac:dyDescent="0.2">
      <c r="A13" s="293"/>
      <c r="B13" s="293"/>
      <c r="C13" s="293"/>
      <c r="D13" s="293"/>
      <c r="E13" s="293"/>
      <c r="F13" s="293"/>
      <c r="G13" s="293"/>
      <c r="H13" s="293"/>
      <c r="I13" s="293"/>
      <c r="J13" s="293"/>
      <c r="K13" s="293"/>
      <c r="L13" s="293"/>
      <c r="M13" s="293"/>
      <c r="N13" s="293"/>
      <c r="O13" s="293"/>
      <c r="P13" s="293"/>
      <c r="Q13" s="293"/>
      <c r="R13" s="293"/>
      <c r="S13" s="293"/>
      <c r="T13" s="10"/>
      <c r="U13" s="10"/>
      <c r="V13" s="10"/>
      <c r="W13" s="10"/>
      <c r="X13" s="10"/>
      <c r="Y13" s="10"/>
      <c r="Z13" s="10"/>
      <c r="AA13" s="10"/>
      <c r="AB13" s="10"/>
    </row>
    <row r="14" spans="1:28" s="3" customFormat="1" ht="15.75" x14ac:dyDescent="0.2">
      <c r="A14" s="289" t="str">
        <f>'1. паспорт местоположение'!A15:C15</f>
        <v>Строительство ПС 110/10кВ Береговая с заходами 4-х КЛ 110 кВ от ПС 110 кВ Береговая на ВЛ 110 кВ № 115/116 (ПС Центральная - ПС Московская/ ПС Центральная - ПС Северная), г. Калининград</v>
      </c>
      <c r="B14" s="289"/>
      <c r="C14" s="289"/>
      <c r="D14" s="289"/>
      <c r="E14" s="289"/>
      <c r="F14" s="289"/>
      <c r="G14" s="289"/>
      <c r="H14" s="289"/>
      <c r="I14" s="289"/>
      <c r="J14" s="289"/>
      <c r="K14" s="289"/>
      <c r="L14" s="289"/>
      <c r="M14" s="289"/>
      <c r="N14" s="289"/>
      <c r="O14" s="289"/>
      <c r="P14" s="289"/>
      <c r="Q14" s="289"/>
      <c r="R14" s="289"/>
      <c r="S14" s="289"/>
      <c r="T14" s="8"/>
      <c r="U14" s="8"/>
      <c r="V14" s="8"/>
      <c r="W14" s="8"/>
      <c r="X14" s="8"/>
      <c r="Y14" s="8"/>
      <c r="Z14" s="8"/>
      <c r="AA14" s="8"/>
      <c r="AB14" s="8"/>
    </row>
    <row r="15" spans="1:28" s="3" customFormat="1" ht="15" customHeight="1" x14ac:dyDescent="0.2">
      <c r="A15" s="281" t="s">
        <v>7</v>
      </c>
      <c r="B15" s="281"/>
      <c r="C15" s="281"/>
      <c r="D15" s="281"/>
      <c r="E15" s="281"/>
      <c r="F15" s="281"/>
      <c r="G15" s="281"/>
      <c r="H15" s="281"/>
      <c r="I15" s="281"/>
      <c r="J15" s="281"/>
      <c r="K15" s="281"/>
      <c r="L15" s="281"/>
      <c r="M15" s="281"/>
      <c r="N15" s="281"/>
      <c r="O15" s="281"/>
      <c r="P15" s="281"/>
      <c r="Q15" s="281"/>
      <c r="R15" s="281"/>
      <c r="S15" s="281"/>
      <c r="T15" s="6"/>
      <c r="U15" s="6"/>
      <c r="V15" s="6"/>
      <c r="W15" s="6"/>
      <c r="X15" s="6"/>
      <c r="Y15" s="6"/>
      <c r="Z15" s="6"/>
      <c r="AA15" s="6"/>
      <c r="AB15" s="6"/>
    </row>
    <row r="16" spans="1:28" s="3" customFormat="1" ht="15" customHeight="1" x14ac:dyDescent="0.2">
      <c r="A16" s="294"/>
      <c r="B16" s="294"/>
      <c r="C16" s="294"/>
      <c r="D16" s="294"/>
      <c r="E16" s="294"/>
      <c r="F16" s="294"/>
      <c r="G16" s="294"/>
      <c r="H16" s="294"/>
      <c r="I16" s="294"/>
      <c r="J16" s="294"/>
      <c r="K16" s="294"/>
      <c r="L16" s="294"/>
      <c r="M16" s="294"/>
      <c r="N16" s="294"/>
      <c r="O16" s="294"/>
      <c r="P16" s="294"/>
      <c r="Q16" s="294"/>
      <c r="R16" s="294"/>
      <c r="S16" s="294"/>
      <c r="T16" s="4"/>
      <c r="U16" s="4"/>
      <c r="V16" s="4"/>
      <c r="W16" s="4"/>
      <c r="X16" s="4"/>
      <c r="Y16" s="4"/>
    </row>
    <row r="17" spans="1:28" s="3" customFormat="1" ht="45.75" customHeight="1" x14ac:dyDescent="0.2">
      <c r="A17" s="282" t="s">
        <v>448</v>
      </c>
      <c r="B17" s="282"/>
      <c r="C17" s="282"/>
      <c r="D17" s="282"/>
      <c r="E17" s="282"/>
      <c r="F17" s="282"/>
      <c r="G17" s="282"/>
      <c r="H17" s="282"/>
      <c r="I17" s="282"/>
      <c r="J17" s="282"/>
      <c r="K17" s="282"/>
      <c r="L17" s="282"/>
      <c r="M17" s="282"/>
      <c r="N17" s="282"/>
      <c r="O17" s="282"/>
      <c r="P17" s="282"/>
      <c r="Q17" s="282"/>
      <c r="R17" s="282"/>
      <c r="S17" s="282"/>
      <c r="T17" s="7"/>
      <c r="U17" s="7"/>
      <c r="V17" s="7"/>
      <c r="W17" s="7"/>
      <c r="X17" s="7"/>
      <c r="Y17" s="7"/>
      <c r="Z17" s="7"/>
      <c r="AA17" s="7"/>
      <c r="AB17" s="7"/>
    </row>
    <row r="18" spans="1:28" s="3" customFormat="1" ht="15" customHeight="1" x14ac:dyDescent="0.2">
      <c r="A18" s="295"/>
      <c r="B18" s="295"/>
      <c r="C18" s="295"/>
      <c r="D18" s="295"/>
      <c r="E18" s="295"/>
      <c r="F18" s="295"/>
      <c r="G18" s="295"/>
      <c r="H18" s="295"/>
      <c r="I18" s="295"/>
      <c r="J18" s="295"/>
      <c r="K18" s="295"/>
      <c r="L18" s="295"/>
      <c r="M18" s="295"/>
      <c r="N18" s="295"/>
      <c r="O18" s="295"/>
      <c r="P18" s="295"/>
      <c r="Q18" s="295"/>
      <c r="R18" s="295"/>
      <c r="S18" s="295"/>
      <c r="T18" s="4"/>
      <c r="U18" s="4"/>
      <c r="V18" s="4"/>
      <c r="W18" s="4"/>
      <c r="X18" s="4"/>
      <c r="Y18" s="4"/>
    </row>
    <row r="19" spans="1:28" s="3" customFormat="1" ht="54" customHeight="1" x14ac:dyDescent="0.2">
      <c r="A19" s="287" t="s">
        <v>6</v>
      </c>
      <c r="B19" s="287" t="s">
        <v>109</v>
      </c>
      <c r="C19" s="290" t="s">
        <v>365</v>
      </c>
      <c r="D19" s="287" t="s">
        <v>364</v>
      </c>
      <c r="E19" s="287" t="s">
        <v>108</v>
      </c>
      <c r="F19" s="287" t="s">
        <v>107</v>
      </c>
      <c r="G19" s="287" t="s">
        <v>360</v>
      </c>
      <c r="H19" s="287" t="s">
        <v>106</v>
      </c>
      <c r="I19" s="287" t="s">
        <v>105</v>
      </c>
      <c r="J19" s="287" t="s">
        <v>104</v>
      </c>
      <c r="K19" s="287" t="s">
        <v>103</v>
      </c>
      <c r="L19" s="287" t="s">
        <v>102</v>
      </c>
      <c r="M19" s="287" t="s">
        <v>101</v>
      </c>
      <c r="N19" s="287" t="s">
        <v>100</v>
      </c>
      <c r="O19" s="287" t="s">
        <v>99</v>
      </c>
      <c r="P19" s="287" t="s">
        <v>98</v>
      </c>
      <c r="Q19" s="287" t="s">
        <v>363</v>
      </c>
      <c r="R19" s="287"/>
      <c r="S19" s="292" t="s">
        <v>440</v>
      </c>
      <c r="T19" s="4"/>
      <c r="U19" s="4"/>
      <c r="V19" s="4"/>
      <c r="W19" s="4"/>
      <c r="X19" s="4"/>
      <c r="Y19" s="4"/>
    </row>
    <row r="20" spans="1:28" s="3" customFormat="1" ht="180.75" customHeight="1" x14ac:dyDescent="0.2">
      <c r="A20" s="287"/>
      <c r="B20" s="287"/>
      <c r="C20" s="291"/>
      <c r="D20" s="287"/>
      <c r="E20" s="287"/>
      <c r="F20" s="287"/>
      <c r="G20" s="287"/>
      <c r="H20" s="287"/>
      <c r="I20" s="287"/>
      <c r="J20" s="287"/>
      <c r="K20" s="287"/>
      <c r="L20" s="287"/>
      <c r="M20" s="287"/>
      <c r="N20" s="287"/>
      <c r="O20" s="287"/>
      <c r="P20" s="287"/>
      <c r="Q20" s="42" t="s">
        <v>361</v>
      </c>
      <c r="R20" s="43" t="s">
        <v>362</v>
      </c>
      <c r="S20" s="292"/>
      <c r="T20" s="28"/>
      <c r="U20" s="28"/>
      <c r="V20" s="28"/>
      <c r="W20" s="28"/>
      <c r="X20" s="28"/>
      <c r="Y20" s="28"/>
      <c r="Z20" s="27"/>
      <c r="AA20" s="27"/>
      <c r="AB20" s="27"/>
    </row>
    <row r="21" spans="1:28" s="3" customFormat="1" ht="18.75" x14ac:dyDescent="0.2">
      <c r="A21" s="42">
        <v>1</v>
      </c>
      <c r="B21" s="46">
        <v>2</v>
      </c>
      <c r="C21" s="42">
        <v>3</v>
      </c>
      <c r="D21" s="46">
        <v>4</v>
      </c>
      <c r="E21" s="42">
        <v>5</v>
      </c>
      <c r="F21" s="46">
        <v>6</v>
      </c>
      <c r="G21" s="161">
        <v>7</v>
      </c>
      <c r="H21" s="162">
        <v>8</v>
      </c>
      <c r="I21" s="161">
        <v>9</v>
      </c>
      <c r="J21" s="162">
        <v>10</v>
      </c>
      <c r="K21" s="161">
        <v>11</v>
      </c>
      <c r="L21" s="162">
        <v>12</v>
      </c>
      <c r="M21" s="161">
        <v>13</v>
      </c>
      <c r="N21" s="162">
        <v>14</v>
      </c>
      <c r="O21" s="161">
        <v>15</v>
      </c>
      <c r="P21" s="162">
        <v>16</v>
      </c>
      <c r="Q21" s="161">
        <v>17</v>
      </c>
      <c r="R21" s="162">
        <v>18</v>
      </c>
      <c r="S21" s="161">
        <v>19</v>
      </c>
      <c r="T21" s="28"/>
      <c r="U21" s="28"/>
      <c r="V21" s="28"/>
      <c r="W21" s="28"/>
      <c r="X21" s="28"/>
      <c r="Y21" s="28"/>
      <c r="Z21" s="27"/>
      <c r="AA21" s="27"/>
      <c r="AB21" s="27"/>
    </row>
    <row r="22" spans="1:28" s="3" customFormat="1" ht="32.25" customHeight="1" x14ac:dyDescent="0.2">
      <c r="A22" s="42"/>
      <c r="B22" s="46" t="s">
        <v>97</v>
      </c>
      <c r="C22" s="46"/>
      <c r="D22" s="46"/>
      <c r="E22" s="46" t="s">
        <v>96</v>
      </c>
      <c r="F22" s="46" t="s">
        <v>95</v>
      </c>
      <c r="G22" s="46" t="s">
        <v>441</v>
      </c>
      <c r="H22" s="46"/>
      <c r="I22" s="46"/>
      <c r="J22" s="46"/>
      <c r="K22" s="46"/>
      <c r="L22" s="46"/>
      <c r="M22" s="46"/>
      <c r="N22" s="46"/>
      <c r="O22" s="46"/>
      <c r="P22" s="46"/>
      <c r="Q22" s="38"/>
      <c r="R22" s="5"/>
      <c r="S22" s="160"/>
      <c r="T22" s="28"/>
      <c r="U22" s="28"/>
      <c r="V22" s="28"/>
      <c r="W22" s="28"/>
      <c r="X22" s="28"/>
      <c r="Y22" s="28"/>
      <c r="Z22" s="27"/>
      <c r="AA22" s="27"/>
      <c r="AB22" s="27"/>
    </row>
    <row r="23" spans="1:28" s="3" customFormat="1" ht="18.75" x14ac:dyDescent="0.2">
      <c r="A23" s="42"/>
      <c r="B23" s="46" t="s">
        <v>97</v>
      </c>
      <c r="C23" s="46"/>
      <c r="D23" s="46"/>
      <c r="E23" s="46" t="s">
        <v>96</v>
      </c>
      <c r="F23" s="46" t="s">
        <v>95</v>
      </c>
      <c r="G23" s="46" t="s">
        <v>94</v>
      </c>
      <c r="H23" s="30"/>
      <c r="I23" s="30"/>
      <c r="J23" s="30"/>
      <c r="K23" s="30"/>
      <c r="L23" s="30"/>
      <c r="M23" s="30"/>
      <c r="N23" s="30"/>
      <c r="O23" s="30"/>
      <c r="P23" s="30"/>
      <c r="Q23" s="30"/>
      <c r="R23" s="5"/>
      <c r="S23" s="160"/>
      <c r="T23" s="28"/>
      <c r="U23" s="28"/>
      <c r="V23" s="28"/>
      <c r="W23" s="28"/>
      <c r="X23" s="27"/>
      <c r="Y23" s="27"/>
      <c r="Z23" s="27"/>
      <c r="AA23" s="27"/>
      <c r="AB23" s="27"/>
    </row>
    <row r="24" spans="1:28" s="3" customFormat="1" ht="18.75" x14ac:dyDescent="0.2">
      <c r="A24" s="42"/>
      <c r="B24" s="46" t="s">
        <v>97</v>
      </c>
      <c r="C24" s="46"/>
      <c r="D24" s="46"/>
      <c r="E24" s="46" t="s">
        <v>96</v>
      </c>
      <c r="F24" s="46" t="s">
        <v>95</v>
      </c>
      <c r="G24" s="46" t="s">
        <v>90</v>
      </c>
      <c r="H24" s="30"/>
      <c r="I24" s="30"/>
      <c r="J24" s="30"/>
      <c r="K24" s="30"/>
      <c r="L24" s="30"/>
      <c r="M24" s="30"/>
      <c r="N24" s="30"/>
      <c r="O24" s="30"/>
      <c r="P24" s="30"/>
      <c r="Q24" s="30"/>
      <c r="R24" s="5"/>
      <c r="S24" s="160"/>
      <c r="T24" s="28"/>
      <c r="U24" s="28"/>
      <c r="V24" s="28"/>
      <c r="W24" s="28"/>
      <c r="X24" s="27"/>
      <c r="Y24" s="27"/>
      <c r="Z24" s="27"/>
      <c r="AA24" s="27"/>
      <c r="AB24" s="27"/>
    </row>
    <row r="25" spans="1:28" s="3" customFormat="1" ht="31.5" x14ac:dyDescent="0.2">
      <c r="A25" s="45"/>
      <c r="B25" s="46" t="s">
        <v>93</v>
      </c>
      <c r="C25" s="46"/>
      <c r="D25" s="46"/>
      <c r="E25" s="46" t="s">
        <v>92</v>
      </c>
      <c r="F25" s="46" t="s">
        <v>91</v>
      </c>
      <c r="G25" s="46" t="s">
        <v>442</v>
      </c>
      <c r="H25" s="30"/>
      <c r="I25" s="30"/>
      <c r="J25" s="30"/>
      <c r="K25" s="30"/>
      <c r="L25" s="30"/>
      <c r="M25" s="30"/>
      <c r="N25" s="30"/>
      <c r="O25" s="30"/>
      <c r="P25" s="30"/>
      <c r="Q25" s="30"/>
      <c r="R25" s="5"/>
      <c r="S25" s="160"/>
      <c r="T25" s="28"/>
      <c r="U25" s="28"/>
      <c r="V25" s="28"/>
      <c r="W25" s="28"/>
      <c r="X25" s="27"/>
      <c r="Y25" s="27"/>
      <c r="Z25" s="27"/>
      <c r="AA25" s="27"/>
      <c r="AB25" s="27"/>
    </row>
    <row r="26" spans="1:28" s="3" customFormat="1" ht="18.75" x14ac:dyDescent="0.2">
      <c r="A26" s="45"/>
      <c r="B26" s="46" t="s">
        <v>93</v>
      </c>
      <c r="C26" s="46"/>
      <c r="D26" s="46"/>
      <c r="E26" s="46" t="s">
        <v>92</v>
      </c>
      <c r="F26" s="46" t="s">
        <v>91</v>
      </c>
      <c r="G26" s="46" t="s">
        <v>94</v>
      </c>
      <c r="H26" s="30"/>
      <c r="I26" s="30"/>
      <c r="J26" s="30"/>
      <c r="K26" s="30"/>
      <c r="L26" s="30"/>
      <c r="M26" s="30"/>
      <c r="N26" s="30"/>
      <c r="O26" s="30"/>
      <c r="P26" s="30"/>
      <c r="Q26" s="30"/>
      <c r="R26" s="5"/>
      <c r="S26" s="160"/>
      <c r="T26" s="28"/>
      <c r="U26" s="28"/>
      <c r="V26" s="28"/>
      <c r="W26" s="28"/>
      <c r="X26" s="27"/>
      <c r="Y26" s="27"/>
      <c r="Z26" s="27"/>
      <c r="AA26" s="27"/>
      <c r="AB26" s="27"/>
    </row>
    <row r="27" spans="1:28" s="3" customFormat="1" ht="18.75" x14ac:dyDescent="0.2">
      <c r="A27" s="45"/>
      <c r="B27" s="46" t="s">
        <v>93</v>
      </c>
      <c r="C27" s="46"/>
      <c r="D27" s="46"/>
      <c r="E27" s="46" t="s">
        <v>92</v>
      </c>
      <c r="F27" s="46" t="s">
        <v>91</v>
      </c>
      <c r="G27" s="46" t="s">
        <v>90</v>
      </c>
      <c r="H27" s="30"/>
      <c r="I27" s="30"/>
      <c r="J27" s="30"/>
      <c r="K27" s="30"/>
      <c r="L27" s="30"/>
      <c r="M27" s="30"/>
      <c r="N27" s="30"/>
      <c r="O27" s="30"/>
      <c r="P27" s="30"/>
      <c r="Q27" s="30"/>
      <c r="R27" s="5"/>
      <c r="S27" s="160"/>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60"/>
      <c r="T28" s="28"/>
      <c r="U28" s="28"/>
      <c r="V28" s="28"/>
      <c r="W28" s="28"/>
      <c r="X28" s="27"/>
      <c r="Y28" s="27"/>
      <c r="Z28" s="27"/>
      <c r="AA28" s="27"/>
      <c r="AB28" s="27"/>
    </row>
    <row r="29" spans="1:28" ht="20.25" customHeight="1" x14ac:dyDescent="0.25">
      <c r="A29" s="121"/>
      <c r="B29" s="46" t="s">
        <v>358</v>
      </c>
      <c r="C29" s="46"/>
      <c r="D29" s="46"/>
      <c r="E29" s="121" t="s">
        <v>359</v>
      </c>
      <c r="F29" s="121" t="s">
        <v>359</v>
      </c>
      <c r="G29" s="121" t="s">
        <v>359</v>
      </c>
      <c r="H29" s="121"/>
      <c r="I29" s="121"/>
      <c r="J29" s="121"/>
      <c r="K29" s="121"/>
      <c r="L29" s="121"/>
      <c r="M29" s="121"/>
      <c r="N29" s="121"/>
      <c r="O29" s="121"/>
      <c r="P29" s="121"/>
      <c r="Q29" s="122"/>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80" zoomScaleNormal="60" zoomScaleSheetLayoutView="80" workbookViewId="0">
      <selection activeCell="F26" sqref="F26"/>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88" t="str">
        <f>'1. паспорт местоположение'!A5:C5</f>
        <v>Год раскрытия информации: 2016 год</v>
      </c>
      <c r="B6" s="288"/>
      <c r="C6" s="288"/>
      <c r="D6" s="288"/>
      <c r="E6" s="288"/>
      <c r="F6" s="288"/>
      <c r="G6" s="288"/>
      <c r="H6" s="288"/>
      <c r="I6" s="288"/>
      <c r="J6" s="288"/>
      <c r="K6" s="288"/>
      <c r="L6" s="288"/>
      <c r="M6" s="288"/>
      <c r="N6" s="288"/>
      <c r="O6" s="288"/>
      <c r="P6" s="288"/>
      <c r="Q6" s="288"/>
      <c r="R6" s="288"/>
      <c r="S6" s="288"/>
      <c r="T6" s="288"/>
    </row>
    <row r="7" spans="1:20" s="12" customFormat="1" x14ac:dyDescent="0.2">
      <c r="A7" s="17"/>
      <c r="H7" s="16"/>
    </row>
    <row r="8" spans="1:20" s="12" customFormat="1" ht="18.75" x14ac:dyDescent="0.2">
      <c r="A8" s="284" t="s">
        <v>10</v>
      </c>
      <c r="B8" s="284"/>
      <c r="C8" s="284"/>
      <c r="D8" s="284"/>
      <c r="E8" s="284"/>
      <c r="F8" s="284"/>
      <c r="G8" s="284"/>
      <c r="H8" s="284"/>
      <c r="I8" s="284"/>
      <c r="J8" s="284"/>
      <c r="K8" s="284"/>
      <c r="L8" s="284"/>
      <c r="M8" s="284"/>
      <c r="N8" s="284"/>
      <c r="O8" s="284"/>
      <c r="P8" s="284"/>
      <c r="Q8" s="284"/>
      <c r="R8" s="284"/>
      <c r="S8" s="284"/>
      <c r="T8" s="284"/>
    </row>
    <row r="9" spans="1:20" s="12" customFormat="1" ht="18.75" x14ac:dyDescent="0.2">
      <c r="A9" s="284"/>
      <c r="B9" s="284"/>
      <c r="C9" s="284"/>
      <c r="D9" s="284"/>
      <c r="E9" s="284"/>
      <c r="F9" s="284"/>
      <c r="G9" s="284"/>
      <c r="H9" s="284"/>
      <c r="I9" s="284"/>
      <c r="J9" s="284"/>
      <c r="K9" s="284"/>
      <c r="L9" s="284"/>
      <c r="M9" s="284"/>
      <c r="N9" s="284"/>
      <c r="O9" s="284"/>
      <c r="P9" s="284"/>
      <c r="Q9" s="284"/>
      <c r="R9" s="284"/>
      <c r="S9" s="284"/>
      <c r="T9" s="284"/>
    </row>
    <row r="10" spans="1:20" s="12" customFormat="1" ht="18.75" customHeight="1" x14ac:dyDescent="0.2">
      <c r="A10" s="289" t="str">
        <f>'1. паспорт местоположение'!A9:C9</f>
        <v>АО "Янтарьэнерго"</v>
      </c>
      <c r="B10" s="289"/>
      <c r="C10" s="289"/>
      <c r="D10" s="289"/>
      <c r="E10" s="289"/>
      <c r="F10" s="289"/>
      <c r="G10" s="289"/>
      <c r="H10" s="289"/>
      <c r="I10" s="289"/>
      <c r="J10" s="289"/>
      <c r="K10" s="289"/>
      <c r="L10" s="289"/>
      <c r="M10" s="289"/>
      <c r="N10" s="289"/>
      <c r="O10" s="289"/>
      <c r="P10" s="289"/>
      <c r="Q10" s="289"/>
      <c r="R10" s="289"/>
      <c r="S10" s="289"/>
      <c r="T10" s="289"/>
    </row>
    <row r="11" spans="1:20" s="12" customFormat="1" ht="18.75" customHeight="1" x14ac:dyDescent="0.2">
      <c r="A11" s="281" t="s">
        <v>9</v>
      </c>
      <c r="B11" s="281"/>
      <c r="C11" s="281"/>
      <c r="D11" s="281"/>
      <c r="E11" s="281"/>
      <c r="F11" s="281"/>
      <c r="G11" s="281"/>
      <c r="H11" s="281"/>
      <c r="I11" s="281"/>
      <c r="J11" s="281"/>
      <c r="K11" s="281"/>
      <c r="L11" s="281"/>
      <c r="M11" s="281"/>
      <c r="N11" s="281"/>
      <c r="O11" s="281"/>
      <c r="P11" s="281"/>
      <c r="Q11" s="281"/>
      <c r="R11" s="281"/>
      <c r="S11" s="281"/>
      <c r="T11" s="281"/>
    </row>
    <row r="12" spans="1:20" s="12" customFormat="1" ht="18.75" x14ac:dyDescent="0.2">
      <c r="A12" s="284"/>
      <c r="B12" s="284"/>
      <c r="C12" s="284"/>
      <c r="D12" s="284"/>
      <c r="E12" s="284"/>
      <c r="F12" s="284"/>
      <c r="G12" s="284"/>
      <c r="H12" s="284"/>
      <c r="I12" s="284"/>
      <c r="J12" s="284"/>
      <c r="K12" s="284"/>
      <c r="L12" s="284"/>
      <c r="M12" s="284"/>
      <c r="N12" s="284"/>
      <c r="O12" s="284"/>
      <c r="P12" s="284"/>
      <c r="Q12" s="284"/>
      <c r="R12" s="284"/>
      <c r="S12" s="284"/>
      <c r="T12" s="284"/>
    </row>
    <row r="13" spans="1:20" s="12" customFormat="1" ht="18.75" customHeight="1" x14ac:dyDescent="0.2">
      <c r="A13" s="289" t="str">
        <f>'1. паспорт местоположение'!A12:C12</f>
        <v>prj_111001_2498</v>
      </c>
      <c r="B13" s="289"/>
      <c r="C13" s="289"/>
      <c r="D13" s="289"/>
      <c r="E13" s="289"/>
      <c r="F13" s="289"/>
      <c r="G13" s="289"/>
      <c r="H13" s="289"/>
      <c r="I13" s="289"/>
      <c r="J13" s="289"/>
      <c r="K13" s="289"/>
      <c r="L13" s="289"/>
      <c r="M13" s="289"/>
      <c r="N13" s="289"/>
      <c r="O13" s="289"/>
      <c r="P13" s="289"/>
      <c r="Q13" s="289"/>
      <c r="R13" s="289"/>
      <c r="S13" s="289"/>
      <c r="T13" s="289"/>
    </row>
    <row r="14" spans="1:20" s="12" customFormat="1" ht="18.75" customHeight="1" x14ac:dyDescent="0.2">
      <c r="A14" s="281" t="s">
        <v>8</v>
      </c>
      <c r="B14" s="281"/>
      <c r="C14" s="281"/>
      <c r="D14" s="281"/>
      <c r="E14" s="281"/>
      <c r="F14" s="281"/>
      <c r="G14" s="281"/>
      <c r="H14" s="281"/>
      <c r="I14" s="281"/>
      <c r="J14" s="281"/>
      <c r="K14" s="281"/>
      <c r="L14" s="281"/>
      <c r="M14" s="281"/>
      <c r="N14" s="281"/>
      <c r="O14" s="281"/>
      <c r="P14" s="281"/>
      <c r="Q14" s="281"/>
      <c r="R14" s="281"/>
      <c r="S14" s="281"/>
      <c r="T14" s="281"/>
    </row>
    <row r="15" spans="1:20" s="9" customFormat="1" ht="15.75" customHeight="1" x14ac:dyDescent="0.2">
      <c r="A15" s="293"/>
      <c r="B15" s="293"/>
      <c r="C15" s="293"/>
      <c r="D15" s="293"/>
      <c r="E15" s="293"/>
      <c r="F15" s="293"/>
      <c r="G15" s="293"/>
      <c r="H15" s="293"/>
      <c r="I15" s="293"/>
      <c r="J15" s="293"/>
      <c r="K15" s="293"/>
      <c r="L15" s="293"/>
      <c r="M15" s="293"/>
      <c r="N15" s="293"/>
      <c r="O15" s="293"/>
      <c r="P15" s="293"/>
      <c r="Q15" s="293"/>
      <c r="R15" s="293"/>
      <c r="S15" s="293"/>
      <c r="T15" s="293"/>
    </row>
    <row r="16" spans="1:20" s="3" customFormat="1" x14ac:dyDescent="0.2">
      <c r="A16" s="289" t="str">
        <f>'1. паспорт местоположение'!A15:C15</f>
        <v>Строительство ПС 110/10кВ Береговая с заходами 4-х КЛ 110 кВ от ПС 110 кВ Береговая на ВЛ 110 кВ № 115/116 (ПС Центральная - ПС Московская/ ПС Центральная - ПС Северная), г. Калининград</v>
      </c>
      <c r="B16" s="289"/>
      <c r="C16" s="289"/>
      <c r="D16" s="289"/>
      <c r="E16" s="289"/>
      <c r="F16" s="289"/>
      <c r="G16" s="289"/>
      <c r="H16" s="289"/>
      <c r="I16" s="289"/>
      <c r="J16" s="289"/>
      <c r="K16" s="289"/>
      <c r="L16" s="289"/>
      <c r="M16" s="289"/>
      <c r="N16" s="289"/>
      <c r="O16" s="289"/>
      <c r="P16" s="289"/>
      <c r="Q16" s="289"/>
      <c r="R16" s="289"/>
      <c r="S16" s="289"/>
      <c r="T16" s="289"/>
    </row>
    <row r="17" spans="1:113" s="3" customFormat="1" ht="15" customHeight="1" x14ac:dyDescent="0.2">
      <c r="A17" s="281" t="s">
        <v>7</v>
      </c>
      <c r="B17" s="281"/>
      <c r="C17" s="281"/>
      <c r="D17" s="281"/>
      <c r="E17" s="281"/>
      <c r="F17" s="281"/>
      <c r="G17" s="281"/>
      <c r="H17" s="281"/>
      <c r="I17" s="281"/>
      <c r="J17" s="281"/>
      <c r="K17" s="281"/>
      <c r="L17" s="281"/>
      <c r="M17" s="281"/>
      <c r="N17" s="281"/>
      <c r="O17" s="281"/>
      <c r="P17" s="281"/>
      <c r="Q17" s="281"/>
      <c r="R17" s="281"/>
      <c r="S17" s="281"/>
      <c r="T17" s="281"/>
    </row>
    <row r="18" spans="1:113" s="3" customFormat="1" ht="15" customHeight="1" x14ac:dyDescent="0.2">
      <c r="A18" s="294"/>
      <c r="B18" s="294"/>
      <c r="C18" s="294"/>
      <c r="D18" s="294"/>
      <c r="E18" s="294"/>
      <c r="F18" s="294"/>
      <c r="G18" s="294"/>
      <c r="H18" s="294"/>
      <c r="I18" s="294"/>
      <c r="J18" s="294"/>
      <c r="K18" s="294"/>
      <c r="L18" s="294"/>
      <c r="M18" s="294"/>
      <c r="N18" s="294"/>
      <c r="O18" s="294"/>
      <c r="P18" s="294"/>
      <c r="Q18" s="294"/>
      <c r="R18" s="294"/>
      <c r="S18" s="294"/>
      <c r="T18" s="294"/>
    </row>
    <row r="19" spans="1:113" s="3" customFormat="1" ht="15" customHeight="1" x14ac:dyDescent="0.2">
      <c r="A19" s="283" t="s">
        <v>453</v>
      </c>
      <c r="B19" s="283"/>
      <c r="C19" s="283"/>
      <c r="D19" s="283"/>
      <c r="E19" s="283"/>
      <c r="F19" s="283"/>
      <c r="G19" s="283"/>
      <c r="H19" s="283"/>
      <c r="I19" s="283"/>
      <c r="J19" s="283"/>
      <c r="K19" s="283"/>
      <c r="L19" s="283"/>
      <c r="M19" s="283"/>
      <c r="N19" s="283"/>
      <c r="O19" s="283"/>
      <c r="P19" s="283"/>
      <c r="Q19" s="283"/>
      <c r="R19" s="283"/>
      <c r="S19" s="283"/>
      <c r="T19" s="283"/>
    </row>
    <row r="20" spans="1:113" s="59" customFormat="1" ht="21" customHeight="1" x14ac:dyDescent="0.25">
      <c r="A20" s="310"/>
      <c r="B20" s="310"/>
      <c r="C20" s="310"/>
      <c r="D20" s="310"/>
      <c r="E20" s="310"/>
      <c r="F20" s="310"/>
      <c r="G20" s="310"/>
      <c r="H20" s="310"/>
      <c r="I20" s="310"/>
      <c r="J20" s="310"/>
      <c r="K20" s="310"/>
      <c r="L20" s="310"/>
      <c r="M20" s="310"/>
      <c r="N20" s="310"/>
      <c r="O20" s="310"/>
      <c r="P20" s="310"/>
      <c r="Q20" s="310"/>
      <c r="R20" s="310"/>
      <c r="S20" s="310"/>
      <c r="T20" s="310"/>
    </row>
    <row r="21" spans="1:113" ht="46.5" customHeight="1" x14ac:dyDescent="0.25">
      <c r="A21" s="304" t="s">
        <v>6</v>
      </c>
      <c r="B21" s="297" t="s">
        <v>221</v>
      </c>
      <c r="C21" s="298"/>
      <c r="D21" s="301" t="s">
        <v>131</v>
      </c>
      <c r="E21" s="297" t="s">
        <v>482</v>
      </c>
      <c r="F21" s="298"/>
      <c r="G21" s="297" t="s">
        <v>272</v>
      </c>
      <c r="H21" s="298"/>
      <c r="I21" s="297" t="s">
        <v>130</v>
      </c>
      <c r="J21" s="298"/>
      <c r="K21" s="301" t="s">
        <v>129</v>
      </c>
      <c r="L21" s="297" t="s">
        <v>128</v>
      </c>
      <c r="M21" s="298"/>
      <c r="N21" s="297" t="s">
        <v>478</v>
      </c>
      <c r="O21" s="298"/>
      <c r="P21" s="301" t="s">
        <v>127</v>
      </c>
      <c r="Q21" s="307" t="s">
        <v>126</v>
      </c>
      <c r="R21" s="308"/>
      <c r="S21" s="307" t="s">
        <v>125</v>
      </c>
      <c r="T21" s="309"/>
    </row>
    <row r="22" spans="1:113" ht="204.75" customHeight="1" x14ac:dyDescent="0.25">
      <c r="A22" s="305"/>
      <c r="B22" s="299"/>
      <c r="C22" s="300"/>
      <c r="D22" s="303"/>
      <c r="E22" s="299"/>
      <c r="F22" s="300"/>
      <c r="G22" s="299"/>
      <c r="H22" s="300"/>
      <c r="I22" s="299"/>
      <c r="J22" s="300"/>
      <c r="K22" s="302"/>
      <c r="L22" s="299"/>
      <c r="M22" s="300"/>
      <c r="N22" s="299"/>
      <c r="O22" s="300"/>
      <c r="P22" s="302"/>
      <c r="Q22" s="112" t="s">
        <v>124</v>
      </c>
      <c r="R22" s="112" t="s">
        <v>452</v>
      </c>
      <c r="S22" s="112" t="s">
        <v>123</v>
      </c>
      <c r="T22" s="112" t="s">
        <v>122</v>
      </c>
    </row>
    <row r="23" spans="1:113" ht="51.75" customHeight="1" x14ac:dyDescent="0.25">
      <c r="A23" s="306"/>
      <c r="B23" s="169" t="s">
        <v>120</v>
      </c>
      <c r="C23" s="169" t="s">
        <v>121</v>
      </c>
      <c r="D23" s="302"/>
      <c r="E23" s="169" t="s">
        <v>120</v>
      </c>
      <c r="F23" s="169" t="s">
        <v>121</v>
      </c>
      <c r="G23" s="169" t="s">
        <v>120</v>
      </c>
      <c r="H23" s="169" t="s">
        <v>121</v>
      </c>
      <c r="I23" s="169" t="s">
        <v>120</v>
      </c>
      <c r="J23" s="169" t="s">
        <v>121</v>
      </c>
      <c r="K23" s="169" t="s">
        <v>120</v>
      </c>
      <c r="L23" s="169" t="s">
        <v>120</v>
      </c>
      <c r="M23" s="169" t="s">
        <v>121</v>
      </c>
      <c r="N23" s="169" t="s">
        <v>120</v>
      </c>
      <c r="O23" s="169" t="s">
        <v>121</v>
      </c>
      <c r="P23" s="170" t="s">
        <v>120</v>
      </c>
      <c r="Q23" s="112" t="s">
        <v>120</v>
      </c>
      <c r="R23" s="112" t="s">
        <v>120</v>
      </c>
      <c r="S23" s="112" t="s">
        <v>120</v>
      </c>
      <c r="T23" s="112" t="s">
        <v>120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47.25" x14ac:dyDescent="0.25">
      <c r="A25" s="62">
        <v>1</v>
      </c>
      <c r="B25" s="61"/>
      <c r="C25" s="61"/>
      <c r="D25" s="61" t="s">
        <v>562</v>
      </c>
      <c r="E25" s="61"/>
      <c r="F25" s="61" t="s">
        <v>563</v>
      </c>
      <c r="G25" s="61"/>
      <c r="H25" s="390" t="s">
        <v>560</v>
      </c>
      <c r="I25" s="61"/>
      <c r="J25" s="60"/>
      <c r="K25" s="60"/>
      <c r="L25" s="60"/>
      <c r="M25" s="62">
        <v>110</v>
      </c>
      <c r="N25" s="62"/>
      <c r="O25" s="62">
        <v>25</v>
      </c>
      <c r="P25" s="60"/>
      <c r="Q25" s="172"/>
      <c r="R25" s="61"/>
      <c r="S25" s="172"/>
      <c r="T25" s="61"/>
    </row>
    <row r="26" spans="1:113" s="59" customFormat="1" ht="47.25" x14ac:dyDescent="0.25">
      <c r="A26" s="62">
        <v>2</v>
      </c>
      <c r="B26" s="61"/>
      <c r="C26" s="61"/>
      <c r="D26" s="61" t="s">
        <v>562</v>
      </c>
      <c r="E26" s="61"/>
      <c r="F26" s="61" t="s">
        <v>563</v>
      </c>
      <c r="G26" s="61"/>
      <c r="H26" s="390" t="s">
        <v>561</v>
      </c>
      <c r="I26" s="61"/>
      <c r="J26" s="60"/>
      <c r="K26" s="60"/>
      <c r="L26" s="60"/>
      <c r="M26" s="62">
        <v>110</v>
      </c>
      <c r="N26" s="62"/>
      <c r="O26" s="62">
        <v>25</v>
      </c>
      <c r="P26" s="60"/>
      <c r="Q26" s="172"/>
      <c r="R26" s="61"/>
      <c r="S26" s="172"/>
      <c r="T26" s="61"/>
    </row>
    <row r="27" spans="1:113" s="57" customFormat="1" ht="12.75" x14ac:dyDescent="0.2">
      <c r="B27" s="58"/>
      <c r="C27" s="58"/>
      <c r="K27" s="58"/>
    </row>
    <row r="28" spans="1:113" s="57" customFormat="1" x14ac:dyDescent="0.25">
      <c r="B28" s="55" t="s">
        <v>119</v>
      </c>
      <c r="C28" s="55"/>
      <c r="D28" s="55"/>
      <c r="E28" s="55"/>
      <c r="F28" s="55"/>
      <c r="G28" s="55"/>
      <c r="H28" s="55"/>
      <c r="I28" s="55"/>
      <c r="J28" s="55"/>
      <c r="K28" s="55"/>
      <c r="L28" s="55"/>
      <c r="M28" s="55"/>
      <c r="N28" s="55"/>
      <c r="O28" s="55"/>
      <c r="P28" s="55"/>
      <c r="Q28" s="55"/>
      <c r="R28" s="55"/>
    </row>
    <row r="29" spans="1:113" x14ac:dyDescent="0.25">
      <c r="B29" s="296" t="s">
        <v>488</v>
      </c>
      <c r="C29" s="296"/>
      <c r="D29" s="296"/>
      <c r="E29" s="296"/>
      <c r="F29" s="296"/>
      <c r="G29" s="296"/>
      <c r="H29" s="296"/>
      <c r="I29" s="296"/>
      <c r="J29" s="296"/>
      <c r="K29" s="296"/>
      <c r="L29" s="296"/>
      <c r="M29" s="296"/>
      <c r="N29" s="296"/>
      <c r="O29" s="296"/>
      <c r="P29" s="296"/>
      <c r="Q29" s="296"/>
      <c r="R29" s="296"/>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451</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80" zoomScaleSheetLayoutView="80" workbookViewId="0">
      <selection activeCell="L25" sqref="L2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88" t="str">
        <f>'1. паспорт местоположение'!A5:C5</f>
        <v>Год раскрытия информации: 2016 год</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row>
    <row r="6" spans="1:27" s="12" customFormat="1" x14ac:dyDescent="0.2">
      <c r="A6" s="173"/>
      <c r="B6" s="173"/>
      <c r="C6" s="173"/>
      <c r="D6" s="173"/>
      <c r="E6" s="173"/>
      <c r="F6" s="173"/>
      <c r="G6" s="173"/>
      <c r="H6" s="173"/>
      <c r="I6" s="173"/>
      <c r="J6" s="173"/>
      <c r="K6" s="173"/>
      <c r="L6" s="173"/>
      <c r="M6" s="173"/>
      <c r="N6" s="173"/>
      <c r="O6" s="173"/>
      <c r="P6" s="173"/>
      <c r="Q6" s="173"/>
      <c r="R6" s="173"/>
      <c r="S6" s="173"/>
      <c r="T6" s="173"/>
    </row>
    <row r="7" spans="1:27" s="12" customFormat="1" ht="18.75" x14ac:dyDescent="0.2">
      <c r="E7" s="284" t="s">
        <v>10</v>
      </c>
      <c r="F7" s="284"/>
      <c r="G7" s="284"/>
      <c r="H7" s="284"/>
      <c r="I7" s="284"/>
      <c r="J7" s="284"/>
      <c r="K7" s="284"/>
      <c r="L7" s="284"/>
      <c r="M7" s="284"/>
      <c r="N7" s="284"/>
      <c r="O7" s="284"/>
      <c r="P7" s="284"/>
      <c r="Q7" s="284"/>
      <c r="R7" s="284"/>
      <c r="S7" s="284"/>
      <c r="T7" s="284"/>
      <c r="U7" s="284"/>
      <c r="V7" s="284"/>
      <c r="W7" s="284"/>
      <c r="X7" s="284"/>
      <c r="Y7" s="28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89" t="str">
        <f>'1. паспорт местоположение'!A9</f>
        <v>АО "Янтарьэнерго"</v>
      </c>
      <c r="F9" s="289"/>
      <c r="G9" s="289"/>
      <c r="H9" s="289"/>
      <c r="I9" s="289"/>
      <c r="J9" s="289"/>
      <c r="K9" s="289"/>
      <c r="L9" s="289"/>
      <c r="M9" s="289"/>
      <c r="N9" s="289"/>
      <c r="O9" s="289"/>
      <c r="P9" s="289"/>
      <c r="Q9" s="289"/>
      <c r="R9" s="289"/>
      <c r="S9" s="289"/>
      <c r="T9" s="289"/>
      <c r="U9" s="289"/>
      <c r="V9" s="289"/>
      <c r="W9" s="289"/>
      <c r="X9" s="289"/>
      <c r="Y9" s="289"/>
    </row>
    <row r="10" spans="1:27" s="12" customFormat="1" ht="18.75" customHeight="1" x14ac:dyDescent="0.2">
      <c r="E10" s="281" t="s">
        <v>9</v>
      </c>
      <c r="F10" s="281"/>
      <c r="G10" s="281"/>
      <c r="H10" s="281"/>
      <c r="I10" s="281"/>
      <c r="J10" s="281"/>
      <c r="K10" s="281"/>
      <c r="L10" s="281"/>
      <c r="M10" s="281"/>
      <c r="N10" s="281"/>
      <c r="O10" s="281"/>
      <c r="P10" s="281"/>
      <c r="Q10" s="281"/>
      <c r="R10" s="281"/>
      <c r="S10" s="281"/>
      <c r="T10" s="281"/>
      <c r="U10" s="281"/>
      <c r="V10" s="281"/>
      <c r="W10" s="281"/>
      <c r="X10" s="281"/>
      <c r="Y10" s="28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89" t="str">
        <f>'1. паспорт местоположение'!A12</f>
        <v>prj_111001_2498</v>
      </c>
      <c r="F12" s="289"/>
      <c r="G12" s="289"/>
      <c r="H12" s="289"/>
      <c r="I12" s="289"/>
      <c r="J12" s="289"/>
      <c r="K12" s="289"/>
      <c r="L12" s="289"/>
      <c r="M12" s="289"/>
      <c r="N12" s="289"/>
      <c r="O12" s="289"/>
      <c r="P12" s="289"/>
      <c r="Q12" s="289"/>
      <c r="R12" s="289"/>
      <c r="S12" s="289"/>
      <c r="T12" s="289"/>
      <c r="U12" s="289"/>
      <c r="V12" s="289"/>
      <c r="W12" s="289"/>
      <c r="X12" s="289"/>
      <c r="Y12" s="289"/>
    </row>
    <row r="13" spans="1:27" s="12" customFormat="1" ht="18.75" customHeight="1" x14ac:dyDescent="0.2">
      <c r="E13" s="281" t="s">
        <v>8</v>
      </c>
      <c r="F13" s="281"/>
      <c r="G13" s="281"/>
      <c r="H13" s="281"/>
      <c r="I13" s="281"/>
      <c r="J13" s="281"/>
      <c r="K13" s="281"/>
      <c r="L13" s="281"/>
      <c r="M13" s="281"/>
      <c r="N13" s="281"/>
      <c r="O13" s="281"/>
      <c r="P13" s="281"/>
      <c r="Q13" s="281"/>
      <c r="R13" s="281"/>
      <c r="S13" s="281"/>
      <c r="T13" s="281"/>
      <c r="U13" s="281"/>
      <c r="V13" s="281"/>
      <c r="W13" s="281"/>
      <c r="X13" s="281"/>
      <c r="Y13" s="28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289" t="str">
        <f>'1. паспорт местоположение'!A15</f>
        <v>Строительство ПС 110/10кВ Береговая с заходами 4-х КЛ 110 кВ от ПС 110 кВ Береговая на ВЛ 110 кВ № 115/116 (ПС Центральная - ПС Московская/ ПС Центральная - ПС Северная), г. Калининград</v>
      </c>
      <c r="F15" s="289"/>
      <c r="G15" s="289"/>
      <c r="H15" s="289"/>
      <c r="I15" s="289"/>
      <c r="J15" s="289"/>
      <c r="K15" s="289"/>
      <c r="L15" s="289"/>
      <c r="M15" s="289"/>
      <c r="N15" s="289"/>
      <c r="O15" s="289"/>
      <c r="P15" s="289"/>
      <c r="Q15" s="289"/>
      <c r="R15" s="289"/>
      <c r="S15" s="289"/>
      <c r="T15" s="289"/>
      <c r="U15" s="289"/>
      <c r="V15" s="289"/>
      <c r="W15" s="289"/>
      <c r="X15" s="289"/>
      <c r="Y15" s="289"/>
    </row>
    <row r="16" spans="1:27" s="3" customFormat="1" ht="15" customHeight="1" x14ac:dyDescent="0.2">
      <c r="E16" s="281" t="s">
        <v>7</v>
      </c>
      <c r="F16" s="281"/>
      <c r="G16" s="281"/>
      <c r="H16" s="281"/>
      <c r="I16" s="281"/>
      <c r="J16" s="281"/>
      <c r="K16" s="281"/>
      <c r="L16" s="281"/>
      <c r="M16" s="281"/>
      <c r="N16" s="281"/>
      <c r="O16" s="281"/>
      <c r="P16" s="281"/>
      <c r="Q16" s="281"/>
      <c r="R16" s="281"/>
      <c r="S16" s="281"/>
      <c r="T16" s="281"/>
      <c r="U16" s="281"/>
      <c r="V16" s="281"/>
      <c r="W16" s="281"/>
      <c r="X16" s="281"/>
      <c r="Y16" s="28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3"/>
      <c r="F18" s="283"/>
      <c r="G18" s="283"/>
      <c r="H18" s="283"/>
      <c r="I18" s="283"/>
      <c r="J18" s="283"/>
      <c r="K18" s="283"/>
      <c r="L18" s="283"/>
      <c r="M18" s="283"/>
      <c r="N18" s="283"/>
      <c r="O18" s="283"/>
      <c r="P18" s="283"/>
      <c r="Q18" s="283"/>
      <c r="R18" s="283"/>
      <c r="S18" s="283"/>
      <c r="T18" s="283"/>
      <c r="U18" s="283"/>
      <c r="V18" s="283"/>
      <c r="W18" s="283"/>
      <c r="X18" s="283"/>
      <c r="Y18" s="283"/>
    </row>
    <row r="19" spans="1:27" ht="25.5" customHeight="1" x14ac:dyDescent="0.25">
      <c r="A19" s="283" t="s">
        <v>455</v>
      </c>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row>
    <row r="20" spans="1:27" s="59" customFormat="1" ht="21" customHeight="1" x14ac:dyDescent="0.25"/>
    <row r="21" spans="1:27" ht="15.75" customHeight="1" x14ac:dyDescent="0.25">
      <c r="A21" s="311" t="s">
        <v>6</v>
      </c>
      <c r="B21" s="314" t="s">
        <v>462</v>
      </c>
      <c r="C21" s="315"/>
      <c r="D21" s="314" t="s">
        <v>464</v>
      </c>
      <c r="E21" s="315"/>
      <c r="F21" s="307" t="s">
        <v>103</v>
      </c>
      <c r="G21" s="309"/>
      <c r="H21" s="309"/>
      <c r="I21" s="308"/>
      <c r="J21" s="311" t="s">
        <v>465</v>
      </c>
      <c r="K21" s="314" t="s">
        <v>466</v>
      </c>
      <c r="L21" s="315"/>
      <c r="M21" s="314" t="s">
        <v>467</v>
      </c>
      <c r="N21" s="315"/>
      <c r="O21" s="314" t="s">
        <v>454</v>
      </c>
      <c r="P21" s="315"/>
      <c r="Q21" s="314" t="s">
        <v>136</v>
      </c>
      <c r="R21" s="315"/>
      <c r="S21" s="311" t="s">
        <v>135</v>
      </c>
      <c r="T21" s="311" t="s">
        <v>468</v>
      </c>
      <c r="U21" s="311" t="s">
        <v>463</v>
      </c>
      <c r="V21" s="314" t="s">
        <v>134</v>
      </c>
      <c r="W21" s="315"/>
      <c r="X21" s="307" t="s">
        <v>126</v>
      </c>
      <c r="Y21" s="309"/>
      <c r="Z21" s="307" t="s">
        <v>125</v>
      </c>
      <c r="AA21" s="309"/>
    </row>
    <row r="22" spans="1:27" ht="216" customHeight="1" x14ac:dyDescent="0.25">
      <c r="A22" s="312"/>
      <c r="B22" s="316"/>
      <c r="C22" s="317"/>
      <c r="D22" s="316"/>
      <c r="E22" s="317"/>
      <c r="F22" s="307" t="s">
        <v>133</v>
      </c>
      <c r="G22" s="308"/>
      <c r="H22" s="307" t="s">
        <v>132</v>
      </c>
      <c r="I22" s="308"/>
      <c r="J22" s="313"/>
      <c r="K22" s="316"/>
      <c r="L22" s="317"/>
      <c r="M22" s="316"/>
      <c r="N22" s="317"/>
      <c r="O22" s="316"/>
      <c r="P22" s="317"/>
      <c r="Q22" s="316"/>
      <c r="R22" s="317"/>
      <c r="S22" s="313"/>
      <c r="T22" s="313"/>
      <c r="U22" s="313"/>
      <c r="V22" s="316"/>
      <c r="W22" s="317"/>
      <c r="X22" s="112" t="s">
        <v>124</v>
      </c>
      <c r="Y22" s="112" t="s">
        <v>452</v>
      </c>
      <c r="Z22" s="112" t="s">
        <v>123</v>
      </c>
      <c r="AA22" s="112" t="s">
        <v>122</v>
      </c>
    </row>
    <row r="23" spans="1:27" ht="60" customHeight="1" x14ac:dyDescent="0.25">
      <c r="A23" s="313"/>
      <c r="B23" s="167" t="s">
        <v>120</v>
      </c>
      <c r="C23" s="167" t="s">
        <v>121</v>
      </c>
      <c r="D23" s="113" t="s">
        <v>120</v>
      </c>
      <c r="E23" s="113" t="s">
        <v>121</v>
      </c>
      <c r="F23" s="113" t="s">
        <v>120</v>
      </c>
      <c r="G23" s="113" t="s">
        <v>121</v>
      </c>
      <c r="H23" s="113" t="s">
        <v>120</v>
      </c>
      <c r="I23" s="113" t="s">
        <v>121</v>
      </c>
      <c r="J23" s="113" t="s">
        <v>120</v>
      </c>
      <c r="K23" s="113" t="s">
        <v>120</v>
      </c>
      <c r="L23" s="113" t="s">
        <v>121</v>
      </c>
      <c r="M23" s="113" t="s">
        <v>120</v>
      </c>
      <c r="N23" s="113" t="s">
        <v>121</v>
      </c>
      <c r="O23" s="113" t="s">
        <v>120</v>
      </c>
      <c r="P23" s="113" t="s">
        <v>121</v>
      </c>
      <c r="Q23" s="113" t="s">
        <v>120</v>
      </c>
      <c r="R23" s="113" t="s">
        <v>121</v>
      </c>
      <c r="S23" s="113" t="s">
        <v>120</v>
      </c>
      <c r="T23" s="113" t="s">
        <v>120</v>
      </c>
      <c r="U23" s="113" t="s">
        <v>120</v>
      </c>
      <c r="V23" s="113" t="s">
        <v>120</v>
      </c>
      <c r="W23" s="113" t="s">
        <v>121</v>
      </c>
      <c r="X23" s="113" t="s">
        <v>120</v>
      </c>
      <c r="Y23" s="113" t="s">
        <v>120</v>
      </c>
      <c r="Z23" s="112" t="s">
        <v>120</v>
      </c>
      <c r="AA23" s="112" t="s">
        <v>120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24" customHeight="1" x14ac:dyDescent="0.25">
      <c r="A25" s="62">
        <v>1</v>
      </c>
      <c r="B25" s="63"/>
      <c r="C25" s="63"/>
      <c r="D25" s="63"/>
      <c r="E25" s="61"/>
      <c r="F25" s="61"/>
      <c r="G25" s="62">
        <v>110</v>
      </c>
      <c r="H25" s="62"/>
      <c r="I25" s="62">
        <v>110</v>
      </c>
      <c r="J25" s="60"/>
      <c r="K25" s="60"/>
      <c r="L25" s="172"/>
      <c r="M25" s="172"/>
      <c r="N25" s="391"/>
      <c r="O25" s="391"/>
      <c r="P25" s="392" t="s">
        <v>564</v>
      </c>
      <c r="Q25" s="391"/>
      <c r="R25" s="393">
        <v>1.655</v>
      </c>
      <c r="S25" s="60"/>
      <c r="T25" s="60"/>
      <c r="U25" s="60"/>
      <c r="V25" s="60"/>
      <c r="W25" s="391"/>
      <c r="X25" s="63"/>
      <c r="Y25" s="63"/>
      <c r="Z25" s="63"/>
      <c r="AA25" s="63"/>
    </row>
    <row r="26" spans="1:27" ht="3" customHeight="1" x14ac:dyDescent="0.25">
      <c r="X26" s="114"/>
      <c r="Y26" s="115"/>
      <c r="Z26" s="52"/>
      <c r="AA26" s="52"/>
    </row>
    <row r="27" spans="1:27" s="57" customFormat="1" ht="12.75" x14ac:dyDescent="0.2">
      <c r="A27" s="58"/>
      <c r="B27" s="58"/>
      <c r="C27" s="58"/>
      <c r="E27" s="58"/>
      <c r="X27" s="116"/>
      <c r="Y27" s="116"/>
      <c r="Z27" s="116"/>
      <c r="AA27" s="116"/>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88" t="str">
        <f>'1. паспорт местоположение'!A5:C5</f>
        <v>Год раскрытия информации: 2016 год</v>
      </c>
      <c r="B5" s="288"/>
      <c r="C5" s="288"/>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2" customFormat="1" ht="18.75" x14ac:dyDescent="0.3">
      <c r="A6" s="17"/>
      <c r="E6" s="16"/>
      <c r="F6" s="16"/>
      <c r="G6" s="15"/>
    </row>
    <row r="7" spans="1:29" s="12" customFormat="1" ht="18.75" x14ac:dyDescent="0.2">
      <c r="A7" s="284" t="s">
        <v>10</v>
      </c>
      <c r="B7" s="284"/>
      <c r="C7" s="284"/>
      <c r="D7" s="13"/>
      <c r="E7" s="13"/>
      <c r="F7" s="13"/>
      <c r="G7" s="13"/>
      <c r="H7" s="13"/>
      <c r="I7" s="13"/>
      <c r="J7" s="13"/>
      <c r="K7" s="13"/>
      <c r="L7" s="13"/>
      <c r="M7" s="13"/>
      <c r="N7" s="13"/>
      <c r="O7" s="13"/>
      <c r="P7" s="13"/>
      <c r="Q7" s="13"/>
      <c r="R7" s="13"/>
      <c r="S7" s="13"/>
      <c r="T7" s="13"/>
      <c r="U7" s="13"/>
    </row>
    <row r="8" spans="1:29" s="12" customFormat="1" ht="18.75" x14ac:dyDescent="0.2">
      <c r="A8" s="284"/>
      <c r="B8" s="284"/>
      <c r="C8" s="284"/>
      <c r="D8" s="14"/>
      <c r="E8" s="14"/>
      <c r="F8" s="14"/>
      <c r="G8" s="14"/>
      <c r="H8" s="13"/>
      <c r="I8" s="13"/>
      <c r="J8" s="13"/>
      <c r="K8" s="13"/>
      <c r="L8" s="13"/>
      <c r="M8" s="13"/>
      <c r="N8" s="13"/>
      <c r="O8" s="13"/>
      <c r="P8" s="13"/>
      <c r="Q8" s="13"/>
      <c r="R8" s="13"/>
      <c r="S8" s="13"/>
      <c r="T8" s="13"/>
      <c r="U8" s="13"/>
    </row>
    <row r="9" spans="1:29" s="12" customFormat="1" ht="18.75" x14ac:dyDescent="0.2">
      <c r="A9" s="289" t="str">
        <f>'1. паспорт местоположение'!A9:C9</f>
        <v>АО "Янтарьэнерго"</v>
      </c>
      <c r="B9" s="289"/>
      <c r="C9" s="289"/>
      <c r="D9" s="8"/>
      <c r="E9" s="8"/>
      <c r="F9" s="8"/>
      <c r="G9" s="8"/>
      <c r="H9" s="13"/>
      <c r="I9" s="13"/>
      <c r="J9" s="13"/>
      <c r="K9" s="13"/>
      <c r="L9" s="13"/>
      <c r="M9" s="13"/>
      <c r="N9" s="13"/>
      <c r="O9" s="13"/>
      <c r="P9" s="13"/>
      <c r="Q9" s="13"/>
      <c r="R9" s="13"/>
      <c r="S9" s="13"/>
      <c r="T9" s="13"/>
      <c r="U9" s="13"/>
    </row>
    <row r="10" spans="1:29" s="12" customFormat="1" ht="18.75" x14ac:dyDescent="0.2">
      <c r="A10" s="281" t="s">
        <v>9</v>
      </c>
      <c r="B10" s="281"/>
      <c r="C10" s="281"/>
      <c r="D10" s="6"/>
      <c r="E10" s="6"/>
      <c r="F10" s="6"/>
      <c r="G10" s="6"/>
      <c r="H10" s="13"/>
      <c r="I10" s="13"/>
      <c r="J10" s="13"/>
      <c r="K10" s="13"/>
      <c r="L10" s="13"/>
      <c r="M10" s="13"/>
      <c r="N10" s="13"/>
      <c r="O10" s="13"/>
      <c r="P10" s="13"/>
      <c r="Q10" s="13"/>
      <c r="R10" s="13"/>
      <c r="S10" s="13"/>
      <c r="T10" s="13"/>
      <c r="U10" s="13"/>
    </row>
    <row r="11" spans="1:29" s="12" customFormat="1" ht="18.75" x14ac:dyDescent="0.2">
      <c r="A11" s="284"/>
      <c r="B11" s="284"/>
      <c r="C11" s="284"/>
      <c r="D11" s="14"/>
      <c r="E11" s="14"/>
      <c r="F11" s="14"/>
      <c r="G11" s="14"/>
      <c r="H11" s="13"/>
      <c r="I11" s="13"/>
      <c r="J11" s="13"/>
      <c r="K11" s="13"/>
      <c r="L11" s="13"/>
      <c r="M11" s="13"/>
      <c r="N11" s="13"/>
      <c r="O11" s="13"/>
      <c r="P11" s="13"/>
      <c r="Q11" s="13"/>
      <c r="R11" s="13"/>
      <c r="S11" s="13"/>
      <c r="T11" s="13"/>
      <c r="U11" s="13"/>
    </row>
    <row r="12" spans="1:29" s="12" customFormat="1" ht="18.75" x14ac:dyDescent="0.2">
      <c r="A12" s="289" t="str">
        <f>'1. паспорт местоположение'!A12:C12</f>
        <v>prj_111001_2498</v>
      </c>
      <c r="B12" s="289"/>
      <c r="C12" s="289"/>
      <c r="D12" s="8"/>
      <c r="E12" s="8"/>
      <c r="F12" s="8"/>
      <c r="G12" s="8"/>
      <c r="H12" s="13"/>
      <c r="I12" s="13"/>
      <c r="J12" s="13"/>
      <c r="K12" s="13"/>
      <c r="L12" s="13"/>
      <c r="M12" s="13"/>
      <c r="N12" s="13"/>
      <c r="O12" s="13"/>
      <c r="P12" s="13"/>
      <c r="Q12" s="13"/>
      <c r="R12" s="13"/>
      <c r="S12" s="13"/>
      <c r="T12" s="13"/>
      <c r="U12" s="13"/>
    </row>
    <row r="13" spans="1:29" s="12" customFormat="1" ht="18.75" x14ac:dyDescent="0.2">
      <c r="A13" s="281" t="s">
        <v>8</v>
      </c>
      <c r="B13" s="281"/>
      <c r="C13" s="28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93"/>
      <c r="B14" s="293"/>
      <c r="C14" s="293"/>
      <c r="D14" s="10"/>
      <c r="E14" s="10"/>
      <c r="F14" s="10"/>
      <c r="G14" s="10"/>
      <c r="H14" s="10"/>
      <c r="I14" s="10"/>
      <c r="J14" s="10"/>
      <c r="K14" s="10"/>
      <c r="L14" s="10"/>
      <c r="M14" s="10"/>
      <c r="N14" s="10"/>
      <c r="O14" s="10"/>
      <c r="P14" s="10"/>
      <c r="Q14" s="10"/>
      <c r="R14" s="10"/>
      <c r="S14" s="10"/>
      <c r="T14" s="10"/>
      <c r="U14" s="10"/>
    </row>
    <row r="15" spans="1:29" s="3" customFormat="1" ht="45.75" customHeight="1" x14ac:dyDescent="0.2">
      <c r="A15" s="318" t="str">
        <f>'1. паспорт местоположение'!A15:C15</f>
        <v>Строительство ПС 110/10кВ Береговая с заходами 4-х КЛ 110 кВ от ПС 110 кВ Береговая на ВЛ 110 кВ № 115/116 (ПС Центральная - ПС Московская/ ПС Центральная - ПС Северная), г. Калининград</v>
      </c>
      <c r="B15" s="318"/>
      <c r="C15" s="318"/>
      <c r="D15" s="8"/>
      <c r="E15" s="8"/>
      <c r="F15" s="8"/>
      <c r="G15" s="8"/>
      <c r="H15" s="8"/>
      <c r="I15" s="8"/>
      <c r="J15" s="8"/>
      <c r="K15" s="8"/>
      <c r="L15" s="8"/>
      <c r="M15" s="8"/>
      <c r="N15" s="8"/>
      <c r="O15" s="8"/>
      <c r="P15" s="8"/>
      <c r="Q15" s="8"/>
      <c r="R15" s="8"/>
      <c r="S15" s="8"/>
      <c r="T15" s="8"/>
      <c r="U15" s="8"/>
    </row>
    <row r="16" spans="1:29" s="3" customFormat="1" ht="15" customHeight="1" x14ac:dyDescent="0.2">
      <c r="A16" s="281" t="s">
        <v>7</v>
      </c>
      <c r="B16" s="281"/>
      <c r="C16" s="281"/>
      <c r="D16" s="6"/>
      <c r="E16" s="6"/>
      <c r="F16" s="6"/>
      <c r="G16" s="6"/>
      <c r="H16" s="6"/>
      <c r="I16" s="6"/>
      <c r="J16" s="6"/>
      <c r="K16" s="6"/>
      <c r="L16" s="6"/>
      <c r="M16" s="6"/>
      <c r="N16" s="6"/>
      <c r="O16" s="6"/>
      <c r="P16" s="6"/>
      <c r="Q16" s="6"/>
      <c r="R16" s="6"/>
      <c r="S16" s="6"/>
      <c r="T16" s="6"/>
      <c r="U16" s="6"/>
    </row>
    <row r="17" spans="1:21" s="3" customFormat="1" ht="15" customHeight="1" x14ac:dyDescent="0.2">
      <c r="A17" s="294"/>
      <c r="B17" s="294"/>
      <c r="C17" s="294"/>
      <c r="D17" s="4"/>
      <c r="E17" s="4"/>
      <c r="F17" s="4"/>
      <c r="G17" s="4"/>
      <c r="H17" s="4"/>
      <c r="I17" s="4"/>
      <c r="J17" s="4"/>
      <c r="K17" s="4"/>
      <c r="L17" s="4"/>
      <c r="M17" s="4"/>
      <c r="N17" s="4"/>
      <c r="O17" s="4"/>
      <c r="P17" s="4"/>
      <c r="Q17" s="4"/>
      <c r="R17" s="4"/>
    </row>
    <row r="18" spans="1:21" s="3" customFormat="1" ht="27.75" customHeight="1" x14ac:dyDescent="0.2">
      <c r="A18" s="282" t="s">
        <v>447</v>
      </c>
      <c r="B18" s="282"/>
      <c r="C18" s="28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78.75" x14ac:dyDescent="0.2">
      <c r="A22" s="24" t="s">
        <v>66</v>
      </c>
      <c r="B22" s="30" t="s">
        <v>460</v>
      </c>
      <c r="C22" s="50" t="s">
        <v>554</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480</v>
      </c>
      <c r="C24" s="25"/>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481</v>
      </c>
      <c r="C25" s="25"/>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229</v>
      </c>
      <c r="C26" s="25"/>
      <c r="D26" s="23"/>
      <c r="E26" s="23"/>
      <c r="F26" s="23"/>
      <c r="G26" s="23"/>
      <c r="H26" s="23"/>
      <c r="I26" s="23"/>
      <c r="J26" s="23"/>
      <c r="K26" s="23"/>
      <c r="L26" s="23"/>
      <c r="M26" s="23"/>
      <c r="N26" s="23"/>
      <c r="O26" s="23"/>
      <c r="P26" s="23"/>
      <c r="Q26" s="23"/>
      <c r="R26" s="23"/>
      <c r="S26" s="23"/>
      <c r="T26" s="23"/>
      <c r="U26" s="23"/>
    </row>
    <row r="27" spans="1:21" ht="173.25" x14ac:dyDescent="0.25">
      <c r="A27" s="24" t="s">
        <v>59</v>
      </c>
      <c r="B27" s="26" t="s">
        <v>461</v>
      </c>
      <c r="C27" s="25" t="s">
        <v>546</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2014</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2017</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545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90" zoomScaleNormal="80" zoomScaleSheetLayoutView="9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288" t="str">
        <f>'1. паспорт местоположение'!A5:C5</f>
        <v>Год раскрытия информации: 2016 год</v>
      </c>
      <c r="B4" s="288"/>
      <c r="C4" s="288"/>
      <c r="D4" s="288"/>
      <c r="E4" s="288"/>
      <c r="F4" s="288"/>
      <c r="G4" s="288"/>
      <c r="H4" s="288"/>
      <c r="I4" s="288"/>
      <c r="J4" s="288"/>
      <c r="K4" s="288"/>
      <c r="L4" s="288"/>
      <c r="M4" s="288"/>
      <c r="N4" s="288"/>
      <c r="O4" s="288"/>
      <c r="P4" s="288"/>
      <c r="Q4" s="288"/>
      <c r="R4" s="288"/>
      <c r="S4" s="288"/>
      <c r="T4" s="288"/>
      <c r="U4" s="288"/>
      <c r="V4" s="288"/>
      <c r="W4" s="288"/>
      <c r="X4" s="288"/>
      <c r="Y4" s="288"/>
      <c r="Z4" s="288"/>
    </row>
    <row r="6" spans="1:28" ht="18.75" x14ac:dyDescent="0.25">
      <c r="A6" s="284" t="s">
        <v>10</v>
      </c>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164"/>
      <c r="AB6" s="164"/>
    </row>
    <row r="7" spans="1:28" ht="18.75" x14ac:dyDescent="0.25">
      <c r="A7" s="284"/>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164"/>
      <c r="AB7" s="164"/>
    </row>
    <row r="8" spans="1:28" ht="15.75" x14ac:dyDescent="0.25">
      <c r="A8" s="289" t="str">
        <f>'1. паспорт местоположение'!A9:C9</f>
        <v>АО "Янтарьэнерго"</v>
      </c>
      <c r="B8" s="289"/>
      <c r="C8" s="289"/>
      <c r="D8" s="289"/>
      <c r="E8" s="289"/>
      <c r="F8" s="289"/>
      <c r="G8" s="289"/>
      <c r="H8" s="289"/>
      <c r="I8" s="289"/>
      <c r="J8" s="289"/>
      <c r="K8" s="289"/>
      <c r="L8" s="289"/>
      <c r="M8" s="289"/>
      <c r="N8" s="289"/>
      <c r="O8" s="289"/>
      <c r="P8" s="289"/>
      <c r="Q8" s="289"/>
      <c r="R8" s="289"/>
      <c r="S8" s="289"/>
      <c r="T8" s="289"/>
      <c r="U8" s="289"/>
      <c r="V8" s="289"/>
      <c r="W8" s="289"/>
      <c r="X8" s="289"/>
      <c r="Y8" s="289"/>
      <c r="Z8" s="289"/>
      <c r="AA8" s="165"/>
      <c r="AB8" s="165"/>
    </row>
    <row r="9" spans="1:28" ht="15.75" x14ac:dyDescent="0.25">
      <c r="A9" s="281" t="s">
        <v>9</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166"/>
      <c r="AB9" s="166"/>
    </row>
    <row r="10" spans="1:28" ht="18.75" x14ac:dyDescent="0.25">
      <c r="A10" s="284"/>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164"/>
      <c r="AB10" s="164"/>
    </row>
    <row r="11" spans="1:28" ht="15.75" x14ac:dyDescent="0.25">
      <c r="A11" s="289" t="str">
        <f>'1. паспорт местоположение'!A12:C12</f>
        <v>prj_111001_2498</v>
      </c>
      <c r="B11" s="289"/>
      <c r="C11" s="289"/>
      <c r="D11" s="289"/>
      <c r="E11" s="289"/>
      <c r="F11" s="289"/>
      <c r="G11" s="289"/>
      <c r="H11" s="289"/>
      <c r="I11" s="289"/>
      <c r="J11" s="289"/>
      <c r="K11" s="289"/>
      <c r="L11" s="289"/>
      <c r="M11" s="289"/>
      <c r="N11" s="289"/>
      <c r="O11" s="289"/>
      <c r="P11" s="289"/>
      <c r="Q11" s="289"/>
      <c r="R11" s="289"/>
      <c r="S11" s="289"/>
      <c r="T11" s="289"/>
      <c r="U11" s="289"/>
      <c r="V11" s="289"/>
      <c r="W11" s="289"/>
      <c r="X11" s="289"/>
      <c r="Y11" s="289"/>
      <c r="Z11" s="289"/>
      <c r="AA11" s="165"/>
      <c r="AB11" s="165"/>
    </row>
    <row r="12" spans="1:28" ht="15.75" x14ac:dyDescent="0.25">
      <c r="A12" s="281" t="s">
        <v>8</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166"/>
      <c r="AB12" s="166"/>
    </row>
    <row r="13" spans="1:28" ht="18.75" x14ac:dyDescent="0.25">
      <c r="A13" s="293"/>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11"/>
      <c r="AB13" s="11"/>
    </row>
    <row r="14" spans="1:28" ht="15.75" x14ac:dyDescent="0.25">
      <c r="A14" s="289" t="str">
        <f>'1. паспорт местоположение'!A15:C15</f>
        <v>Строительство ПС 110/10кВ Береговая с заходами 4-х КЛ 110 кВ от ПС 110 кВ Береговая на ВЛ 110 кВ № 115/116 (ПС Центральная - ПС Московская/ ПС Центральная - ПС Северная), г. Калининград</v>
      </c>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165"/>
      <c r="AB14" s="165"/>
    </row>
    <row r="15" spans="1:28" ht="15.75" x14ac:dyDescent="0.25">
      <c r="A15" s="281" t="s">
        <v>7</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166"/>
      <c r="AB15" s="166"/>
    </row>
    <row r="16" spans="1:28"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175"/>
      <c r="AB16" s="175"/>
    </row>
    <row r="17" spans="1:2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175"/>
      <c r="AB17" s="175"/>
    </row>
    <row r="18" spans="1:28"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175"/>
      <c r="AB18" s="175"/>
    </row>
    <row r="19" spans="1:28"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175"/>
      <c r="AB19" s="175"/>
    </row>
    <row r="20" spans="1:2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176"/>
      <c r="AB20" s="176"/>
    </row>
    <row r="21" spans="1:28" x14ac:dyDescent="0.25">
      <c r="A21" s="319"/>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176"/>
      <c r="AB21" s="176"/>
    </row>
    <row r="22" spans="1:28" x14ac:dyDescent="0.25">
      <c r="A22" s="320" t="s">
        <v>479</v>
      </c>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177"/>
      <c r="AB22" s="177"/>
    </row>
    <row r="23" spans="1:28" ht="32.25" customHeight="1" x14ac:dyDescent="0.25">
      <c r="A23" s="322" t="s">
        <v>356</v>
      </c>
      <c r="B23" s="323"/>
      <c r="C23" s="323"/>
      <c r="D23" s="323"/>
      <c r="E23" s="323"/>
      <c r="F23" s="323"/>
      <c r="G23" s="323"/>
      <c r="H23" s="323"/>
      <c r="I23" s="323"/>
      <c r="J23" s="323"/>
      <c r="K23" s="323"/>
      <c r="L23" s="324"/>
      <c r="M23" s="321" t="s">
        <v>357</v>
      </c>
      <c r="N23" s="321"/>
      <c r="O23" s="321"/>
      <c r="P23" s="321"/>
      <c r="Q23" s="321"/>
      <c r="R23" s="321"/>
      <c r="S23" s="321"/>
      <c r="T23" s="321"/>
      <c r="U23" s="321"/>
      <c r="V23" s="321"/>
      <c r="W23" s="321"/>
      <c r="X23" s="321"/>
      <c r="Y23" s="321"/>
      <c r="Z23" s="321"/>
    </row>
    <row r="24" spans="1:28" ht="151.5" customHeight="1" x14ac:dyDescent="0.25">
      <c r="A24" s="109" t="s">
        <v>232</v>
      </c>
      <c r="B24" s="110" t="s">
        <v>261</v>
      </c>
      <c r="C24" s="109" t="s">
        <v>351</v>
      </c>
      <c r="D24" s="109" t="s">
        <v>233</v>
      </c>
      <c r="E24" s="109" t="s">
        <v>352</v>
      </c>
      <c r="F24" s="109" t="s">
        <v>354</v>
      </c>
      <c r="G24" s="109" t="s">
        <v>353</v>
      </c>
      <c r="H24" s="109" t="s">
        <v>234</v>
      </c>
      <c r="I24" s="109" t="s">
        <v>355</v>
      </c>
      <c r="J24" s="109" t="s">
        <v>266</v>
      </c>
      <c r="K24" s="110" t="s">
        <v>260</v>
      </c>
      <c r="L24" s="110" t="s">
        <v>235</v>
      </c>
      <c r="M24" s="111" t="s">
        <v>280</v>
      </c>
      <c r="N24" s="110" t="s">
        <v>489</v>
      </c>
      <c r="O24" s="109" t="s">
        <v>277</v>
      </c>
      <c r="P24" s="109" t="s">
        <v>278</v>
      </c>
      <c r="Q24" s="109" t="s">
        <v>276</v>
      </c>
      <c r="R24" s="109" t="s">
        <v>234</v>
      </c>
      <c r="S24" s="109" t="s">
        <v>275</v>
      </c>
      <c r="T24" s="109" t="s">
        <v>274</v>
      </c>
      <c r="U24" s="109" t="s">
        <v>350</v>
      </c>
      <c r="V24" s="109" t="s">
        <v>276</v>
      </c>
      <c r="W24" s="118" t="s">
        <v>259</v>
      </c>
      <c r="X24" s="118" t="s">
        <v>291</v>
      </c>
      <c r="Y24" s="118" t="s">
        <v>292</v>
      </c>
      <c r="Z24" s="120" t="s">
        <v>289</v>
      </c>
    </row>
    <row r="25" spans="1:28" ht="16.5" customHeight="1" x14ac:dyDescent="0.25">
      <c r="A25" s="109">
        <v>1</v>
      </c>
      <c r="B25" s="110">
        <v>2</v>
      </c>
      <c r="C25" s="109">
        <v>3</v>
      </c>
      <c r="D25" s="110">
        <v>4</v>
      </c>
      <c r="E25" s="109">
        <v>5</v>
      </c>
      <c r="F25" s="110">
        <v>6</v>
      </c>
      <c r="G25" s="109">
        <v>7</v>
      </c>
      <c r="H25" s="110">
        <v>8</v>
      </c>
      <c r="I25" s="109">
        <v>9</v>
      </c>
      <c r="J25" s="110">
        <v>10</v>
      </c>
      <c r="K25" s="178">
        <v>11</v>
      </c>
      <c r="L25" s="110">
        <v>12</v>
      </c>
      <c r="M25" s="178">
        <v>13</v>
      </c>
      <c r="N25" s="110">
        <v>14</v>
      </c>
      <c r="O25" s="178">
        <v>15</v>
      </c>
      <c r="P25" s="110">
        <v>16</v>
      </c>
      <c r="Q25" s="178">
        <v>17</v>
      </c>
      <c r="R25" s="110">
        <v>18</v>
      </c>
      <c r="S25" s="178">
        <v>19</v>
      </c>
      <c r="T25" s="110">
        <v>20</v>
      </c>
      <c r="U25" s="178">
        <v>21</v>
      </c>
      <c r="V25" s="110">
        <v>22</v>
      </c>
      <c r="W25" s="178">
        <v>23</v>
      </c>
      <c r="X25" s="110">
        <v>24</v>
      </c>
      <c r="Y25" s="178">
        <v>25</v>
      </c>
      <c r="Z25" s="110">
        <v>26</v>
      </c>
    </row>
    <row r="26" spans="1:28" ht="45.75" customHeight="1" x14ac:dyDescent="0.25">
      <c r="A26" s="102" t="s">
        <v>335</v>
      </c>
      <c r="B26" s="108"/>
      <c r="C26" s="104" t="s">
        <v>337</v>
      </c>
      <c r="D26" s="104" t="s">
        <v>338</v>
      </c>
      <c r="E26" s="104" t="s">
        <v>339</v>
      </c>
      <c r="F26" s="104" t="s">
        <v>271</v>
      </c>
      <c r="G26" s="104" t="s">
        <v>340</v>
      </c>
      <c r="H26" s="104" t="s">
        <v>234</v>
      </c>
      <c r="I26" s="104" t="s">
        <v>341</v>
      </c>
      <c r="J26" s="104" t="s">
        <v>342</v>
      </c>
      <c r="K26" s="101"/>
      <c r="L26" s="105" t="s">
        <v>257</v>
      </c>
      <c r="M26" s="107" t="s">
        <v>273</v>
      </c>
      <c r="N26" s="101"/>
      <c r="O26" s="101"/>
      <c r="P26" s="101"/>
      <c r="Q26" s="101"/>
      <c r="R26" s="101"/>
      <c r="S26" s="101"/>
      <c r="T26" s="101"/>
      <c r="U26" s="101"/>
      <c r="V26" s="101"/>
      <c r="W26" s="101"/>
      <c r="X26" s="101"/>
      <c r="Y26" s="101"/>
      <c r="Z26" s="103" t="s">
        <v>290</v>
      </c>
    </row>
    <row r="27" spans="1:28" x14ac:dyDescent="0.25">
      <c r="A27" s="101" t="s">
        <v>236</v>
      </c>
      <c r="B27" s="101" t="s">
        <v>262</v>
      </c>
      <c r="C27" s="101" t="s">
        <v>241</v>
      </c>
      <c r="D27" s="101" t="s">
        <v>242</v>
      </c>
      <c r="E27" s="101" t="s">
        <v>281</v>
      </c>
      <c r="F27" s="104" t="s">
        <v>237</v>
      </c>
      <c r="G27" s="104" t="s">
        <v>285</v>
      </c>
      <c r="H27" s="101" t="s">
        <v>234</v>
      </c>
      <c r="I27" s="104" t="s">
        <v>267</v>
      </c>
      <c r="J27" s="104" t="s">
        <v>249</v>
      </c>
      <c r="K27" s="105" t="s">
        <v>253</v>
      </c>
      <c r="L27" s="101"/>
      <c r="M27" s="105" t="s">
        <v>279</v>
      </c>
      <c r="N27" s="101"/>
      <c r="O27" s="101"/>
      <c r="P27" s="101"/>
      <c r="Q27" s="101"/>
      <c r="R27" s="101"/>
      <c r="S27" s="101"/>
      <c r="T27" s="101"/>
      <c r="U27" s="101"/>
      <c r="V27" s="101"/>
      <c r="W27" s="101"/>
      <c r="X27" s="101"/>
      <c r="Y27" s="101"/>
      <c r="Z27" s="101"/>
    </row>
    <row r="28" spans="1:28" x14ac:dyDescent="0.25">
      <c r="A28" s="101" t="s">
        <v>236</v>
      </c>
      <c r="B28" s="101" t="s">
        <v>263</v>
      </c>
      <c r="C28" s="101" t="s">
        <v>243</v>
      </c>
      <c r="D28" s="101" t="s">
        <v>244</v>
      </c>
      <c r="E28" s="101" t="s">
        <v>282</v>
      </c>
      <c r="F28" s="104" t="s">
        <v>238</v>
      </c>
      <c r="G28" s="104" t="s">
        <v>286</v>
      </c>
      <c r="H28" s="101" t="s">
        <v>234</v>
      </c>
      <c r="I28" s="104" t="s">
        <v>268</v>
      </c>
      <c r="J28" s="104" t="s">
        <v>250</v>
      </c>
      <c r="K28" s="105" t="s">
        <v>254</v>
      </c>
      <c r="L28" s="106"/>
      <c r="M28" s="105" t="s">
        <v>0</v>
      </c>
      <c r="N28" s="105"/>
      <c r="O28" s="105"/>
      <c r="P28" s="105"/>
      <c r="Q28" s="105"/>
      <c r="R28" s="105"/>
      <c r="S28" s="105"/>
      <c r="T28" s="105"/>
      <c r="U28" s="105"/>
      <c r="V28" s="105"/>
      <c r="W28" s="105"/>
      <c r="X28" s="105"/>
      <c r="Y28" s="105"/>
      <c r="Z28" s="105"/>
    </row>
    <row r="29" spans="1:28" x14ac:dyDescent="0.25">
      <c r="A29" s="101" t="s">
        <v>236</v>
      </c>
      <c r="B29" s="101" t="s">
        <v>264</v>
      </c>
      <c r="C29" s="101" t="s">
        <v>245</v>
      </c>
      <c r="D29" s="101" t="s">
        <v>246</v>
      </c>
      <c r="E29" s="101" t="s">
        <v>283</v>
      </c>
      <c r="F29" s="104" t="s">
        <v>239</v>
      </c>
      <c r="G29" s="104" t="s">
        <v>287</v>
      </c>
      <c r="H29" s="101" t="s">
        <v>234</v>
      </c>
      <c r="I29" s="104" t="s">
        <v>269</v>
      </c>
      <c r="J29" s="104" t="s">
        <v>251</v>
      </c>
      <c r="K29" s="105" t="s">
        <v>255</v>
      </c>
      <c r="L29" s="106"/>
      <c r="M29" s="101"/>
      <c r="N29" s="101"/>
      <c r="O29" s="101"/>
      <c r="P29" s="101"/>
      <c r="Q29" s="101"/>
      <c r="R29" s="101"/>
      <c r="S29" s="101"/>
      <c r="T29" s="101"/>
      <c r="U29" s="101"/>
      <c r="V29" s="101"/>
      <c r="W29" s="101"/>
      <c r="X29" s="101"/>
      <c r="Y29" s="101"/>
      <c r="Z29" s="101"/>
    </row>
    <row r="30" spans="1:28" x14ac:dyDescent="0.25">
      <c r="A30" s="101" t="s">
        <v>236</v>
      </c>
      <c r="B30" s="101" t="s">
        <v>265</v>
      </c>
      <c r="C30" s="101" t="s">
        <v>247</v>
      </c>
      <c r="D30" s="101" t="s">
        <v>248</v>
      </c>
      <c r="E30" s="101" t="s">
        <v>284</v>
      </c>
      <c r="F30" s="104" t="s">
        <v>240</v>
      </c>
      <c r="G30" s="104" t="s">
        <v>288</v>
      </c>
      <c r="H30" s="101" t="s">
        <v>234</v>
      </c>
      <c r="I30" s="104" t="s">
        <v>270</v>
      </c>
      <c r="J30" s="104" t="s">
        <v>252</v>
      </c>
      <c r="K30" s="105" t="s">
        <v>256</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336</v>
      </c>
      <c r="B32" s="108"/>
      <c r="C32" s="104" t="s">
        <v>343</v>
      </c>
      <c r="D32" s="104" t="s">
        <v>344</v>
      </c>
      <c r="E32" s="104" t="s">
        <v>345</v>
      </c>
      <c r="F32" s="104" t="s">
        <v>346</v>
      </c>
      <c r="G32" s="104" t="s">
        <v>347</v>
      </c>
      <c r="H32" s="104" t="s">
        <v>234</v>
      </c>
      <c r="I32" s="104" t="s">
        <v>348</v>
      </c>
      <c r="J32" s="104" t="s">
        <v>349</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L22" sqref="L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88" t="str">
        <f>'1. паспорт местоположение'!A5:C5</f>
        <v>Год раскрытия информации: 2016 год</v>
      </c>
      <c r="B5" s="288"/>
      <c r="C5" s="288"/>
      <c r="D5" s="288"/>
      <c r="E5" s="288"/>
      <c r="F5" s="288"/>
      <c r="G5" s="288"/>
      <c r="H5" s="288"/>
      <c r="I5" s="288"/>
      <c r="J5" s="288"/>
      <c r="K5" s="288"/>
      <c r="L5" s="288"/>
      <c r="M5" s="288"/>
      <c r="N5" s="288"/>
      <c r="O5" s="288"/>
      <c r="P5" s="174"/>
      <c r="Q5" s="174"/>
      <c r="R5" s="174"/>
      <c r="S5" s="174"/>
      <c r="T5" s="174"/>
      <c r="U5" s="174"/>
      <c r="V5" s="174"/>
      <c r="W5" s="174"/>
      <c r="X5" s="174"/>
      <c r="Y5" s="174"/>
      <c r="Z5" s="174"/>
      <c r="AA5" s="174"/>
      <c r="AB5" s="174"/>
    </row>
    <row r="6" spans="1:28" s="12" customFormat="1" ht="18.75" x14ac:dyDescent="0.3">
      <c r="A6" s="17"/>
      <c r="B6" s="17"/>
      <c r="L6" s="15"/>
    </row>
    <row r="7" spans="1:28" s="12" customFormat="1" ht="18.75" x14ac:dyDescent="0.2">
      <c r="A7" s="284" t="s">
        <v>10</v>
      </c>
      <c r="B7" s="284"/>
      <c r="C7" s="284"/>
      <c r="D7" s="284"/>
      <c r="E7" s="284"/>
      <c r="F7" s="284"/>
      <c r="G7" s="284"/>
      <c r="H7" s="284"/>
      <c r="I7" s="284"/>
      <c r="J7" s="284"/>
      <c r="K7" s="284"/>
      <c r="L7" s="284"/>
      <c r="M7" s="284"/>
      <c r="N7" s="284"/>
      <c r="O7" s="284"/>
      <c r="P7" s="13"/>
      <c r="Q7" s="13"/>
      <c r="R7" s="13"/>
      <c r="S7" s="13"/>
      <c r="T7" s="13"/>
      <c r="U7" s="13"/>
      <c r="V7" s="13"/>
      <c r="W7" s="13"/>
      <c r="X7" s="13"/>
      <c r="Y7" s="13"/>
      <c r="Z7" s="13"/>
    </row>
    <row r="8" spans="1:28" s="12" customFormat="1" ht="18.75" x14ac:dyDescent="0.2">
      <c r="A8" s="284"/>
      <c r="B8" s="284"/>
      <c r="C8" s="284"/>
      <c r="D8" s="284"/>
      <c r="E8" s="284"/>
      <c r="F8" s="284"/>
      <c r="G8" s="284"/>
      <c r="H8" s="284"/>
      <c r="I8" s="284"/>
      <c r="J8" s="284"/>
      <c r="K8" s="284"/>
      <c r="L8" s="284"/>
      <c r="M8" s="284"/>
      <c r="N8" s="284"/>
      <c r="O8" s="284"/>
      <c r="P8" s="13"/>
      <c r="Q8" s="13"/>
      <c r="R8" s="13"/>
      <c r="S8" s="13"/>
      <c r="T8" s="13"/>
      <c r="U8" s="13"/>
      <c r="V8" s="13"/>
      <c r="W8" s="13"/>
      <c r="X8" s="13"/>
      <c r="Y8" s="13"/>
      <c r="Z8" s="13"/>
    </row>
    <row r="9" spans="1:28" s="12" customFormat="1" ht="18.75" x14ac:dyDescent="0.2">
      <c r="A9" s="289" t="str">
        <f>'1. паспорт местоположение'!A9:C9</f>
        <v>АО "Янтарьэнерго"</v>
      </c>
      <c r="B9" s="289"/>
      <c r="C9" s="289"/>
      <c r="D9" s="289"/>
      <c r="E9" s="289"/>
      <c r="F9" s="289"/>
      <c r="G9" s="289"/>
      <c r="H9" s="289"/>
      <c r="I9" s="289"/>
      <c r="J9" s="289"/>
      <c r="K9" s="289"/>
      <c r="L9" s="289"/>
      <c r="M9" s="289"/>
      <c r="N9" s="289"/>
      <c r="O9" s="289"/>
      <c r="P9" s="13"/>
      <c r="Q9" s="13"/>
      <c r="R9" s="13"/>
      <c r="S9" s="13"/>
      <c r="T9" s="13"/>
      <c r="U9" s="13"/>
      <c r="V9" s="13"/>
      <c r="W9" s="13"/>
      <c r="X9" s="13"/>
      <c r="Y9" s="13"/>
      <c r="Z9" s="13"/>
    </row>
    <row r="10" spans="1:28" s="12" customFormat="1" ht="18.75" x14ac:dyDescent="0.2">
      <c r="A10" s="281" t="s">
        <v>9</v>
      </c>
      <c r="B10" s="281"/>
      <c r="C10" s="281"/>
      <c r="D10" s="281"/>
      <c r="E10" s="281"/>
      <c r="F10" s="281"/>
      <c r="G10" s="281"/>
      <c r="H10" s="281"/>
      <c r="I10" s="281"/>
      <c r="J10" s="281"/>
      <c r="K10" s="281"/>
      <c r="L10" s="281"/>
      <c r="M10" s="281"/>
      <c r="N10" s="281"/>
      <c r="O10" s="281"/>
      <c r="P10" s="13"/>
      <c r="Q10" s="13"/>
      <c r="R10" s="13"/>
      <c r="S10" s="13"/>
      <c r="T10" s="13"/>
      <c r="U10" s="13"/>
      <c r="V10" s="13"/>
      <c r="W10" s="13"/>
      <c r="X10" s="13"/>
      <c r="Y10" s="13"/>
      <c r="Z10" s="13"/>
    </row>
    <row r="11" spans="1:28" s="12" customFormat="1" ht="18.75" x14ac:dyDescent="0.2">
      <c r="A11" s="284"/>
      <c r="B11" s="284"/>
      <c r="C11" s="284"/>
      <c r="D11" s="284"/>
      <c r="E11" s="284"/>
      <c r="F11" s="284"/>
      <c r="G11" s="284"/>
      <c r="H11" s="284"/>
      <c r="I11" s="284"/>
      <c r="J11" s="284"/>
      <c r="K11" s="284"/>
      <c r="L11" s="284"/>
      <c r="M11" s="284"/>
      <c r="N11" s="284"/>
      <c r="O11" s="284"/>
      <c r="P11" s="13"/>
      <c r="Q11" s="13"/>
      <c r="R11" s="13"/>
      <c r="S11" s="13"/>
      <c r="T11" s="13"/>
      <c r="U11" s="13"/>
      <c r="V11" s="13"/>
      <c r="W11" s="13"/>
      <c r="X11" s="13"/>
      <c r="Y11" s="13"/>
      <c r="Z11" s="13"/>
    </row>
    <row r="12" spans="1:28" s="12" customFormat="1" ht="18.75" x14ac:dyDescent="0.2">
      <c r="A12" s="289" t="str">
        <f>'1. паспорт местоположение'!A12:C12</f>
        <v>prj_111001_2498</v>
      </c>
      <c r="B12" s="289"/>
      <c r="C12" s="289"/>
      <c r="D12" s="289"/>
      <c r="E12" s="289"/>
      <c r="F12" s="289"/>
      <c r="G12" s="289"/>
      <c r="H12" s="289"/>
      <c r="I12" s="289"/>
      <c r="J12" s="289"/>
      <c r="K12" s="289"/>
      <c r="L12" s="289"/>
      <c r="M12" s="289"/>
      <c r="N12" s="289"/>
      <c r="O12" s="289"/>
      <c r="P12" s="13"/>
      <c r="Q12" s="13"/>
      <c r="R12" s="13"/>
      <c r="S12" s="13"/>
      <c r="T12" s="13"/>
      <c r="U12" s="13"/>
      <c r="V12" s="13"/>
      <c r="W12" s="13"/>
      <c r="X12" s="13"/>
      <c r="Y12" s="13"/>
      <c r="Z12" s="13"/>
    </row>
    <row r="13" spans="1:28" s="12" customFormat="1" ht="18.75" x14ac:dyDescent="0.2">
      <c r="A13" s="281" t="s">
        <v>8</v>
      </c>
      <c r="B13" s="281"/>
      <c r="C13" s="281"/>
      <c r="D13" s="281"/>
      <c r="E13" s="281"/>
      <c r="F13" s="281"/>
      <c r="G13" s="281"/>
      <c r="H13" s="281"/>
      <c r="I13" s="281"/>
      <c r="J13" s="281"/>
      <c r="K13" s="281"/>
      <c r="L13" s="281"/>
      <c r="M13" s="281"/>
      <c r="N13" s="281"/>
      <c r="O13" s="281"/>
      <c r="P13" s="13"/>
      <c r="Q13" s="13"/>
      <c r="R13" s="13"/>
      <c r="S13" s="13"/>
      <c r="T13" s="13"/>
      <c r="U13" s="13"/>
      <c r="V13" s="13"/>
      <c r="W13" s="13"/>
      <c r="X13" s="13"/>
      <c r="Y13" s="13"/>
      <c r="Z13" s="13"/>
    </row>
    <row r="14" spans="1:28" s="9" customFormat="1" ht="15.75" customHeight="1" x14ac:dyDescent="0.2">
      <c r="A14" s="293"/>
      <c r="B14" s="293"/>
      <c r="C14" s="293"/>
      <c r="D14" s="293"/>
      <c r="E14" s="293"/>
      <c r="F14" s="293"/>
      <c r="G14" s="293"/>
      <c r="H14" s="293"/>
      <c r="I14" s="293"/>
      <c r="J14" s="293"/>
      <c r="K14" s="293"/>
      <c r="L14" s="293"/>
      <c r="M14" s="293"/>
      <c r="N14" s="293"/>
      <c r="O14" s="293"/>
      <c r="P14" s="10"/>
      <c r="Q14" s="10"/>
      <c r="R14" s="10"/>
      <c r="S14" s="10"/>
      <c r="T14" s="10"/>
      <c r="U14" s="10"/>
      <c r="V14" s="10"/>
      <c r="W14" s="10"/>
      <c r="X14" s="10"/>
      <c r="Y14" s="10"/>
      <c r="Z14" s="10"/>
    </row>
    <row r="15" spans="1:28" s="3" customFormat="1" ht="15.75" x14ac:dyDescent="0.2">
      <c r="A15" s="289" t="str">
        <f>'1. паспорт местоположение'!A15:C15</f>
        <v>Строительство ПС 110/10кВ Береговая с заходами 4-х КЛ 110 кВ от ПС 110 кВ Береговая на ВЛ 110 кВ № 115/116 (ПС Центральная - ПС Московская/ ПС Центральная - ПС Северная), г. Калининград</v>
      </c>
      <c r="B15" s="289"/>
      <c r="C15" s="289"/>
      <c r="D15" s="289"/>
      <c r="E15" s="289"/>
      <c r="F15" s="289"/>
      <c r="G15" s="289"/>
      <c r="H15" s="289"/>
      <c r="I15" s="289"/>
      <c r="J15" s="289"/>
      <c r="K15" s="289"/>
      <c r="L15" s="289"/>
      <c r="M15" s="289"/>
      <c r="N15" s="289"/>
      <c r="O15" s="289"/>
      <c r="P15" s="8"/>
      <c r="Q15" s="8"/>
      <c r="R15" s="8"/>
      <c r="S15" s="8"/>
      <c r="T15" s="8"/>
      <c r="U15" s="8"/>
      <c r="V15" s="8"/>
      <c r="W15" s="8"/>
      <c r="X15" s="8"/>
      <c r="Y15" s="8"/>
      <c r="Z15" s="8"/>
    </row>
    <row r="16" spans="1:28" s="3" customFormat="1" ht="15" customHeight="1" x14ac:dyDescent="0.2">
      <c r="A16" s="281" t="s">
        <v>7</v>
      </c>
      <c r="B16" s="281"/>
      <c r="C16" s="281"/>
      <c r="D16" s="281"/>
      <c r="E16" s="281"/>
      <c r="F16" s="281"/>
      <c r="G16" s="281"/>
      <c r="H16" s="281"/>
      <c r="I16" s="281"/>
      <c r="J16" s="281"/>
      <c r="K16" s="281"/>
      <c r="L16" s="281"/>
      <c r="M16" s="281"/>
      <c r="N16" s="281"/>
      <c r="O16" s="281"/>
      <c r="P16" s="6"/>
      <c r="Q16" s="6"/>
      <c r="R16" s="6"/>
      <c r="S16" s="6"/>
      <c r="T16" s="6"/>
      <c r="U16" s="6"/>
      <c r="V16" s="6"/>
      <c r="W16" s="6"/>
      <c r="X16" s="6"/>
      <c r="Y16" s="6"/>
      <c r="Z16" s="6"/>
    </row>
    <row r="17" spans="1:26" s="3" customFormat="1" ht="15" customHeight="1" x14ac:dyDescent="0.2">
      <c r="A17" s="294"/>
      <c r="B17" s="294"/>
      <c r="C17" s="294"/>
      <c r="D17" s="294"/>
      <c r="E17" s="294"/>
      <c r="F17" s="294"/>
      <c r="G17" s="294"/>
      <c r="H17" s="294"/>
      <c r="I17" s="294"/>
      <c r="J17" s="294"/>
      <c r="K17" s="294"/>
      <c r="L17" s="294"/>
      <c r="M17" s="294"/>
      <c r="N17" s="294"/>
      <c r="O17" s="294"/>
      <c r="P17" s="4"/>
      <c r="Q17" s="4"/>
      <c r="R17" s="4"/>
      <c r="S17" s="4"/>
      <c r="T17" s="4"/>
      <c r="U17" s="4"/>
      <c r="V17" s="4"/>
      <c r="W17" s="4"/>
    </row>
    <row r="18" spans="1:26" s="3" customFormat="1" ht="91.5" customHeight="1" x14ac:dyDescent="0.2">
      <c r="A18" s="329" t="s">
        <v>456</v>
      </c>
      <c r="B18" s="329"/>
      <c r="C18" s="329"/>
      <c r="D18" s="329"/>
      <c r="E18" s="329"/>
      <c r="F18" s="329"/>
      <c r="G18" s="329"/>
      <c r="H18" s="329"/>
      <c r="I18" s="329"/>
      <c r="J18" s="329"/>
      <c r="K18" s="329"/>
      <c r="L18" s="329"/>
      <c r="M18" s="329"/>
      <c r="N18" s="329"/>
      <c r="O18" s="329"/>
      <c r="P18" s="7"/>
      <c r="Q18" s="7"/>
      <c r="R18" s="7"/>
      <c r="S18" s="7"/>
      <c r="T18" s="7"/>
      <c r="U18" s="7"/>
      <c r="V18" s="7"/>
      <c r="W18" s="7"/>
      <c r="X18" s="7"/>
      <c r="Y18" s="7"/>
      <c r="Z18" s="7"/>
    </row>
    <row r="19" spans="1:26" s="3" customFormat="1" ht="78" customHeight="1" x14ac:dyDescent="0.2">
      <c r="A19" s="287" t="s">
        <v>6</v>
      </c>
      <c r="B19" s="287" t="s">
        <v>89</v>
      </c>
      <c r="C19" s="287" t="s">
        <v>88</v>
      </c>
      <c r="D19" s="287" t="s">
        <v>77</v>
      </c>
      <c r="E19" s="326" t="s">
        <v>87</v>
      </c>
      <c r="F19" s="327"/>
      <c r="G19" s="327"/>
      <c r="H19" s="327"/>
      <c r="I19" s="328"/>
      <c r="J19" s="287" t="s">
        <v>86</v>
      </c>
      <c r="K19" s="287"/>
      <c r="L19" s="287"/>
      <c r="M19" s="287"/>
      <c r="N19" s="287"/>
      <c r="O19" s="287"/>
      <c r="P19" s="4"/>
      <c r="Q19" s="4"/>
      <c r="R19" s="4"/>
      <c r="S19" s="4"/>
      <c r="T19" s="4"/>
      <c r="U19" s="4"/>
      <c r="V19" s="4"/>
      <c r="W19" s="4"/>
    </row>
    <row r="20" spans="1:26" s="3" customFormat="1" ht="51" customHeight="1" x14ac:dyDescent="0.2">
      <c r="A20" s="287"/>
      <c r="B20" s="287"/>
      <c r="C20" s="287"/>
      <c r="D20" s="287"/>
      <c r="E20" s="42" t="s">
        <v>85</v>
      </c>
      <c r="F20" s="42" t="s">
        <v>84</v>
      </c>
      <c r="G20" s="42" t="s">
        <v>83</v>
      </c>
      <c r="H20" s="42" t="s">
        <v>82</v>
      </c>
      <c r="I20" s="42" t="s">
        <v>81</v>
      </c>
      <c r="J20" s="42" t="s">
        <v>80</v>
      </c>
      <c r="K20" s="42" t="s">
        <v>5</v>
      </c>
      <c r="L20" s="49" t="s">
        <v>4</v>
      </c>
      <c r="M20" s="48" t="s">
        <v>230</v>
      </c>
      <c r="N20" s="48" t="s">
        <v>79</v>
      </c>
      <c r="O20" s="48" t="s">
        <v>78</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47.25" x14ac:dyDescent="0.2">
      <c r="A22" s="240" t="s">
        <v>66</v>
      </c>
      <c r="B22" s="47" t="s">
        <v>547</v>
      </c>
      <c r="C22" s="30" t="s">
        <v>550</v>
      </c>
      <c r="D22" s="30" t="s">
        <v>551</v>
      </c>
      <c r="E22" s="30"/>
      <c r="F22" s="30"/>
      <c r="G22" s="30"/>
      <c r="H22" s="30"/>
      <c r="I22" s="30"/>
      <c r="J22" s="239">
        <v>529.78049999999996</v>
      </c>
      <c r="K22" s="239">
        <v>317.15949999999998</v>
      </c>
      <c r="L22" s="239">
        <v>151.83000000000001</v>
      </c>
      <c r="M22" s="239"/>
      <c r="N22" s="239"/>
      <c r="O22" s="239"/>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6"/>
  <sheetViews>
    <sheetView workbookViewId="0">
      <selection activeCell="J25" sqref="J25"/>
    </sheetView>
  </sheetViews>
  <sheetFormatPr defaultRowHeight="15.75" x14ac:dyDescent="0.2"/>
  <cols>
    <col min="1" max="1" width="61.7109375" style="181" customWidth="1"/>
    <col min="2" max="2" width="18.5703125" style="181" customWidth="1"/>
    <col min="3" max="28" width="16.85546875" style="181" customWidth="1"/>
    <col min="29" max="29" width="16.7109375" style="181" customWidth="1"/>
    <col min="30" max="30" width="16.7109375" style="184" customWidth="1"/>
    <col min="31" max="32" width="18.5703125" style="185" customWidth="1"/>
    <col min="33" max="33" width="9.140625" style="268"/>
    <col min="34" max="256" width="9.140625" style="184"/>
    <col min="257" max="257" width="61.7109375" style="184" customWidth="1"/>
    <col min="258" max="258" width="18.5703125" style="184" customWidth="1"/>
    <col min="259" max="284" width="16.85546875" style="184" customWidth="1"/>
    <col min="285" max="286" width="16.7109375" style="184" customWidth="1"/>
    <col min="287" max="288" width="18.5703125" style="184" customWidth="1"/>
    <col min="289" max="512" width="9.140625" style="184"/>
    <col min="513" max="513" width="61.7109375" style="184" customWidth="1"/>
    <col min="514" max="514" width="18.5703125" style="184" customWidth="1"/>
    <col min="515" max="540" width="16.85546875" style="184" customWidth="1"/>
    <col min="541" max="542" width="16.7109375" style="184" customWidth="1"/>
    <col min="543" max="544" width="18.5703125" style="184" customWidth="1"/>
    <col min="545" max="768" width="9.140625" style="184"/>
    <col min="769" max="769" width="61.7109375" style="184" customWidth="1"/>
    <col min="770" max="770" width="18.5703125" style="184" customWidth="1"/>
    <col min="771" max="796" width="16.85546875" style="184" customWidth="1"/>
    <col min="797" max="798" width="16.7109375" style="184" customWidth="1"/>
    <col min="799" max="800" width="18.5703125" style="184" customWidth="1"/>
    <col min="801" max="1024" width="9.140625" style="184"/>
    <col min="1025" max="1025" width="61.7109375" style="184" customWidth="1"/>
    <col min="1026" max="1026" width="18.5703125" style="184" customWidth="1"/>
    <col min="1027" max="1052" width="16.85546875" style="184" customWidth="1"/>
    <col min="1053" max="1054" width="16.7109375" style="184" customWidth="1"/>
    <col min="1055" max="1056" width="18.5703125" style="184" customWidth="1"/>
    <col min="1057" max="1280" width="9.140625" style="184"/>
    <col min="1281" max="1281" width="61.7109375" style="184" customWidth="1"/>
    <col min="1282" max="1282" width="18.5703125" style="184" customWidth="1"/>
    <col min="1283" max="1308" width="16.85546875" style="184" customWidth="1"/>
    <col min="1309" max="1310" width="16.7109375" style="184" customWidth="1"/>
    <col min="1311" max="1312" width="18.5703125" style="184" customWidth="1"/>
    <col min="1313" max="1536" width="9.140625" style="184"/>
    <col min="1537" max="1537" width="61.7109375" style="184" customWidth="1"/>
    <col min="1538" max="1538" width="18.5703125" style="184" customWidth="1"/>
    <col min="1539" max="1564" width="16.85546875" style="184" customWidth="1"/>
    <col min="1565" max="1566" width="16.7109375" style="184" customWidth="1"/>
    <col min="1567" max="1568" width="18.5703125" style="184" customWidth="1"/>
    <col min="1569" max="1792" width="9.140625" style="184"/>
    <col min="1793" max="1793" width="61.7109375" style="184" customWidth="1"/>
    <col min="1794" max="1794" width="18.5703125" style="184" customWidth="1"/>
    <col min="1795" max="1820" width="16.85546875" style="184" customWidth="1"/>
    <col min="1821" max="1822" width="16.7109375" style="184" customWidth="1"/>
    <col min="1823" max="1824" width="18.5703125" style="184" customWidth="1"/>
    <col min="1825" max="2048" width="9.140625" style="184"/>
    <col min="2049" max="2049" width="61.7109375" style="184" customWidth="1"/>
    <col min="2050" max="2050" width="18.5703125" style="184" customWidth="1"/>
    <col min="2051" max="2076" width="16.85546875" style="184" customWidth="1"/>
    <col min="2077" max="2078" width="16.7109375" style="184" customWidth="1"/>
    <col min="2079" max="2080" width="18.5703125" style="184" customWidth="1"/>
    <col min="2081" max="2304" width="9.140625" style="184"/>
    <col min="2305" max="2305" width="61.7109375" style="184" customWidth="1"/>
    <col min="2306" max="2306" width="18.5703125" style="184" customWidth="1"/>
    <col min="2307" max="2332" width="16.85546875" style="184" customWidth="1"/>
    <col min="2333" max="2334" width="16.7109375" style="184" customWidth="1"/>
    <col min="2335" max="2336" width="18.5703125" style="184" customWidth="1"/>
    <col min="2337" max="2560" width="9.140625" style="184"/>
    <col min="2561" max="2561" width="61.7109375" style="184" customWidth="1"/>
    <col min="2562" max="2562" width="18.5703125" style="184" customWidth="1"/>
    <col min="2563" max="2588" width="16.85546875" style="184" customWidth="1"/>
    <col min="2589" max="2590" width="16.7109375" style="184" customWidth="1"/>
    <col min="2591" max="2592" width="18.5703125" style="184" customWidth="1"/>
    <col min="2593" max="2816" width="9.140625" style="184"/>
    <col min="2817" max="2817" width="61.7109375" style="184" customWidth="1"/>
    <col min="2818" max="2818" width="18.5703125" style="184" customWidth="1"/>
    <col min="2819" max="2844" width="16.85546875" style="184" customWidth="1"/>
    <col min="2845" max="2846" width="16.7109375" style="184" customWidth="1"/>
    <col min="2847" max="2848" width="18.5703125" style="184" customWidth="1"/>
    <col min="2849" max="3072" width="9.140625" style="184"/>
    <col min="3073" max="3073" width="61.7109375" style="184" customWidth="1"/>
    <col min="3074" max="3074" width="18.5703125" style="184" customWidth="1"/>
    <col min="3075" max="3100" width="16.85546875" style="184" customWidth="1"/>
    <col min="3101" max="3102" width="16.7109375" style="184" customWidth="1"/>
    <col min="3103" max="3104" width="18.5703125" style="184" customWidth="1"/>
    <col min="3105" max="3328" width="9.140625" style="184"/>
    <col min="3329" max="3329" width="61.7109375" style="184" customWidth="1"/>
    <col min="3330" max="3330" width="18.5703125" style="184" customWidth="1"/>
    <col min="3331" max="3356" width="16.85546875" style="184" customWidth="1"/>
    <col min="3357" max="3358" width="16.7109375" style="184" customWidth="1"/>
    <col min="3359" max="3360" width="18.5703125" style="184" customWidth="1"/>
    <col min="3361" max="3584" width="9.140625" style="184"/>
    <col min="3585" max="3585" width="61.7109375" style="184" customWidth="1"/>
    <col min="3586" max="3586" width="18.5703125" style="184" customWidth="1"/>
    <col min="3587" max="3612" width="16.85546875" style="184" customWidth="1"/>
    <col min="3613" max="3614" width="16.7109375" style="184" customWidth="1"/>
    <col min="3615" max="3616" width="18.5703125" style="184" customWidth="1"/>
    <col min="3617" max="3840" width="9.140625" style="184"/>
    <col min="3841" max="3841" width="61.7109375" style="184" customWidth="1"/>
    <col min="3842" max="3842" width="18.5703125" style="184" customWidth="1"/>
    <col min="3843" max="3868" width="16.85546875" style="184" customWidth="1"/>
    <col min="3869" max="3870" width="16.7109375" style="184" customWidth="1"/>
    <col min="3871" max="3872" width="18.5703125" style="184" customWidth="1"/>
    <col min="3873" max="4096" width="9.140625" style="184"/>
    <col min="4097" max="4097" width="61.7109375" style="184" customWidth="1"/>
    <col min="4098" max="4098" width="18.5703125" style="184" customWidth="1"/>
    <col min="4099" max="4124" width="16.85546875" style="184" customWidth="1"/>
    <col min="4125" max="4126" width="16.7109375" style="184" customWidth="1"/>
    <col min="4127" max="4128" width="18.5703125" style="184" customWidth="1"/>
    <col min="4129" max="4352" width="9.140625" style="184"/>
    <col min="4353" max="4353" width="61.7109375" style="184" customWidth="1"/>
    <col min="4354" max="4354" width="18.5703125" style="184" customWidth="1"/>
    <col min="4355" max="4380" width="16.85546875" style="184" customWidth="1"/>
    <col min="4381" max="4382" width="16.7109375" style="184" customWidth="1"/>
    <col min="4383" max="4384" width="18.5703125" style="184" customWidth="1"/>
    <col min="4385" max="4608" width="9.140625" style="184"/>
    <col min="4609" max="4609" width="61.7109375" style="184" customWidth="1"/>
    <col min="4610" max="4610" width="18.5703125" style="184" customWidth="1"/>
    <col min="4611" max="4636" width="16.85546875" style="184" customWidth="1"/>
    <col min="4637" max="4638" width="16.7109375" style="184" customWidth="1"/>
    <col min="4639" max="4640" width="18.5703125" style="184" customWidth="1"/>
    <col min="4641" max="4864" width="9.140625" style="184"/>
    <col min="4865" max="4865" width="61.7109375" style="184" customWidth="1"/>
    <col min="4866" max="4866" width="18.5703125" style="184" customWidth="1"/>
    <col min="4867" max="4892" width="16.85546875" style="184" customWidth="1"/>
    <col min="4893" max="4894" width="16.7109375" style="184" customWidth="1"/>
    <col min="4895" max="4896" width="18.5703125" style="184" customWidth="1"/>
    <col min="4897" max="5120" width="9.140625" style="184"/>
    <col min="5121" max="5121" width="61.7109375" style="184" customWidth="1"/>
    <col min="5122" max="5122" width="18.5703125" style="184" customWidth="1"/>
    <col min="5123" max="5148" width="16.85546875" style="184" customWidth="1"/>
    <col min="5149" max="5150" width="16.7109375" style="184" customWidth="1"/>
    <col min="5151" max="5152" width="18.5703125" style="184" customWidth="1"/>
    <col min="5153" max="5376" width="9.140625" style="184"/>
    <col min="5377" max="5377" width="61.7109375" style="184" customWidth="1"/>
    <col min="5378" max="5378" width="18.5703125" style="184" customWidth="1"/>
    <col min="5379" max="5404" width="16.85546875" style="184" customWidth="1"/>
    <col min="5405" max="5406" width="16.7109375" style="184" customWidth="1"/>
    <col min="5407" max="5408" width="18.5703125" style="184" customWidth="1"/>
    <col min="5409" max="5632" width="9.140625" style="184"/>
    <col min="5633" max="5633" width="61.7109375" style="184" customWidth="1"/>
    <col min="5634" max="5634" width="18.5703125" style="184" customWidth="1"/>
    <col min="5635" max="5660" width="16.85546875" style="184" customWidth="1"/>
    <col min="5661" max="5662" width="16.7109375" style="184" customWidth="1"/>
    <col min="5663" max="5664" width="18.5703125" style="184" customWidth="1"/>
    <col min="5665" max="5888" width="9.140625" style="184"/>
    <col min="5889" max="5889" width="61.7109375" style="184" customWidth="1"/>
    <col min="5890" max="5890" width="18.5703125" style="184" customWidth="1"/>
    <col min="5891" max="5916" width="16.85546875" style="184" customWidth="1"/>
    <col min="5917" max="5918" width="16.7109375" style="184" customWidth="1"/>
    <col min="5919" max="5920" width="18.5703125" style="184" customWidth="1"/>
    <col min="5921" max="6144" width="9.140625" style="184"/>
    <col min="6145" max="6145" width="61.7109375" style="184" customWidth="1"/>
    <col min="6146" max="6146" width="18.5703125" style="184" customWidth="1"/>
    <col min="6147" max="6172" width="16.85546875" style="184" customWidth="1"/>
    <col min="6173" max="6174" width="16.7109375" style="184" customWidth="1"/>
    <col min="6175" max="6176" width="18.5703125" style="184" customWidth="1"/>
    <col min="6177" max="6400" width="9.140625" style="184"/>
    <col min="6401" max="6401" width="61.7109375" style="184" customWidth="1"/>
    <col min="6402" max="6402" width="18.5703125" style="184" customWidth="1"/>
    <col min="6403" max="6428" width="16.85546875" style="184" customWidth="1"/>
    <col min="6429" max="6430" width="16.7109375" style="184" customWidth="1"/>
    <col min="6431" max="6432" width="18.5703125" style="184" customWidth="1"/>
    <col min="6433" max="6656" width="9.140625" style="184"/>
    <col min="6657" max="6657" width="61.7109375" style="184" customWidth="1"/>
    <col min="6658" max="6658" width="18.5703125" style="184" customWidth="1"/>
    <col min="6659" max="6684" width="16.85546875" style="184" customWidth="1"/>
    <col min="6685" max="6686" width="16.7109375" style="184" customWidth="1"/>
    <col min="6687" max="6688" width="18.5703125" style="184" customWidth="1"/>
    <col min="6689" max="6912" width="9.140625" style="184"/>
    <col min="6913" max="6913" width="61.7109375" style="184" customWidth="1"/>
    <col min="6914" max="6914" width="18.5703125" style="184" customWidth="1"/>
    <col min="6915" max="6940" width="16.85546875" style="184" customWidth="1"/>
    <col min="6941" max="6942" width="16.7109375" style="184" customWidth="1"/>
    <col min="6943" max="6944" width="18.5703125" style="184" customWidth="1"/>
    <col min="6945" max="7168" width="9.140625" style="184"/>
    <col min="7169" max="7169" width="61.7109375" style="184" customWidth="1"/>
    <col min="7170" max="7170" width="18.5703125" style="184" customWidth="1"/>
    <col min="7171" max="7196" width="16.85546875" style="184" customWidth="1"/>
    <col min="7197" max="7198" width="16.7109375" style="184" customWidth="1"/>
    <col min="7199" max="7200" width="18.5703125" style="184" customWidth="1"/>
    <col min="7201" max="7424" width="9.140625" style="184"/>
    <col min="7425" max="7425" width="61.7109375" style="184" customWidth="1"/>
    <col min="7426" max="7426" width="18.5703125" style="184" customWidth="1"/>
    <col min="7427" max="7452" width="16.85546875" style="184" customWidth="1"/>
    <col min="7453" max="7454" width="16.7109375" style="184" customWidth="1"/>
    <col min="7455" max="7456" width="18.5703125" style="184" customWidth="1"/>
    <col min="7457" max="7680" width="9.140625" style="184"/>
    <col min="7681" max="7681" width="61.7109375" style="184" customWidth="1"/>
    <col min="7682" max="7682" width="18.5703125" style="184" customWidth="1"/>
    <col min="7683" max="7708" width="16.85546875" style="184" customWidth="1"/>
    <col min="7709" max="7710" width="16.7109375" style="184" customWidth="1"/>
    <col min="7711" max="7712" width="18.5703125" style="184" customWidth="1"/>
    <col min="7713" max="7936" width="9.140625" style="184"/>
    <col min="7937" max="7937" width="61.7109375" style="184" customWidth="1"/>
    <col min="7938" max="7938" width="18.5703125" style="184" customWidth="1"/>
    <col min="7939" max="7964" width="16.85546875" style="184" customWidth="1"/>
    <col min="7965" max="7966" width="16.7109375" style="184" customWidth="1"/>
    <col min="7967" max="7968" width="18.5703125" style="184" customWidth="1"/>
    <col min="7969" max="8192" width="9.140625" style="184"/>
    <col min="8193" max="8193" width="61.7109375" style="184" customWidth="1"/>
    <col min="8194" max="8194" width="18.5703125" style="184" customWidth="1"/>
    <col min="8195" max="8220" width="16.85546875" style="184" customWidth="1"/>
    <col min="8221" max="8222" width="16.7109375" style="184" customWidth="1"/>
    <col min="8223" max="8224" width="18.5703125" style="184" customWidth="1"/>
    <col min="8225" max="8448" width="9.140625" style="184"/>
    <col min="8449" max="8449" width="61.7109375" style="184" customWidth="1"/>
    <col min="8450" max="8450" width="18.5703125" style="184" customWidth="1"/>
    <col min="8451" max="8476" width="16.85546875" style="184" customWidth="1"/>
    <col min="8477" max="8478" width="16.7109375" style="184" customWidth="1"/>
    <col min="8479" max="8480" width="18.5703125" style="184" customWidth="1"/>
    <col min="8481" max="8704" width="9.140625" style="184"/>
    <col min="8705" max="8705" width="61.7109375" style="184" customWidth="1"/>
    <col min="8706" max="8706" width="18.5703125" style="184" customWidth="1"/>
    <col min="8707" max="8732" width="16.85546875" style="184" customWidth="1"/>
    <col min="8733" max="8734" width="16.7109375" style="184" customWidth="1"/>
    <col min="8735" max="8736" width="18.5703125" style="184" customWidth="1"/>
    <col min="8737" max="8960" width="9.140625" style="184"/>
    <col min="8961" max="8961" width="61.7109375" style="184" customWidth="1"/>
    <col min="8962" max="8962" width="18.5703125" style="184" customWidth="1"/>
    <col min="8963" max="8988" width="16.85546875" style="184" customWidth="1"/>
    <col min="8989" max="8990" width="16.7109375" style="184" customWidth="1"/>
    <col min="8991" max="8992" width="18.5703125" style="184" customWidth="1"/>
    <col min="8993" max="9216" width="9.140625" style="184"/>
    <col min="9217" max="9217" width="61.7109375" style="184" customWidth="1"/>
    <col min="9218" max="9218" width="18.5703125" style="184" customWidth="1"/>
    <col min="9219" max="9244" width="16.85546875" style="184" customWidth="1"/>
    <col min="9245" max="9246" width="16.7109375" style="184" customWidth="1"/>
    <col min="9247" max="9248" width="18.5703125" style="184" customWidth="1"/>
    <col min="9249" max="9472" width="9.140625" style="184"/>
    <col min="9473" max="9473" width="61.7109375" style="184" customWidth="1"/>
    <col min="9474" max="9474" width="18.5703125" style="184" customWidth="1"/>
    <col min="9475" max="9500" width="16.85546875" style="184" customWidth="1"/>
    <col min="9501" max="9502" width="16.7109375" style="184" customWidth="1"/>
    <col min="9503" max="9504" width="18.5703125" style="184" customWidth="1"/>
    <col min="9505" max="9728" width="9.140625" style="184"/>
    <col min="9729" max="9729" width="61.7109375" style="184" customWidth="1"/>
    <col min="9730" max="9730" width="18.5703125" style="184" customWidth="1"/>
    <col min="9731" max="9756" width="16.85546875" style="184" customWidth="1"/>
    <col min="9757" max="9758" width="16.7109375" style="184" customWidth="1"/>
    <col min="9759" max="9760" width="18.5703125" style="184" customWidth="1"/>
    <col min="9761" max="9984" width="9.140625" style="184"/>
    <col min="9985" max="9985" width="61.7109375" style="184" customWidth="1"/>
    <col min="9986" max="9986" width="18.5703125" style="184" customWidth="1"/>
    <col min="9987" max="10012" width="16.85546875" style="184" customWidth="1"/>
    <col min="10013" max="10014" width="16.7109375" style="184" customWidth="1"/>
    <col min="10015" max="10016" width="18.5703125" style="184" customWidth="1"/>
    <col min="10017" max="10240" width="9.140625" style="184"/>
    <col min="10241" max="10241" width="61.7109375" style="184" customWidth="1"/>
    <col min="10242" max="10242" width="18.5703125" style="184" customWidth="1"/>
    <col min="10243" max="10268" width="16.85546875" style="184" customWidth="1"/>
    <col min="10269" max="10270" width="16.7109375" style="184" customWidth="1"/>
    <col min="10271" max="10272" width="18.5703125" style="184" customWidth="1"/>
    <col min="10273" max="10496" width="9.140625" style="184"/>
    <col min="10497" max="10497" width="61.7109375" style="184" customWidth="1"/>
    <col min="10498" max="10498" width="18.5703125" style="184" customWidth="1"/>
    <col min="10499" max="10524" width="16.85546875" style="184" customWidth="1"/>
    <col min="10525" max="10526" width="16.7109375" style="184" customWidth="1"/>
    <col min="10527" max="10528" width="18.5703125" style="184" customWidth="1"/>
    <col min="10529" max="10752" width="9.140625" style="184"/>
    <col min="10753" max="10753" width="61.7109375" style="184" customWidth="1"/>
    <col min="10754" max="10754" width="18.5703125" style="184" customWidth="1"/>
    <col min="10755" max="10780" width="16.85546875" style="184" customWidth="1"/>
    <col min="10781" max="10782" width="16.7109375" style="184" customWidth="1"/>
    <col min="10783" max="10784" width="18.5703125" style="184" customWidth="1"/>
    <col min="10785" max="11008" width="9.140625" style="184"/>
    <col min="11009" max="11009" width="61.7109375" style="184" customWidth="1"/>
    <col min="11010" max="11010" width="18.5703125" style="184" customWidth="1"/>
    <col min="11011" max="11036" width="16.85546875" style="184" customWidth="1"/>
    <col min="11037" max="11038" width="16.7109375" style="184" customWidth="1"/>
    <col min="11039" max="11040" width="18.5703125" style="184" customWidth="1"/>
    <col min="11041" max="11264" width="9.140625" style="184"/>
    <col min="11265" max="11265" width="61.7109375" style="184" customWidth="1"/>
    <col min="11266" max="11266" width="18.5703125" style="184" customWidth="1"/>
    <col min="11267" max="11292" width="16.85546875" style="184" customWidth="1"/>
    <col min="11293" max="11294" width="16.7109375" style="184" customWidth="1"/>
    <col min="11295" max="11296" width="18.5703125" style="184" customWidth="1"/>
    <col min="11297" max="11520" width="9.140625" style="184"/>
    <col min="11521" max="11521" width="61.7109375" style="184" customWidth="1"/>
    <col min="11522" max="11522" width="18.5703125" style="184" customWidth="1"/>
    <col min="11523" max="11548" width="16.85546875" style="184" customWidth="1"/>
    <col min="11549" max="11550" width="16.7109375" style="184" customWidth="1"/>
    <col min="11551" max="11552" width="18.5703125" style="184" customWidth="1"/>
    <col min="11553" max="11776" width="9.140625" style="184"/>
    <col min="11777" max="11777" width="61.7109375" style="184" customWidth="1"/>
    <col min="11778" max="11778" width="18.5703125" style="184" customWidth="1"/>
    <col min="11779" max="11804" width="16.85546875" style="184" customWidth="1"/>
    <col min="11805" max="11806" width="16.7109375" style="184" customWidth="1"/>
    <col min="11807" max="11808" width="18.5703125" style="184" customWidth="1"/>
    <col min="11809" max="12032" width="9.140625" style="184"/>
    <col min="12033" max="12033" width="61.7109375" style="184" customWidth="1"/>
    <col min="12034" max="12034" width="18.5703125" style="184" customWidth="1"/>
    <col min="12035" max="12060" width="16.85546875" style="184" customWidth="1"/>
    <col min="12061" max="12062" width="16.7109375" style="184" customWidth="1"/>
    <col min="12063" max="12064" width="18.5703125" style="184" customWidth="1"/>
    <col min="12065" max="12288" width="9.140625" style="184"/>
    <col min="12289" max="12289" width="61.7109375" style="184" customWidth="1"/>
    <col min="12290" max="12290" width="18.5703125" style="184" customWidth="1"/>
    <col min="12291" max="12316" width="16.85546875" style="184" customWidth="1"/>
    <col min="12317" max="12318" width="16.7109375" style="184" customWidth="1"/>
    <col min="12319" max="12320" width="18.5703125" style="184" customWidth="1"/>
    <col min="12321" max="12544" width="9.140625" style="184"/>
    <col min="12545" max="12545" width="61.7109375" style="184" customWidth="1"/>
    <col min="12546" max="12546" width="18.5703125" style="184" customWidth="1"/>
    <col min="12547" max="12572" width="16.85546875" style="184" customWidth="1"/>
    <col min="12573" max="12574" width="16.7109375" style="184" customWidth="1"/>
    <col min="12575" max="12576" width="18.5703125" style="184" customWidth="1"/>
    <col min="12577" max="12800" width="9.140625" style="184"/>
    <col min="12801" max="12801" width="61.7109375" style="184" customWidth="1"/>
    <col min="12802" max="12802" width="18.5703125" style="184" customWidth="1"/>
    <col min="12803" max="12828" width="16.85546875" style="184" customWidth="1"/>
    <col min="12829" max="12830" width="16.7109375" style="184" customWidth="1"/>
    <col min="12831" max="12832" width="18.5703125" style="184" customWidth="1"/>
    <col min="12833" max="13056" width="9.140625" style="184"/>
    <col min="13057" max="13057" width="61.7109375" style="184" customWidth="1"/>
    <col min="13058" max="13058" width="18.5703125" style="184" customWidth="1"/>
    <col min="13059" max="13084" width="16.85546875" style="184" customWidth="1"/>
    <col min="13085" max="13086" width="16.7109375" style="184" customWidth="1"/>
    <col min="13087" max="13088" width="18.5703125" style="184" customWidth="1"/>
    <col min="13089" max="13312" width="9.140625" style="184"/>
    <col min="13313" max="13313" width="61.7109375" style="184" customWidth="1"/>
    <col min="13314" max="13314" width="18.5703125" style="184" customWidth="1"/>
    <col min="13315" max="13340" width="16.85546875" style="184" customWidth="1"/>
    <col min="13341" max="13342" width="16.7109375" style="184" customWidth="1"/>
    <col min="13343" max="13344" width="18.5703125" style="184" customWidth="1"/>
    <col min="13345" max="13568" width="9.140625" style="184"/>
    <col min="13569" max="13569" width="61.7109375" style="184" customWidth="1"/>
    <col min="13570" max="13570" width="18.5703125" style="184" customWidth="1"/>
    <col min="13571" max="13596" width="16.85546875" style="184" customWidth="1"/>
    <col min="13597" max="13598" width="16.7109375" style="184" customWidth="1"/>
    <col min="13599" max="13600" width="18.5703125" style="184" customWidth="1"/>
    <col min="13601" max="13824" width="9.140625" style="184"/>
    <col min="13825" max="13825" width="61.7109375" style="184" customWidth="1"/>
    <col min="13826" max="13826" width="18.5703125" style="184" customWidth="1"/>
    <col min="13827" max="13852" width="16.85546875" style="184" customWidth="1"/>
    <col min="13853" max="13854" width="16.7109375" style="184" customWidth="1"/>
    <col min="13855" max="13856" width="18.5703125" style="184" customWidth="1"/>
    <col min="13857" max="14080" width="9.140625" style="184"/>
    <col min="14081" max="14081" width="61.7109375" style="184" customWidth="1"/>
    <col min="14082" max="14082" width="18.5703125" style="184" customWidth="1"/>
    <col min="14083" max="14108" width="16.85546875" style="184" customWidth="1"/>
    <col min="14109" max="14110" width="16.7109375" style="184" customWidth="1"/>
    <col min="14111" max="14112" width="18.5703125" style="184" customWidth="1"/>
    <col min="14113" max="14336" width="9.140625" style="184"/>
    <col min="14337" max="14337" width="61.7109375" style="184" customWidth="1"/>
    <col min="14338" max="14338" width="18.5703125" style="184" customWidth="1"/>
    <col min="14339" max="14364" width="16.85546875" style="184" customWidth="1"/>
    <col min="14365" max="14366" width="16.7109375" style="184" customWidth="1"/>
    <col min="14367" max="14368" width="18.5703125" style="184" customWidth="1"/>
    <col min="14369" max="14592" width="9.140625" style="184"/>
    <col min="14593" max="14593" width="61.7109375" style="184" customWidth="1"/>
    <col min="14594" max="14594" width="18.5703125" style="184" customWidth="1"/>
    <col min="14595" max="14620" width="16.85546875" style="184" customWidth="1"/>
    <col min="14621" max="14622" width="16.7109375" style="184" customWidth="1"/>
    <col min="14623" max="14624" width="18.5703125" style="184" customWidth="1"/>
    <col min="14625" max="14848" width="9.140625" style="184"/>
    <col min="14849" max="14849" width="61.7109375" style="184" customWidth="1"/>
    <col min="14850" max="14850" width="18.5703125" style="184" customWidth="1"/>
    <col min="14851" max="14876" width="16.85546875" style="184" customWidth="1"/>
    <col min="14877" max="14878" width="16.7109375" style="184" customWidth="1"/>
    <col min="14879" max="14880" width="18.5703125" style="184" customWidth="1"/>
    <col min="14881" max="15104" width="9.140625" style="184"/>
    <col min="15105" max="15105" width="61.7109375" style="184" customWidth="1"/>
    <col min="15106" max="15106" width="18.5703125" style="184" customWidth="1"/>
    <col min="15107" max="15132" width="16.85546875" style="184" customWidth="1"/>
    <col min="15133" max="15134" width="16.7109375" style="184" customWidth="1"/>
    <col min="15135" max="15136" width="18.5703125" style="184" customWidth="1"/>
    <col min="15137" max="15360" width="9.140625" style="184"/>
    <col min="15361" max="15361" width="61.7109375" style="184" customWidth="1"/>
    <col min="15362" max="15362" width="18.5703125" style="184" customWidth="1"/>
    <col min="15363" max="15388" width="16.85546875" style="184" customWidth="1"/>
    <col min="15389" max="15390" width="16.7109375" style="184" customWidth="1"/>
    <col min="15391" max="15392" width="18.5703125" style="184" customWidth="1"/>
    <col min="15393" max="15616" width="9.140625" style="184"/>
    <col min="15617" max="15617" width="61.7109375" style="184" customWidth="1"/>
    <col min="15618" max="15618" width="18.5703125" style="184" customWidth="1"/>
    <col min="15619" max="15644" width="16.85546875" style="184" customWidth="1"/>
    <col min="15645" max="15646" width="16.7109375" style="184" customWidth="1"/>
    <col min="15647" max="15648" width="18.5703125" style="184" customWidth="1"/>
    <col min="15649" max="15872" width="9.140625" style="184"/>
    <col min="15873" max="15873" width="61.7109375" style="184" customWidth="1"/>
    <col min="15874" max="15874" width="18.5703125" style="184" customWidth="1"/>
    <col min="15875" max="15900" width="16.85546875" style="184" customWidth="1"/>
    <col min="15901" max="15902" width="16.7109375" style="184" customWidth="1"/>
    <col min="15903" max="15904" width="18.5703125" style="184" customWidth="1"/>
    <col min="15905" max="16128" width="9.140625" style="184"/>
    <col min="16129" max="16129" width="61.7109375" style="184" customWidth="1"/>
    <col min="16130" max="16130" width="18.5703125" style="184" customWidth="1"/>
    <col min="16131" max="16156" width="16.85546875" style="184" customWidth="1"/>
    <col min="16157" max="16158" width="16.7109375" style="184" customWidth="1"/>
    <col min="16159" max="16160" width="18.5703125" style="184" customWidth="1"/>
    <col min="16161" max="16384" width="9.140625" style="184"/>
  </cols>
  <sheetData>
    <row r="1" spans="1:44" s="12" customFormat="1" ht="18.75" customHeight="1" x14ac:dyDescent="0.2">
      <c r="A1" s="18"/>
      <c r="I1" s="16"/>
      <c r="J1" s="16"/>
      <c r="AR1" s="39" t="s">
        <v>70</v>
      </c>
    </row>
    <row r="2" spans="1:44" s="12" customFormat="1" ht="18.75" customHeight="1" x14ac:dyDescent="0.3">
      <c r="A2" s="18"/>
      <c r="I2" s="16"/>
      <c r="J2" s="16"/>
      <c r="AR2" s="15" t="s">
        <v>11</v>
      </c>
    </row>
    <row r="3" spans="1:44" s="12" customFormat="1" ht="18.75" x14ac:dyDescent="0.3">
      <c r="A3" s="17"/>
      <c r="I3" s="16"/>
      <c r="J3" s="16"/>
      <c r="AR3" s="15" t="s">
        <v>69</v>
      </c>
    </row>
    <row r="4" spans="1:44" s="12" customFormat="1" ht="18.75" x14ac:dyDescent="0.3">
      <c r="A4" s="17"/>
      <c r="I4" s="16"/>
      <c r="J4" s="16"/>
      <c r="K4" s="15"/>
    </row>
    <row r="5" spans="1:44" s="12" customFormat="1" ht="18.75" customHeight="1" x14ac:dyDescent="0.2">
      <c r="A5" s="288" t="str">
        <f>'1. паспорт местоположение'!A5:C5</f>
        <v>Год раскрытия информации: 2016 год</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c r="AB5" s="288"/>
      <c r="AC5" s="288"/>
      <c r="AD5" s="288"/>
      <c r="AE5" s="288"/>
      <c r="AF5" s="288"/>
      <c r="AG5" s="288"/>
      <c r="AH5" s="288"/>
      <c r="AI5" s="288"/>
      <c r="AJ5" s="288"/>
      <c r="AK5" s="288"/>
      <c r="AL5" s="288"/>
      <c r="AM5" s="288"/>
      <c r="AN5" s="288"/>
      <c r="AO5" s="288"/>
      <c r="AP5" s="288"/>
      <c r="AQ5" s="288"/>
      <c r="AR5" s="288"/>
    </row>
    <row r="6" spans="1:44" s="12" customFormat="1" ht="18.75" x14ac:dyDescent="0.3">
      <c r="A6" s="17"/>
      <c r="I6" s="16"/>
      <c r="J6" s="16"/>
      <c r="K6" s="15"/>
    </row>
    <row r="7" spans="1:44" s="12" customFormat="1" ht="18.75" x14ac:dyDescent="0.2">
      <c r="A7" s="284" t="s">
        <v>10</v>
      </c>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84"/>
      <c r="AQ7" s="284"/>
      <c r="AR7" s="284"/>
    </row>
    <row r="8" spans="1:44" s="12" customFormat="1" ht="18.75" x14ac:dyDescent="0.2">
      <c r="A8" s="264"/>
      <c r="B8" s="264"/>
      <c r="C8" s="264"/>
      <c r="D8" s="264"/>
      <c r="E8" s="264"/>
      <c r="F8" s="264"/>
      <c r="G8" s="264"/>
      <c r="H8" s="264"/>
      <c r="I8" s="264"/>
      <c r="J8" s="264"/>
      <c r="K8" s="264"/>
      <c r="L8" s="164"/>
      <c r="M8" s="164"/>
      <c r="N8" s="164"/>
      <c r="O8" s="164"/>
      <c r="P8" s="164"/>
      <c r="Q8" s="164"/>
      <c r="R8" s="164"/>
      <c r="S8" s="164"/>
      <c r="T8" s="164"/>
      <c r="U8" s="164"/>
      <c r="V8" s="164"/>
      <c r="W8" s="164"/>
      <c r="X8" s="164"/>
      <c r="Y8" s="164"/>
    </row>
    <row r="9" spans="1:44" s="12" customFormat="1" ht="18.75" customHeight="1" x14ac:dyDescent="0.2">
      <c r="A9" s="289" t="str">
        <f>'1. паспорт местоположение'!A9:C9</f>
        <v>АО "Янтарьэнерго"</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row>
    <row r="10" spans="1:44" s="12" customFormat="1" ht="18.75" customHeight="1" x14ac:dyDescent="0.2">
      <c r="A10" s="281" t="s">
        <v>9</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row>
    <row r="11" spans="1:44" s="12" customFormat="1" ht="18.75" x14ac:dyDescent="0.2">
      <c r="A11" s="264"/>
      <c r="B11" s="264"/>
      <c r="C11" s="264"/>
      <c r="D11" s="264"/>
      <c r="E11" s="264"/>
      <c r="F11" s="264"/>
      <c r="G11" s="264"/>
      <c r="H11" s="264"/>
      <c r="I11" s="264"/>
      <c r="J11" s="264"/>
      <c r="K11" s="264"/>
      <c r="L11" s="164"/>
      <c r="M11" s="164"/>
      <c r="N11" s="164"/>
      <c r="O11" s="164"/>
      <c r="P11" s="164"/>
      <c r="Q11" s="164"/>
      <c r="R11" s="164"/>
      <c r="S11" s="164"/>
      <c r="T11" s="164"/>
      <c r="U11" s="164"/>
      <c r="V11" s="164"/>
      <c r="W11" s="164"/>
      <c r="X11" s="164"/>
      <c r="Y11" s="164"/>
    </row>
    <row r="12" spans="1:44" s="12" customFormat="1" ht="18.75" customHeight="1" x14ac:dyDescent="0.2">
      <c r="A12" s="289" t="str">
        <f>'1. паспорт местоположение'!A12:C12</f>
        <v>prj_111001_2498</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row>
    <row r="13" spans="1:44" s="12" customFormat="1" ht="18.75" customHeight="1" x14ac:dyDescent="0.2">
      <c r="A13" s="281" t="s">
        <v>8</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row>
    <row r="14" spans="1:44" s="9" customFormat="1" ht="15.75" customHeight="1" x14ac:dyDescent="0.2">
      <c r="A14" s="265"/>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row>
    <row r="15" spans="1:44" s="3" customFormat="1" ht="71.25" customHeight="1" x14ac:dyDescent="0.2">
      <c r="A15" s="318" t="str">
        <f>'1. паспорт местоположение'!A15:C15</f>
        <v>Строительство ПС 110/10кВ Береговая с заходами 4-х КЛ 110 кВ от ПС 110 кВ Береговая на ВЛ 110 кВ № 115/116 (ПС Центральная - ПС Московская/ ПС Центральная - ПС Северная), г. Калининград</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318"/>
      <c r="AB15" s="318"/>
      <c r="AC15" s="318"/>
      <c r="AD15" s="318"/>
      <c r="AE15" s="318"/>
      <c r="AF15" s="318"/>
      <c r="AG15" s="318"/>
      <c r="AH15" s="318"/>
      <c r="AI15" s="318"/>
      <c r="AJ15" s="318"/>
      <c r="AK15" s="318"/>
      <c r="AL15" s="318"/>
      <c r="AM15" s="318"/>
      <c r="AN15" s="318"/>
      <c r="AO15" s="318"/>
      <c r="AP15" s="318"/>
      <c r="AQ15" s="318"/>
      <c r="AR15" s="318"/>
    </row>
    <row r="16" spans="1:44" s="3" customFormat="1" ht="15" customHeight="1" x14ac:dyDescent="0.2">
      <c r="A16" s="281" t="s">
        <v>7</v>
      </c>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1"/>
      <c r="AK16" s="281"/>
      <c r="AL16" s="281"/>
      <c r="AM16" s="281"/>
      <c r="AN16" s="281"/>
      <c r="AO16" s="281"/>
      <c r="AP16" s="281"/>
      <c r="AQ16" s="281"/>
      <c r="AR16" s="281"/>
    </row>
    <row r="17" spans="1:48" s="3" customFormat="1" ht="15" customHeight="1" x14ac:dyDescent="0.2">
      <c r="A17" s="266"/>
      <c r="B17" s="266"/>
      <c r="C17" s="266"/>
      <c r="D17" s="266"/>
      <c r="E17" s="266"/>
      <c r="F17" s="266"/>
      <c r="G17" s="266"/>
      <c r="H17" s="266"/>
      <c r="I17" s="266"/>
      <c r="J17" s="266"/>
      <c r="K17" s="266"/>
      <c r="L17" s="266"/>
      <c r="M17" s="266"/>
      <c r="N17" s="266"/>
      <c r="O17" s="266"/>
      <c r="P17" s="266"/>
      <c r="Q17" s="266"/>
      <c r="R17" s="266"/>
      <c r="S17" s="266"/>
      <c r="T17" s="266"/>
      <c r="U17" s="266"/>
      <c r="V17" s="266"/>
    </row>
    <row r="18" spans="1:48" s="3" customFormat="1" ht="15" customHeight="1" x14ac:dyDescent="0.2">
      <c r="A18" s="283" t="s">
        <v>457</v>
      </c>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row>
    <row r="19" spans="1:48" x14ac:dyDescent="0.2">
      <c r="D19" s="190" t="s">
        <v>522</v>
      </c>
      <c r="Q19" s="231"/>
      <c r="AE19" s="184"/>
      <c r="AF19" s="184"/>
      <c r="AG19" s="184"/>
      <c r="AT19" s="185"/>
      <c r="AU19" s="185"/>
      <c r="AV19" s="185"/>
    </row>
    <row r="20" spans="1:48" ht="16.5" thickBot="1" x14ac:dyDescent="0.25">
      <c r="A20" s="180" t="s">
        <v>332</v>
      </c>
      <c r="B20" s="180" t="s">
        <v>1</v>
      </c>
      <c r="D20" s="182"/>
      <c r="E20" s="183"/>
      <c r="F20" s="183"/>
      <c r="G20" s="183"/>
      <c r="H20" s="183"/>
    </row>
    <row r="21" spans="1:48" x14ac:dyDescent="0.2">
      <c r="A21" s="186" t="s">
        <v>517</v>
      </c>
      <c r="B21" s="187">
        <v>940461406.77966106</v>
      </c>
    </row>
    <row r="22" spans="1:48" x14ac:dyDescent="0.2">
      <c r="A22" s="188" t="s">
        <v>330</v>
      </c>
      <c r="B22" s="189">
        <v>0</v>
      </c>
    </row>
    <row r="23" spans="1:48" x14ac:dyDescent="0.2">
      <c r="A23" s="188" t="s">
        <v>328</v>
      </c>
      <c r="B23" s="189">
        <v>25</v>
      </c>
      <c r="D23" s="190" t="s">
        <v>331</v>
      </c>
    </row>
    <row r="24" spans="1:48" ht="16.5" thickBot="1" x14ac:dyDescent="0.25">
      <c r="A24" s="191" t="s">
        <v>326</v>
      </c>
      <c r="B24" s="192">
        <v>1</v>
      </c>
      <c r="D24" s="331" t="s">
        <v>329</v>
      </c>
      <c r="E24" s="331"/>
      <c r="F24" s="193"/>
      <c r="G24" s="194">
        <f>SUM(B86:AD86)</f>
        <v>8.061979709737443</v>
      </c>
    </row>
    <row r="25" spans="1:48" x14ac:dyDescent="0.2">
      <c r="A25" s="186" t="s">
        <v>325</v>
      </c>
      <c r="B25" s="187">
        <v>700000</v>
      </c>
      <c r="D25" s="331" t="s">
        <v>327</v>
      </c>
      <c r="E25" s="331"/>
      <c r="F25" s="193"/>
      <c r="G25" s="194">
        <f>IF(SUM(B87:AD87)=0,"не окупается",SUM(B87:AD87))</f>
        <v>17.776671384274159</v>
      </c>
    </row>
    <row r="26" spans="1:48" x14ac:dyDescent="0.2">
      <c r="A26" s="188" t="s">
        <v>518</v>
      </c>
      <c r="B26" s="189">
        <v>3</v>
      </c>
      <c r="D26" s="331" t="s">
        <v>519</v>
      </c>
      <c r="E26" s="331"/>
      <c r="F26" s="193"/>
      <c r="G26" s="195">
        <f>AD84</f>
        <v>29126187.249275759</v>
      </c>
    </row>
    <row r="27" spans="1:48" x14ac:dyDescent="0.2">
      <c r="A27" s="188" t="s">
        <v>324</v>
      </c>
      <c r="B27" s="189">
        <v>3</v>
      </c>
      <c r="D27" s="331" t="s">
        <v>520</v>
      </c>
      <c r="E27" s="331"/>
      <c r="F27" s="193"/>
      <c r="G27" s="267" t="str">
        <f>IF(G26&gt;0,"да","нет")</f>
        <v>да</v>
      </c>
    </row>
    <row r="28" spans="1:48" x14ac:dyDescent="0.2">
      <c r="A28" s="188" t="s">
        <v>303</v>
      </c>
      <c r="B28" s="189">
        <v>300000</v>
      </c>
    </row>
    <row r="29" spans="1:48" x14ac:dyDescent="0.2">
      <c r="A29" s="188" t="s">
        <v>323</v>
      </c>
      <c r="B29" s="189">
        <v>1</v>
      </c>
    </row>
    <row r="30" spans="1:48" x14ac:dyDescent="0.2">
      <c r="A30" s="188" t="s">
        <v>322</v>
      </c>
      <c r="B30" s="189">
        <v>1</v>
      </c>
    </row>
    <row r="31" spans="1:48" x14ac:dyDescent="0.2">
      <c r="A31" s="196" t="s">
        <v>521</v>
      </c>
      <c r="B31" s="189">
        <v>2000000</v>
      </c>
    </row>
    <row r="32" spans="1:48" ht="16.5" thickBot="1" x14ac:dyDescent="0.25">
      <c r="A32" s="191" t="s">
        <v>297</v>
      </c>
      <c r="B32" s="197">
        <v>0.2</v>
      </c>
    </row>
    <row r="33" spans="1:30" x14ac:dyDescent="0.2">
      <c r="A33" s="186" t="s">
        <v>522</v>
      </c>
      <c r="B33" s="187">
        <v>0</v>
      </c>
    </row>
    <row r="34" spans="1:30" x14ac:dyDescent="0.2">
      <c r="A34" s="188" t="s">
        <v>321</v>
      </c>
      <c r="B34" s="189"/>
    </row>
    <row r="35" spans="1:30" ht="16.5" thickBot="1" x14ac:dyDescent="0.25">
      <c r="A35" s="196" t="s">
        <v>320</v>
      </c>
      <c r="B35" s="198">
        <v>0.09</v>
      </c>
    </row>
    <row r="36" spans="1:30" x14ac:dyDescent="0.2">
      <c r="A36" s="199" t="s">
        <v>523</v>
      </c>
      <c r="B36" s="200">
        <v>1</v>
      </c>
    </row>
    <row r="37" spans="1:30" x14ac:dyDescent="0.2">
      <c r="A37" s="201" t="s">
        <v>319</v>
      </c>
      <c r="B37" s="202">
        <v>0.1</v>
      </c>
    </row>
    <row r="38" spans="1:30" x14ac:dyDescent="0.2">
      <c r="A38" s="201" t="s">
        <v>318</v>
      </c>
      <c r="B38" s="203">
        <v>0.1</v>
      </c>
    </row>
    <row r="39" spans="1:30" x14ac:dyDescent="0.2">
      <c r="A39" s="201" t="s">
        <v>317</v>
      </c>
      <c r="B39" s="203">
        <v>0</v>
      </c>
    </row>
    <row r="40" spans="1:30" x14ac:dyDescent="0.2">
      <c r="A40" s="201" t="s">
        <v>316</v>
      </c>
      <c r="B40" s="203">
        <v>0.20499999999999999</v>
      </c>
    </row>
    <row r="41" spans="1:30" x14ac:dyDescent="0.2">
      <c r="A41" s="201" t="s">
        <v>315</v>
      </c>
      <c r="B41" s="203">
        <f>1-B39</f>
        <v>1</v>
      </c>
    </row>
    <row r="42" spans="1:30" ht="16.5" thickBot="1" x14ac:dyDescent="0.25">
      <c r="A42" s="204" t="s">
        <v>524</v>
      </c>
      <c r="B42" s="205">
        <f>B41*B40+B39*B38*(1-B32)</f>
        <v>0.20499999999999999</v>
      </c>
      <c r="C42" s="233"/>
    </row>
    <row r="43" spans="1:30" x14ac:dyDescent="0.2">
      <c r="A43" s="206" t="s">
        <v>314</v>
      </c>
      <c r="B43" s="207">
        <f>B54</f>
        <v>1</v>
      </c>
      <c r="C43" s="207">
        <f t="shared" ref="C43:AD43" si="0">C54</f>
        <v>2</v>
      </c>
      <c r="D43" s="207">
        <f t="shared" si="0"/>
        <v>3</v>
      </c>
      <c r="E43" s="207">
        <f t="shared" si="0"/>
        <v>4</v>
      </c>
      <c r="F43" s="207">
        <f t="shared" si="0"/>
        <v>5</v>
      </c>
      <c r="G43" s="207">
        <f t="shared" si="0"/>
        <v>6</v>
      </c>
      <c r="H43" s="207">
        <f t="shared" si="0"/>
        <v>7</v>
      </c>
      <c r="I43" s="207">
        <f t="shared" si="0"/>
        <v>8</v>
      </c>
      <c r="J43" s="207">
        <f t="shared" si="0"/>
        <v>9</v>
      </c>
      <c r="K43" s="207">
        <f t="shared" si="0"/>
        <v>10</v>
      </c>
      <c r="L43" s="207">
        <f t="shared" si="0"/>
        <v>11</v>
      </c>
      <c r="M43" s="207">
        <f t="shared" si="0"/>
        <v>12</v>
      </c>
      <c r="N43" s="207">
        <f t="shared" si="0"/>
        <v>13</v>
      </c>
      <c r="O43" s="207">
        <f t="shared" si="0"/>
        <v>14</v>
      </c>
      <c r="P43" s="207">
        <f t="shared" si="0"/>
        <v>15</v>
      </c>
      <c r="Q43" s="207">
        <f t="shared" si="0"/>
        <v>16</v>
      </c>
      <c r="R43" s="207">
        <f t="shared" si="0"/>
        <v>17</v>
      </c>
      <c r="S43" s="207">
        <f t="shared" si="0"/>
        <v>18</v>
      </c>
      <c r="T43" s="207">
        <f t="shared" si="0"/>
        <v>19</v>
      </c>
      <c r="U43" s="207">
        <f t="shared" si="0"/>
        <v>20</v>
      </c>
      <c r="V43" s="207">
        <f t="shared" si="0"/>
        <v>21</v>
      </c>
      <c r="W43" s="207">
        <f t="shared" si="0"/>
        <v>22</v>
      </c>
      <c r="X43" s="207">
        <f t="shared" si="0"/>
        <v>23</v>
      </c>
      <c r="Y43" s="207">
        <f t="shared" si="0"/>
        <v>24</v>
      </c>
      <c r="Z43" s="207">
        <f t="shared" si="0"/>
        <v>25</v>
      </c>
      <c r="AA43" s="207">
        <f t="shared" si="0"/>
        <v>26</v>
      </c>
      <c r="AB43" s="207">
        <f t="shared" si="0"/>
        <v>27</v>
      </c>
      <c r="AC43" s="207">
        <f t="shared" si="0"/>
        <v>28</v>
      </c>
      <c r="AD43" s="207">
        <f t="shared" si="0"/>
        <v>29</v>
      </c>
    </row>
    <row r="44" spans="1:30" x14ac:dyDescent="0.2">
      <c r="A44" s="208" t="s">
        <v>313</v>
      </c>
      <c r="B44" s="209">
        <v>7.3999999999999996E-2</v>
      </c>
      <c r="C44" s="209">
        <v>6.7000000000000004E-2</v>
      </c>
      <c r="D44" s="209">
        <v>4.3999999999999997E-2</v>
      </c>
      <c r="E44" s="209">
        <v>4.2999999999999997E-2</v>
      </c>
      <c r="F44" s="209">
        <v>4.1000000000000002E-2</v>
      </c>
      <c r="G44" s="209">
        <v>3.5999999999999997E-2</v>
      </c>
      <c r="H44" s="209">
        <v>3.2000000000000001E-2</v>
      </c>
      <c r="I44" s="209">
        <v>2.8000000000000001E-2</v>
      </c>
      <c r="J44" s="209">
        <v>2.7E-2</v>
      </c>
      <c r="K44" s="209">
        <v>2.7E-2</v>
      </c>
      <c r="L44" s="209">
        <v>2.5000000000000001E-2</v>
      </c>
      <c r="M44" s="209">
        <v>2.3E-2</v>
      </c>
      <c r="N44" s="209">
        <v>2.1999999999999999E-2</v>
      </c>
      <c r="O44" s="209">
        <v>0.02</v>
      </c>
      <c r="P44" s="209">
        <v>0.02</v>
      </c>
      <c r="Q44" s="209">
        <v>0.02</v>
      </c>
      <c r="R44" s="209">
        <v>0.02</v>
      </c>
      <c r="S44" s="209">
        <v>0.02</v>
      </c>
      <c r="T44" s="209">
        <f t="shared" ref="T44:AD44" si="1">S44</f>
        <v>0.02</v>
      </c>
      <c r="U44" s="209">
        <f t="shared" si="1"/>
        <v>0.02</v>
      </c>
      <c r="V44" s="209">
        <f t="shared" si="1"/>
        <v>0.02</v>
      </c>
      <c r="W44" s="209">
        <f t="shared" si="1"/>
        <v>0.02</v>
      </c>
      <c r="X44" s="209">
        <f t="shared" si="1"/>
        <v>0.02</v>
      </c>
      <c r="Y44" s="209">
        <f t="shared" si="1"/>
        <v>0.02</v>
      </c>
      <c r="Z44" s="209">
        <f t="shared" si="1"/>
        <v>0.02</v>
      </c>
      <c r="AA44" s="209">
        <f t="shared" si="1"/>
        <v>0.02</v>
      </c>
      <c r="AB44" s="209">
        <f t="shared" si="1"/>
        <v>0.02</v>
      </c>
      <c r="AC44" s="209">
        <f t="shared" si="1"/>
        <v>0.02</v>
      </c>
      <c r="AD44" s="209">
        <f t="shared" si="1"/>
        <v>0.02</v>
      </c>
    </row>
    <row r="45" spans="1:30" x14ac:dyDescent="0.2">
      <c r="A45" s="208" t="s">
        <v>312</v>
      </c>
      <c r="B45" s="209"/>
      <c r="C45" s="209">
        <f>(1+B45)*(1+C44)-1</f>
        <v>6.6999999999999948E-2</v>
      </c>
      <c r="D45" s="209">
        <f t="shared" ref="D45:AC45" si="2">(1+C45)*(1+D44)-1</f>
        <v>0.11394799999999994</v>
      </c>
      <c r="E45" s="209">
        <f t="shared" si="2"/>
        <v>0.16184776399999978</v>
      </c>
      <c r="F45" s="209">
        <f t="shared" si="2"/>
        <v>0.20948352232399969</v>
      </c>
      <c r="G45" s="209">
        <f t="shared" si="2"/>
        <v>0.25302492912766361</v>
      </c>
      <c r="H45" s="209">
        <f t="shared" si="2"/>
        <v>0.2931217268597488</v>
      </c>
      <c r="I45" s="209">
        <f t="shared" si="2"/>
        <v>0.32932913521182172</v>
      </c>
      <c r="J45" s="209">
        <f t="shared" si="2"/>
        <v>0.36522102186254068</v>
      </c>
      <c r="K45" s="209">
        <f t="shared" si="2"/>
        <v>0.40208198945282914</v>
      </c>
      <c r="L45" s="209">
        <f t="shared" si="2"/>
        <v>0.43713403918914984</v>
      </c>
      <c r="M45" s="209">
        <f t="shared" si="2"/>
        <v>0.4701881220905002</v>
      </c>
      <c r="N45" s="209">
        <f t="shared" si="2"/>
        <v>0.50253226077649127</v>
      </c>
      <c r="O45" s="209">
        <f t="shared" si="2"/>
        <v>0.53258290599202107</v>
      </c>
      <c r="P45" s="209">
        <f t="shared" si="2"/>
        <v>0.56323456411186146</v>
      </c>
      <c r="Q45" s="209">
        <f t="shared" si="2"/>
        <v>0.59449925539409865</v>
      </c>
      <c r="R45" s="209">
        <f t="shared" si="2"/>
        <v>0.62638924050198064</v>
      </c>
      <c r="S45" s="209">
        <f t="shared" si="2"/>
        <v>0.65891702531202023</v>
      </c>
      <c r="T45" s="209">
        <f t="shared" si="2"/>
        <v>0.6920953658182607</v>
      </c>
      <c r="U45" s="209">
        <f t="shared" si="2"/>
        <v>0.72593727313462586</v>
      </c>
      <c r="V45" s="209">
        <f t="shared" si="2"/>
        <v>0.76045601859731837</v>
      </c>
      <c r="W45" s="209">
        <f t="shared" si="2"/>
        <v>0.79566513896926483</v>
      </c>
      <c r="X45" s="209">
        <f t="shared" si="2"/>
        <v>0.83157844174865025</v>
      </c>
      <c r="Y45" s="209">
        <f t="shared" si="2"/>
        <v>0.86821001058362324</v>
      </c>
      <c r="Z45" s="209">
        <f t="shared" si="2"/>
        <v>0.90557421079529576</v>
      </c>
      <c r="AA45" s="209">
        <f t="shared" si="2"/>
        <v>0.94368569501120181</v>
      </c>
      <c r="AB45" s="209">
        <f t="shared" si="2"/>
        <v>0.98255940891142579</v>
      </c>
      <c r="AC45" s="209">
        <f t="shared" si="2"/>
        <v>1.0222105970896544</v>
      </c>
      <c r="AD45" s="209">
        <f>(1+AC45)*(1+AD44)-1</f>
        <v>1.0626548090314474</v>
      </c>
    </row>
    <row r="46" spans="1:30" ht="16.5" thickBot="1" x14ac:dyDescent="0.25">
      <c r="A46" s="210" t="s">
        <v>525</v>
      </c>
      <c r="B46" s="211"/>
      <c r="C46" s="211">
        <v>233921813</v>
      </c>
      <c r="D46" s="211">
        <v>613018186.9000001</v>
      </c>
      <c r="E46" s="211">
        <v>151829999.94999999</v>
      </c>
      <c r="F46" s="211">
        <v>72962829.575866967</v>
      </c>
      <c r="G46" s="211">
        <v>82990395.472745687</v>
      </c>
      <c r="H46" s="211">
        <v>93283821.089049757</v>
      </c>
      <c r="I46" s="211">
        <v>101214586.76231325</v>
      </c>
      <c r="J46" s="211">
        <v>109409807.39210056</v>
      </c>
      <c r="K46" s="211">
        <v>117973784.50214665</v>
      </c>
      <c r="L46" s="211">
        <v>126673289.2329212</v>
      </c>
      <c r="M46" s="211">
        <v>132668039.25719932</v>
      </c>
      <c r="N46" s="211">
        <v>138346450.9475227</v>
      </c>
      <c r="O46" s="211">
        <v>141405382.98755181</v>
      </c>
      <c r="P46" s="211">
        <v>144531333.7288031</v>
      </c>
      <c r="Q46" s="211">
        <v>147725760.3465094</v>
      </c>
      <c r="R46" s="211">
        <v>150990151.49543241</v>
      </c>
      <c r="S46" s="211">
        <v>154326027.98617375</v>
      </c>
      <c r="T46" s="212">
        <v>157412548.54589722</v>
      </c>
      <c r="U46" s="211">
        <v>160560799.51681516</v>
      </c>
      <c r="V46" s="211">
        <v>163772015.50715145</v>
      </c>
      <c r="W46" s="211">
        <v>167047455.81729448</v>
      </c>
      <c r="X46" s="211">
        <v>170388404.93364036</v>
      </c>
      <c r="Y46" s="211">
        <v>173796173.03231317</v>
      </c>
      <c r="Z46" s="211">
        <v>177272096.49295944</v>
      </c>
      <c r="AA46" s="211">
        <v>180817538.42281863</v>
      </c>
      <c r="AB46" s="211">
        <v>184433889.191275</v>
      </c>
      <c r="AC46" s="211">
        <v>188122566.97510052</v>
      </c>
      <c r="AD46" s="211">
        <v>191885018.31460252</v>
      </c>
    </row>
    <row r="47" spans="1:30" ht="16.5" thickBot="1" x14ac:dyDescent="0.25">
      <c r="AD47" s="181"/>
    </row>
    <row r="48" spans="1:30" x14ac:dyDescent="0.2">
      <c r="A48" s="213" t="s">
        <v>311</v>
      </c>
      <c r="B48" s="207">
        <f>B54</f>
        <v>1</v>
      </c>
      <c r="C48" s="207">
        <f t="shared" ref="C48:AD48" si="3">C54</f>
        <v>2</v>
      </c>
      <c r="D48" s="207">
        <f t="shared" si="3"/>
        <v>3</v>
      </c>
      <c r="E48" s="207">
        <f t="shared" si="3"/>
        <v>4</v>
      </c>
      <c r="F48" s="207">
        <f t="shared" si="3"/>
        <v>5</v>
      </c>
      <c r="G48" s="207">
        <f t="shared" si="3"/>
        <v>6</v>
      </c>
      <c r="H48" s="207">
        <f t="shared" si="3"/>
        <v>7</v>
      </c>
      <c r="I48" s="207">
        <f t="shared" si="3"/>
        <v>8</v>
      </c>
      <c r="J48" s="207">
        <f t="shared" si="3"/>
        <v>9</v>
      </c>
      <c r="K48" s="207">
        <f t="shared" si="3"/>
        <v>10</v>
      </c>
      <c r="L48" s="207">
        <f t="shared" si="3"/>
        <v>11</v>
      </c>
      <c r="M48" s="207">
        <f t="shared" si="3"/>
        <v>12</v>
      </c>
      <c r="N48" s="207">
        <f t="shared" si="3"/>
        <v>13</v>
      </c>
      <c r="O48" s="207">
        <f t="shared" si="3"/>
        <v>14</v>
      </c>
      <c r="P48" s="207">
        <f t="shared" si="3"/>
        <v>15</v>
      </c>
      <c r="Q48" s="207">
        <f t="shared" si="3"/>
        <v>16</v>
      </c>
      <c r="R48" s="207">
        <f t="shared" si="3"/>
        <v>17</v>
      </c>
      <c r="S48" s="207">
        <f t="shared" si="3"/>
        <v>18</v>
      </c>
      <c r="T48" s="207">
        <f t="shared" si="3"/>
        <v>19</v>
      </c>
      <c r="U48" s="207">
        <f t="shared" si="3"/>
        <v>20</v>
      </c>
      <c r="V48" s="207">
        <f t="shared" si="3"/>
        <v>21</v>
      </c>
      <c r="W48" s="207">
        <f t="shared" si="3"/>
        <v>22</v>
      </c>
      <c r="X48" s="207">
        <f t="shared" si="3"/>
        <v>23</v>
      </c>
      <c r="Y48" s="207">
        <f t="shared" si="3"/>
        <v>24</v>
      </c>
      <c r="Z48" s="207">
        <f t="shared" si="3"/>
        <v>25</v>
      </c>
      <c r="AA48" s="207">
        <f t="shared" si="3"/>
        <v>26</v>
      </c>
      <c r="AB48" s="207">
        <f t="shared" si="3"/>
        <v>27</v>
      </c>
      <c r="AC48" s="207">
        <f t="shared" si="3"/>
        <v>28</v>
      </c>
      <c r="AD48" s="207">
        <f t="shared" si="3"/>
        <v>29</v>
      </c>
    </row>
    <row r="49" spans="1:32" x14ac:dyDescent="0.2">
      <c r="A49" s="208" t="s">
        <v>310</v>
      </c>
      <c r="B49" s="214">
        <v>0</v>
      </c>
      <c r="C49" s="214">
        <f t="shared" ref="C49:AB49" si="4">B49+B50-B51</f>
        <v>0</v>
      </c>
      <c r="D49" s="214">
        <f t="shared" si="4"/>
        <v>0</v>
      </c>
      <c r="E49" s="214">
        <f t="shared" si="4"/>
        <v>0</v>
      </c>
      <c r="F49" s="214">
        <f t="shared" si="4"/>
        <v>0</v>
      </c>
      <c r="G49" s="214">
        <f t="shared" si="4"/>
        <v>0</v>
      </c>
      <c r="H49" s="214">
        <f t="shared" si="4"/>
        <v>0</v>
      </c>
      <c r="I49" s="214">
        <f t="shared" si="4"/>
        <v>0</v>
      </c>
      <c r="J49" s="214">
        <f t="shared" si="4"/>
        <v>0</v>
      </c>
      <c r="K49" s="214">
        <f t="shared" si="4"/>
        <v>0</v>
      </c>
      <c r="L49" s="214">
        <f t="shared" si="4"/>
        <v>0</v>
      </c>
      <c r="M49" s="214">
        <f t="shared" si="4"/>
        <v>0</v>
      </c>
      <c r="N49" s="214">
        <f t="shared" si="4"/>
        <v>0</v>
      </c>
      <c r="O49" s="214">
        <f t="shared" si="4"/>
        <v>0</v>
      </c>
      <c r="P49" s="214">
        <f t="shared" si="4"/>
        <v>0</v>
      </c>
      <c r="Q49" s="214">
        <f t="shared" si="4"/>
        <v>0</v>
      </c>
      <c r="R49" s="214">
        <f t="shared" si="4"/>
        <v>0</v>
      </c>
      <c r="S49" s="214">
        <f t="shared" si="4"/>
        <v>0</v>
      </c>
      <c r="T49" s="214">
        <f t="shared" si="4"/>
        <v>0</v>
      </c>
      <c r="U49" s="214">
        <f t="shared" si="4"/>
        <v>0</v>
      </c>
      <c r="V49" s="214">
        <f t="shared" si="4"/>
        <v>0</v>
      </c>
      <c r="W49" s="214">
        <f t="shared" si="4"/>
        <v>0</v>
      </c>
      <c r="X49" s="214">
        <f t="shared" si="4"/>
        <v>0</v>
      </c>
      <c r="Y49" s="214">
        <f t="shared" si="4"/>
        <v>0</v>
      </c>
      <c r="Z49" s="214">
        <f t="shared" si="4"/>
        <v>0</v>
      </c>
      <c r="AA49" s="214">
        <f t="shared" si="4"/>
        <v>0</v>
      </c>
      <c r="AB49" s="214">
        <f t="shared" si="4"/>
        <v>0</v>
      </c>
      <c r="AC49" s="214">
        <f>AB49+AB50-AB51</f>
        <v>0</v>
      </c>
      <c r="AD49" s="214">
        <f>AC49+AC50-AC51</f>
        <v>0</v>
      </c>
    </row>
    <row r="50" spans="1:32" x14ac:dyDescent="0.2">
      <c r="A50" s="208" t="s">
        <v>309</v>
      </c>
      <c r="B50" s="214">
        <f>B21*B24*B39*1.18</f>
        <v>0</v>
      </c>
      <c r="C50" s="214">
        <v>0</v>
      </c>
      <c r="D50" s="214">
        <v>0</v>
      </c>
      <c r="E50" s="214">
        <v>0</v>
      </c>
      <c r="F50" s="214">
        <v>0</v>
      </c>
      <c r="G50" s="214">
        <v>0</v>
      </c>
      <c r="H50" s="214">
        <v>0</v>
      </c>
      <c r="I50" s="214">
        <v>0</v>
      </c>
      <c r="J50" s="214">
        <v>0</v>
      </c>
      <c r="K50" s="214">
        <v>0</v>
      </c>
      <c r="L50" s="214">
        <v>0</v>
      </c>
      <c r="M50" s="214">
        <v>0</v>
      </c>
      <c r="N50" s="214">
        <v>0</v>
      </c>
      <c r="O50" s="214">
        <v>0</v>
      </c>
      <c r="P50" s="214">
        <v>0</v>
      </c>
      <c r="Q50" s="214">
        <v>0</v>
      </c>
      <c r="R50" s="214">
        <v>0</v>
      </c>
      <c r="S50" s="214">
        <v>0</v>
      </c>
      <c r="T50" s="214">
        <v>0</v>
      </c>
      <c r="U50" s="214">
        <v>0</v>
      </c>
      <c r="V50" s="214">
        <v>0</v>
      </c>
      <c r="W50" s="214">
        <v>0</v>
      </c>
      <c r="X50" s="214">
        <v>0</v>
      </c>
      <c r="Y50" s="214">
        <v>0</v>
      </c>
      <c r="Z50" s="214">
        <v>0</v>
      </c>
      <c r="AA50" s="214">
        <v>0</v>
      </c>
      <c r="AB50" s="214">
        <v>0</v>
      </c>
      <c r="AC50" s="214">
        <v>0</v>
      </c>
      <c r="AD50" s="214">
        <v>0</v>
      </c>
    </row>
    <row r="51" spans="1:32" x14ac:dyDescent="0.2">
      <c r="A51" s="208" t="s">
        <v>308</v>
      </c>
      <c r="B51" s="214">
        <f>$B$50/$B$36</f>
        <v>0</v>
      </c>
      <c r="C51" s="214">
        <f t="shared" ref="C51:AB51" si="5">IF(ROUND(C49,1)=0,0,B51+C50/$B$36)</f>
        <v>0</v>
      </c>
      <c r="D51" s="214">
        <f t="shared" si="5"/>
        <v>0</v>
      </c>
      <c r="E51" s="214">
        <f t="shared" si="5"/>
        <v>0</v>
      </c>
      <c r="F51" s="214">
        <f t="shared" si="5"/>
        <v>0</v>
      </c>
      <c r="G51" s="214">
        <f t="shared" si="5"/>
        <v>0</v>
      </c>
      <c r="H51" s="214">
        <f t="shared" si="5"/>
        <v>0</v>
      </c>
      <c r="I51" s="214">
        <f t="shared" si="5"/>
        <v>0</v>
      </c>
      <c r="J51" s="214">
        <f t="shared" si="5"/>
        <v>0</v>
      </c>
      <c r="K51" s="214">
        <f t="shared" si="5"/>
        <v>0</v>
      </c>
      <c r="L51" s="214">
        <f t="shared" si="5"/>
        <v>0</v>
      </c>
      <c r="M51" s="214">
        <f t="shared" si="5"/>
        <v>0</v>
      </c>
      <c r="N51" s="214">
        <f t="shared" si="5"/>
        <v>0</v>
      </c>
      <c r="O51" s="214">
        <f t="shared" si="5"/>
        <v>0</v>
      </c>
      <c r="P51" s="214">
        <f t="shared" si="5"/>
        <v>0</v>
      </c>
      <c r="Q51" s="214">
        <f t="shared" si="5"/>
        <v>0</v>
      </c>
      <c r="R51" s="214">
        <f t="shared" si="5"/>
        <v>0</v>
      </c>
      <c r="S51" s="214">
        <f t="shared" si="5"/>
        <v>0</v>
      </c>
      <c r="T51" s="214">
        <f t="shared" si="5"/>
        <v>0</v>
      </c>
      <c r="U51" s="214">
        <f t="shared" si="5"/>
        <v>0</v>
      </c>
      <c r="V51" s="214">
        <f t="shared" si="5"/>
        <v>0</v>
      </c>
      <c r="W51" s="214">
        <f t="shared" si="5"/>
        <v>0</v>
      </c>
      <c r="X51" s="214">
        <f t="shared" si="5"/>
        <v>0</v>
      </c>
      <c r="Y51" s="214">
        <f t="shared" si="5"/>
        <v>0</v>
      </c>
      <c r="Z51" s="214">
        <f t="shared" si="5"/>
        <v>0</v>
      </c>
      <c r="AA51" s="214">
        <f t="shared" si="5"/>
        <v>0</v>
      </c>
      <c r="AB51" s="214">
        <f t="shared" si="5"/>
        <v>0</v>
      </c>
      <c r="AC51" s="214">
        <f>IF(ROUND(AC49,1)=0,0,AB51+AC50/$B$36)</f>
        <v>0</v>
      </c>
      <c r="AD51" s="214">
        <f>IF(ROUND(AD49,1)=0,0,AC51+AD50/$B$36)</f>
        <v>0</v>
      </c>
    </row>
    <row r="52" spans="1:32" ht="16.5" thickBot="1" x14ac:dyDescent="0.25">
      <c r="A52" s="210" t="s">
        <v>307</v>
      </c>
      <c r="B52" s="211">
        <f t="shared" ref="B52:AB52" si="6">AVERAGE(SUM(B49:B50),(SUM(B49:B50)-B51))*$B$38</f>
        <v>0</v>
      </c>
      <c r="C52" s="211">
        <f t="shared" si="6"/>
        <v>0</v>
      </c>
      <c r="D52" s="211">
        <f t="shared" si="6"/>
        <v>0</v>
      </c>
      <c r="E52" s="211">
        <f t="shared" si="6"/>
        <v>0</v>
      </c>
      <c r="F52" s="211">
        <f t="shared" si="6"/>
        <v>0</v>
      </c>
      <c r="G52" s="211">
        <f t="shared" si="6"/>
        <v>0</v>
      </c>
      <c r="H52" s="211">
        <f t="shared" si="6"/>
        <v>0</v>
      </c>
      <c r="I52" s="211">
        <f t="shared" si="6"/>
        <v>0</v>
      </c>
      <c r="J52" s="211">
        <f t="shared" si="6"/>
        <v>0</v>
      </c>
      <c r="K52" s="211">
        <f t="shared" si="6"/>
        <v>0</v>
      </c>
      <c r="L52" s="211">
        <f t="shared" si="6"/>
        <v>0</v>
      </c>
      <c r="M52" s="211">
        <f t="shared" si="6"/>
        <v>0</v>
      </c>
      <c r="N52" s="211">
        <f t="shared" si="6"/>
        <v>0</v>
      </c>
      <c r="O52" s="211">
        <f t="shared" si="6"/>
        <v>0</v>
      </c>
      <c r="P52" s="211">
        <f t="shared" si="6"/>
        <v>0</v>
      </c>
      <c r="Q52" s="211">
        <f t="shared" si="6"/>
        <v>0</v>
      </c>
      <c r="R52" s="211">
        <f t="shared" si="6"/>
        <v>0</v>
      </c>
      <c r="S52" s="211">
        <f t="shared" si="6"/>
        <v>0</v>
      </c>
      <c r="T52" s="211">
        <f t="shared" si="6"/>
        <v>0</v>
      </c>
      <c r="U52" s="211">
        <f t="shared" si="6"/>
        <v>0</v>
      </c>
      <c r="V52" s="211">
        <f t="shared" si="6"/>
        <v>0</v>
      </c>
      <c r="W52" s="211">
        <f t="shared" si="6"/>
        <v>0</v>
      </c>
      <c r="X52" s="211">
        <f t="shared" si="6"/>
        <v>0</v>
      </c>
      <c r="Y52" s="211">
        <f t="shared" si="6"/>
        <v>0</v>
      </c>
      <c r="Z52" s="211">
        <f t="shared" si="6"/>
        <v>0</v>
      </c>
      <c r="AA52" s="211">
        <f t="shared" si="6"/>
        <v>0</v>
      </c>
      <c r="AB52" s="211">
        <f t="shared" si="6"/>
        <v>0</v>
      </c>
      <c r="AC52" s="211">
        <f>AVERAGE(SUM(AC49:AC50),(SUM(AC49:AC50)-AC51))*$B$38</f>
        <v>0</v>
      </c>
      <c r="AD52" s="211">
        <f>AVERAGE(SUM(AD49:AD50),(SUM(AD49:AD50)-AD51))*$B$38</f>
        <v>0</v>
      </c>
    </row>
    <row r="53" spans="1:32" ht="16.5" thickBot="1" x14ac:dyDescent="0.25">
      <c r="A53" s="215"/>
      <c r="B53" s="216"/>
      <c r="C53" s="269">
        <f>1</f>
        <v>1</v>
      </c>
      <c r="D53" s="269">
        <f>C53+1</f>
        <v>2</v>
      </c>
      <c r="E53" s="269">
        <f t="shared" ref="E53:AD53" si="7">D53+1</f>
        <v>3</v>
      </c>
      <c r="F53" s="269">
        <f t="shared" si="7"/>
        <v>4</v>
      </c>
      <c r="G53" s="269">
        <f t="shared" si="7"/>
        <v>5</v>
      </c>
      <c r="H53" s="269">
        <f t="shared" si="7"/>
        <v>6</v>
      </c>
      <c r="I53" s="269">
        <f t="shared" si="7"/>
        <v>7</v>
      </c>
      <c r="J53" s="269">
        <f t="shared" si="7"/>
        <v>8</v>
      </c>
      <c r="K53" s="269">
        <f t="shared" si="7"/>
        <v>9</v>
      </c>
      <c r="L53" s="269">
        <f t="shared" si="7"/>
        <v>10</v>
      </c>
      <c r="M53" s="269">
        <f t="shared" si="7"/>
        <v>11</v>
      </c>
      <c r="N53" s="269">
        <f t="shared" si="7"/>
        <v>12</v>
      </c>
      <c r="O53" s="269">
        <f t="shared" si="7"/>
        <v>13</v>
      </c>
      <c r="P53" s="269">
        <f t="shared" si="7"/>
        <v>14</v>
      </c>
      <c r="Q53" s="269">
        <f t="shared" si="7"/>
        <v>15</v>
      </c>
      <c r="R53" s="269">
        <f t="shared" si="7"/>
        <v>16</v>
      </c>
      <c r="S53" s="269">
        <f t="shared" si="7"/>
        <v>17</v>
      </c>
      <c r="T53" s="269">
        <f t="shared" si="7"/>
        <v>18</v>
      </c>
      <c r="U53" s="269">
        <f t="shared" si="7"/>
        <v>19</v>
      </c>
      <c r="V53" s="269">
        <f t="shared" si="7"/>
        <v>20</v>
      </c>
      <c r="W53" s="269">
        <f t="shared" si="7"/>
        <v>21</v>
      </c>
      <c r="X53" s="269">
        <f t="shared" si="7"/>
        <v>22</v>
      </c>
      <c r="Y53" s="269">
        <f t="shared" si="7"/>
        <v>23</v>
      </c>
      <c r="Z53" s="269">
        <f t="shared" si="7"/>
        <v>24</v>
      </c>
      <c r="AA53" s="269">
        <f t="shared" si="7"/>
        <v>25</v>
      </c>
      <c r="AB53" s="269">
        <f t="shared" si="7"/>
        <v>26</v>
      </c>
      <c r="AC53" s="269">
        <f t="shared" si="7"/>
        <v>27</v>
      </c>
      <c r="AD53" s="269">
        <f t="shared" si="7"/>
        <v>28</v>
      </c>
    </row>
    <row r="54" spans="1:32" x14ac:dyDescent="0.2">
      <c r="A54" s="213" t="s">
        <v>526</v>
      </c>
      <c r="B54" s="207">
        <v>1</v>
      </c>
      <c r="C54" s="207">
        <f>B54+1</f>
        <v>2</v>
      </c>
      <c r="D54" s="207">
        <f t="shared" ref="D54:AC54" si="8">C54+1</f>
        <v>3</v>
      </c>
      <c r="E54" s="207">
        <f t="shared" si="8"/>
        <v>4</v>
      </c>
      <c r="F54" s="207">
        <f t="shared" si="8"/>
        <v>5</v>
      </c>
      <c r="G54" s="207">
        <f t="shared" si="8"/>
        <v>6</v>
      </c>
      <c r="H54" s="207">
        <f t="shared" si="8"/>
        <v>7</v>
      </c>
      <c r="I54" s="207">
        <f t="shared" si="8"/>
        <v>8</v>
      </c>
      <c r="J54" s="207">
        <f t="shared" si="8"/>
        <v>9</v>
      </c>
      <c r="K54" s="207">
        <f t="shared" si="8"/>
        <v>10</v>
      </c>
      <c r="L54" s="207">
        <f t="shared" si="8"/>
        <v>11</v>
      </c>
      <c r="M54" s="207">
        <f t="shared" si="8"/>
        <v>12</v>
      </c>
      <c r="N54" s="207">
        <f t="shared" si="8"/>
        <v>13</v>
      </c>
      <c r="O54" s="207">
        <f t="shared" si="8"/>
        <v>14</v>
      </c>
      <c r="P54" s="207">
        <f t="shared" si="8"/>
        <v>15</v>
      </c>
      <c r="Q54" s="207">
        <f t="shared" si="8"/>
        <v>16</v>
      </c>
      <c r="R54" s="207">
        <f t="shared" si="8"/>
        <v>17</v>
      </c>
      <c r="S54" s="207">
        <f t="shared" si="8"/>
        <v>18</v>
      </c>
      <c r="T54" s="207">
        <f t="shared" si="8"/>
        <v>19</v>
      </c>
      <c r="U54" s="207">
        <f t="shared" si="8"/>
        <v>20</v>
      </c>
      <c r="V54" s="207">
        <f t="shared" si="8"/>
        <v>21</v>
      </c>
      <c r="W54" s="207">
        <f t="shared" si="8"/>
        <v>22</v>
      </c>
      <c r="X54" s="207">
        <f t="shared" si="8"/>
        <v>23</v>
      </c>
      <c r="Y54" s="207">
        <f t="shared" si="8"/>
        <v>24</v>
      </c>
      <c r="Z54" s="207">
        <f t="shared" si="8"/>
        <v>25</v>
      </c>
      <c r="AA54" s="207">
        <f t="shared" si="8"/>
        <v>26</v>
      </c>
      <c r="AB54" s="207">
        <f t="shared" si="8"/>
        <v>27</v>
      </c>
      <c r="AC54" s="207">
        <f t="shared" si="8"/>
        <v>28</v>
      </c>
      <c r="AD54" s="207">
        <f>AC54+1</f>
        <v>29</v>
      </c>
    </row>
    <row r="55" spans="1:32" ht="14.25" x14ac:dyDescent="0.2">
      <c r="A55" s="217" t="s">
        <v>306</v>
      </c>
      <c r="B55" s="218">
        <f t="shared" ref="B55:AC55" si="9">B46*$B$24</f>
        <v>0</v>
      </c>
      <c r="C55" s="218">
        <f t="shared" si="9"/>
        <v>233921813</v>
      </c>
      <c r="D55" s="218">
        <f>D46*$B$24</f>
        <v>613018186.9000001</v>
      </c>
      <c r="E55" s="218">
        <f t="shared" si="9"/>
        <v>151829999.94999999</v>
      </c>
      <c r="F55" s="218">
        <f t="shared" si="9"/>
        <v>72962829.575866967</v>
      </c>
      <c r="G55" s="218">
        <f t="shared" si="9"/>
        <v>82990395.472745687</v>
      </c>
      <c r="H55" s="218">
        <f t="shared" si="9"/>
        <v>93283821.089049757</v>
      </c>
      <c r="I55" s="218">
        <f t="shared" si="9"/>
        <v>101214586.76231325</v>
      </c>
      <c r="J55" s="218">
        <f t="shared" si="9"/>
        <v>109409807.39210056</v>
      </c>
      <c r="K55" s="218">
        <f t="shared" si="9"/>
        <v>117973784.50214665</v>
      </c>
      <c r="L55" s="218">
        <f t="shared" si="9"/>
        <v>126673289.2329212</v>
      </c>
      <c r="M55" s="218">
        <f t="shared" si="9"/>
        <v>132668039.25719932</v>
      </c>
      <c r="N55" s="218">
        <f t="shared" si="9"/>
        <v>138346450.9475227</v>
      </c>
      <c r="O55" s="218">
        <f t="shared" si="9"/>
        <v>141405382.98755181</v>
      </c>
      <c r="P55" s="218">
        <f t="shared" si="9"/>
        <v>144531333.7288031</v>
      </c>
      <c r="Q55" s="218">
        <f t="shared" si="9"/>
        <v>147725760.3465094</v>
      </c>
      <c r="R55" s="218">
        <f t="shared" si="9"/>
        <v>150990151.49543241</v>
      </c>
      <c r="S55" s="218">
        <f t="shared" si="9"/>
        <v>154326027.98617375</v>
      </c>
      <c r="T55" s="218">
        <f t="shared" si="9"/>
        <v>157412548.54589722</v>
      </c>
      <c r="U55" s="218">
        <f t="shared" si="9"/>
        <v>160560799.51681516</v>
      </c>
      <c r="V55" s="218">
        <f t="shared" si="9"/>
        <v>163772015.50715145</v>
      </c>
      <c r="W55" s="218">
        <f t="shared" si="9"/>
        <v>167047455.81729448</v>
      </c>
      <c r="X55" s="218">
        <f t="shared" si="9"/>
        <v>170388404.93364036</v>
      </c>
      <c r="Y55" s="218">
        <f t="shared" si="9"/>
        <v>173796173.03231317</v>
      </c>
      <c r="Z55" s="218">
        <f t="shared" si="9"/>
        <v>177272096.49295944</v>
      </c>
      <c r="AA55" s="218">
        <f t="shared" si="9"/>
        <v>180817538.42281863</v>
      </c>
      <c r="AB55" s="218">
        <f t="shared" si="9"/>
        <v>184433889.191275</v>
      </c>
      <c r="AC55" s="218">
        <f t="shared" si="9"/>
        <v>188122566.97510052</v>
      </c>
      <c r="AD55" s="218">
        <f>AD46*$B$24</f>
        <v>191885018.31460252</v>
      </c>
    </row>
    <row r="56" spans="1:32" x14ac:dyDescent="0.2">
      <c r="A56" s="208" t="s">
        <v>305</v>
      </c>
      <c r="B56" s="214">
        <f t="shared" ref="B56:V56" si="10">SUM(B57:B62)</f>
        <v>0</v>
      </c>
      <c r="C56" s="214">
        <f t="shared" si="10"/>
        <v>0</v>
      </c>
      <c r="D56" s="214">
        <f t="shared" si="10"/>
        <v>0</v>
      </c>
      <c r="E56" s="214">
        <f t="shared" si="10"/>
        <v>0</v>
      </c>
      <c r="F56" s="214">
        <f t="shared" si="10"/>
        <v>-362845.05669719994</v>
      </c>
      <c r="G56" s="214">
        <f t="shared" si="10"/>
        <v>-375907.47873829911</v>
      </c>
      <c r="H56" s="214">
        <f t="shared" si="10"/>
        <v>-1293121.7268597488</v>
      </c>
      <c r="I56" s="214">
        <f t="shared" si="10"/>
        <v>-398798.74056354654</v>
      </c>
      <c r="J56" s="214">
        <f t="shared" si="10"/>
        <v>-409566.30655876221</v>
      </c>
      <c r="K56" s="214">
        <f t="shared" si="10"/>
        <v>-1402081.9894528291</v>
      </c>
      <c r="L56" s="214">
        <f t="shared" si="10"/>
        <v>-431140.21175674495</v>
      </c>
      <c r="M56" s="214">
        <f t="shared" si="10"/>
        <v>-2487056.4366271496</v>
      </c>
      <c r="N56" s="214">
        <f t="shared" si="10"/>
        <v>-1502532.2607764911</v>
      </c>
      <c r="O56" s="214">
        <f t="shared" si="10"/>
        <v>-459774.87179760635</v>
      </c>
      <c r="P56" s="214">
        <f t="shared" si="10"/>
        <v>-468970.36923355842</v>
      </c>
      <c r="Q56" s="214">
        <f t="shared" si="10"/>
        <v>-1594499.2553940988</v>
      </c>
      <c r="R56" s="214">
        <f t="shared" si="10"/>
        <v>-487916.77215059422</v>
      </c>
      <c r="S56" s="214">
        <f t="shared" si="10"/>
        <v>-497675.10759360605</v>
      </c>
      <c r="T56" s="214">
        <f t="shared" si="10"/>
        <v>-1692095.3658182607</v>
      </c>
      <c r="U56" s="214">
        <f t="shared" si="10"/>
        <v>-3969655.7282096394</v>
      </c>
      <c r="V56" s="214">
        <f t="shared" si="10"/>
        <v>-528136.8055791955</v>
      </c>
      <c r="W56" s="214">
        <f t="shared" ref="W56:AC56" si="11">SUM(W57:W62)</f>
        <v>-1795665.1389692649</v>
      </c>
      <c r="X56" s="214">
        <f t="shared" si="11"/>
        <v>-549473.53252459504</v>
      </c>
      <c r="Y56" s="214">
        <f t="shared" si="11"/>
        <v>-560463.00317508692</v>
      </c>
      <c r="Z56" s="214">
        <f t="shared" si="11"/>
        <v>-1905574.2107952959</v>
      </c>
      <c r="AA56" s="214">
        <f t="shared" si="11"/>
        <v>-583105.70850336051</v>
      </c>
      <c r="AB56" s="214">
        <f t="shared" si="11"/>
        <v>-594767.82267342776</v>
      </c>
      <c r="AC56" s="214">
        <f t="shared" si="11"/>
        <v>-6066631.7912689634</v>
      </c>
      <c r="AD56" s="214">
        <f>SUM(AD57:AD62)</f>
        <v>-618796.4427094342</v>
      </c>
    </row>
    <row r="57" spans="1:32" x14ac:dyDescent="0.2">
      <c r="A57" s="219" t="s">
        <v>304</v>
      </c>
      <c r="B57" s="214"/>
      <c r="C57" s="214"/>
      <c r="D57" s="214"/>
      <c r="E57" s="214"/>
      <c r="F57" s="214">
        <v>0</v>
      </c>
      <c r="G57" s="214">
        <v>0</v>
      </c>
      <c r="H57" s="214">
        <f>-IF(H$43&lt;=$B$26,0,$B$25*(1+H$45)*$B$24)</f>
        <v>-905185.20880182413</v>
      </c>
      <c r="I57" s="214">
        <v>0</v>
      </c>
      <c r="J57" s="214">
        <v>0</v>
      </c>
      <c r="K57" s="214">
        <f>-IF(K$43&lt;=$B$26,0,$B$25*(1+K$45)*$B$24)</f>
        <v>-981457.39261698036</v>
      </c>
      <c r="L57" s="214">
        <v>0</v>
      </c>
      <c r="M57" s="214">
        <v>0</v>
      </c>
      <c r="N57" s="214">
        <f>-IF(N$43&lt;=$B$26,0,$B$25*(1+N$45)*$B$24)</f>
        <v>-1051772.5825435438</v>
      </c>
      <c r="O57" s="214">
        <v>0</v>
      </c>
      <c r="P57" s="214">
        <v>0</v>
      </c>
      <c r="Q57" s="214">
        <f>-IF(Q$43&lt;=$B$26,0,$B$25*(1+Q$45)*$B$24)</f>
        <v>-1116149.4787758691</v>
      </c>
      <c r="R57" s="214">
        <v>0</v>
      </c>
      <c r="S57" s="214">
        <v>0</v>
      </c>
      <c r="T57" s="214">
        <f>-IF(T$43&lt;=$B$26,0,$B$25*(1+T$45)*$B$24)</f>
        <v>-1184466.7560727824</v>
      </c>
      <c r="U57" s="214">
        <v>0</v>
      </c>
      <c r="V57" s="214">
        <v>0</v>
      </c>
      <c r="W57" s="214">
        <f>-IF(W$43&lt;=$B$26,0,$B$25*(1+W$45)*$B$24)</f>
        <v>-1256965.5972784853</v>
      </c>
      <c r="X57" s="214">
        <v>0</v>
      </c>
      <c r="Y57" s="214">
        <v>0</v>
      </c>
      <c r="Z57" s="214">
        <f>-IF(Z$43&lt;=$B$26,0,$B$25*(1+Z$45)*$B$24)</f>
        <v>-1333901.9475567071</v>
      </c>
      <c r="AA57" s="214">
        <v>0</v>
      </c>
      <c r="AB57" s="214">
        <v>0</v>
      </c>
      <c r="AC57" s="214">
        <f>-IF(AC$43&lt;=$B$26,0,$B$25*(1+AC$45)*$B$24)</f>
        <v>-1415547.4179627581</v>
      </c>
      <c r="AD57" s="214">
        <v>0</v>
      </c>
    </row>
    <row r="58" spans="1:32" x14ac:dyDescent="0.2">
      <c r="A58" s="219" t="str">
        <f>A28</f>
        <v>Прочие расходы при эксплуатации объекта, руб. без НДС</v>
      </c>
      <c r="B58" s="214"/>
      <c r="C58" s="214"/>
      <c r="D58" s="214"/>
      <c r="E58" s="214"/>
      <c r="F58" s="214">
        <f>-IF(F$43&lt;=$B$29,0,$B$28*(1+F$45)*$B$24)</f>
        <v>-362845.05669719994</v>
      </c>
      <c r="G58" s="214">
        <f>-IF(G$43&lt;=$B$29,0,$B$28*(1+G$45)*$B$24)</f>
        <v>-375907.47873829911</v>
      </c>
      <c r="H58" s="214">
        <f t="shared" ref="H58:AD58" si="12">-IF(H$43&lt;=$B$29,0,$B$28*(1+H$45)*$B$24)</f>
        <v>-387936.51805792464</v>
      </c>
      <c r="I58" s="214">
        <f>-IF(I$43&lt;=$B$29,0,$B$28*(1+I$45)*$B$24)</f>
        <v>-398798.74056354654</v>
      </c>
      <c r="J58" s="214">
        <f t="shared" si="12"/>
        <v>-409566.30655876221</v>
      </c>
      <c r="K58" s="214">
        <f t="shared" si="12"/>
        <v>-420624.59683584876</v>
      </c>
      <c r="L58" s="214">
        <f t="shared" si="12"/>
        <v>-431140.21175674495</v>
      </c>
      <c r="M58" s="214">
        <f t="shared" si="12"/>
        <v>-441056.43662715005</v>
      </c>
      <c r="N58" s="214">
        <f t="shared" si="12"/>
        <v>-450759.67823294736</v>
      </c>
      <c r="O58" s="214">
        <f t="shared" si="12"/>
        <v>-459774.87179760635</v>
      </c>
      <c r="P58" s="214">
        <f t="shared" si="12"/>
        <v>-468970.36923355842</v>
      </c>
      <c r="Q58" s="214">
        <f t="shared" si="12"/>
        <v>-478349.77661822957</v>
      </c>
      <c r="R58" s="214">
        <f t="shared" si="12"/>
        <v>-487916.77215059422</v>
      </c>
      <c r="S58" s="214">
        <f t="shared" si="12"/>
        <v>-497675.10759360605</v>
      </c>
      <c r="T58" s="214">
        <f t="shared" si="12"/>
        <v>-507628.6097454782</v>
      </c>
      <c r="U58" s="214">
        <f t="shared" si="12"/>
        <v>-517781.18194038776</v>
      </c>
      <c r="V58" s="214">
        <f t="shared" si="12"/>
        <v>-528136.8055791955</v>
      </c>
      <c r="W58" s="214">
        <f t="shared" si="12"/>
        <v>-538699.5416907795</v>
      </c>
      <c r="X58" s="214">
        <f t="shared" si="12"/>
        <v>-549473.53252459504</v>
      </c>
      <c r="Y58" s="214">
        <f t="shared" si="12"/>
        <v>-560463.00317508692</v>
      </c>
      <c r="Z58" s="214">
        <f t="shared" si="12"/>
        <v>-571672.2632385887</v>
      </c>
      <c r="AA58" s="214">
        <f t="shared" si="12"/>
        <v>-583105.70850336051</v>
      </c>
      <c r="AB58" s="214">
        <f t="shared" si="12"/>
        <v>-594767.82267342776</v>
      </c>
      <c r="AC58" s="214">
        <f t="shared" si="12"/>
        <v>-606663.17912689631</v>
      </c>
      <c r="AD58" s="214">
        <f t="shared" si="12"/>
        <v>-618796.4427094342</v>
      </c>
    </row>
    <row r="59" spans="1:32" x14ac:dyDescent="0.2">
      <c r="A59" s="219" t="s">
        <v>521</v>
      </c>
      <c r="B59" s="214"/>
      <c r="C59" s="214"/>
      <c r="D59" s="214"/>
      <c r="E59" s="214"/>
      <c r="F59" s="214">
        <v>0</v>
      </c>
      <c r="G59" s="214">
        <v>0</v>
      </c>
      <c r="H59" s="214">
        <v>0</v>
      </c>
      <c r="I59" s="214">
        <v>0</v>
      </c>
      <c r="J59" s="214">
        <v>0</v>
      </c>
      <c r="K59" s="214">
        <v>0</v>
      </c>
      <c r="L59" s="214">
        <v>0</v>
      </c>
      <c r="M59" s="214">
        <f>-IF(M$43&lt;=$B$26,0,$B$31*(1+M$44)*$B$24)</f>
        <v>-2045999.9999999998</v>
      </c>
      <c r="N59" s="214">
        <v>0</v>
      </c>
      <c r="O59" s="214">
        <v>0</v>
      </c>
      <c r="P59" s="214">
        <v>0</v>
      </c>
      <c r="Q59" s="214">
        <v>0</v>
      </c>
      <c r="R59" s="214">
        <v>0</v>
      </c>
      <c r="S59" s="214">
        <v>0</v>
      </c>
      <c r="T59" s="214">
        <v>0</v>
      </c>
      <c r="U59" s="214">
        <f>-IF(U$43&lt;=$B$26,0,$B$31*(1+U$45)*$B$24)</f>
        <v>-3451874.5462692515</v>
      </c>
      <c r="V59" s="214">
        <v>0</v>
      </c>
      <c r="W59" s="214">
        <v>0</v>
      </c>
      <c r="X59" s="214">
        <v>0</v>
      </c>
      <c r="Y59" s="214">
        <v>0</v>
      </c>
      <c r="Z59" s="214">
        <v>0</v>
      </c>
      <c r="AA59" s="214">
        <v>0</v>
      </c>
      <c r="AB59" s="214">
        <v>0</v>
      </c>
      <c r="AC59" s="214">
        <f>-IF(AC$43&lt;=$B$26,0,$B$31*(1+AC$45)*$B$24)</f>
        <v>-4044421.1941793091</v>
      </c>
      <c r="AD59" s="214">
        <v>0</v>
      </c>
    </row>
    <row r="60" spans="1:32" x14ac:dyDescent="0.2">
      <c r="A60" s="219" t="s">
        <v>522</v>
      </c>
      <c r="B60" s="214">
        <f>-$B$33*(1+B$45)*$B$24*365</f>
        <v>0</v>
      </c>
      <c r="C60" s="214">
        <f t="shared" ref="C60:AD60" si="13">-$B$33*(1+C$45)*$B$24*365</f>
        <v>0</v>
      </c>
      <c r="D60" s="214">
        <f t="shared" si="13"/>
        <v>0</v>
      </c>
      <c r="E60" s="214">
        <f t="shared" si="13"/>
        <v>0</v>
      </c>
      <c r="F60" s="214">
        <f t="shared" si="13"/>
        <v>0</v>
      </c>
      <c r="G60" s="214">
        <f t="shared" si="13"/>
        <v>0</v>
      </c>
      <c r="H60" s="214">
        <f t="shared" si="13"/>
        <v>0</v>
      </c>
      <c r="I60" s="214">
        <f t="shared" si="13"/>
        <v>0</v>
      </c>
      <c r="J60" s="214">
        <f t="shared" si="13"/>
        <v>0</v>
      </c>
      <c r="K60" s="214">
        <f t="shared" si="13"/>
        <v>0</v>
      </c>
      <c r="L60" s="214">
        <f t="shared" si="13"/>
        <v>0</v>
      </c>
      <c r="M60" s="214">
        <f t="shared" si="13"/>
        <v>0</v>
      </c>
      <c r="N60" s="214">
        <f t="shared" si="13"/>
        <v>0</v>
      </c>
      <c r="O60" s="214">
        <f t="shared" si="13"/>
        <v>0</v>
      </c>
      <c r="P60" s="214">
        <f t="shared" si="13"/>
        <v>0</v>
      </c>
      <c r="Q60" s="214">
        <f t="shared" si="13"/>
        <v>0</v>
      </c>
      <c r="R60" s="214">
        <f t="shared" si="13"/>
        <v>0</v>
      </c>
      <c r="S60" s="214">
        <f t="shared" si="13"/>
        <v>0</v>
      </c>
      <c r="T60" s="214">
        <f t="shared" si="13"/>
        <v>0</v>
      </c>
      <c r="U60" s="214">
        <f t="shared" si="13"/>
        <v>0</v>
      </c>
      <c r="V60" s="214">
        <f t="shared" si="13"/>
        <v>0</v>
      </c>
      <c r="W60" s="214">
        <f t="shared" si="13"/>
        <v>0</v>
      </c>
      <c r="X60" s="214">
        <f t="shared" si="13"/>
        <v>0</v>
      </c>
      <c r="Y60" s="214">
        <f t="shared" si="13"/>
        <v>0</v>
      </c>
      <c r="Z60" s="214">
        <f t="shared" si="13"/>
        <v>0</v>
      </c>
      <c r="AA60" s="214">
        <f t="shared" si="13"/>
        <v>0</v>
      </c>
      <c r="AB60" s="214">
        <f t="shared" si="13"/>
        <v>0</v>
      </c>
      <c r="AC60" s="214">
        <f t="shared" si="13"/>
        <v>0</v>
      </c>
      <c r="AD60" s="214">
        <f t="shared" si="13"/>
        <v>0</v>
      </c>
    </row>
    <row r="61" spans="1:32" x14ac:dyDescent="0.2">
      <c r="A61" s="219" t="s">
        <v>522</v>
      </c>
      <c r="B61" s="214">
        <f t="shared" ref="B61:AD61" si="14">-$B$34*(1+B$45)*12</f>
        <v>0</v>
      </c>
      <c r="C61" s="214">
        <f t="shared" si="14"/>
        <v>0</v>
      </c>
      <c r="D61" s="214">
        <f t="shared" si="14"/>
        <v>0</v>
      </c>
      <c r="E61" s="214">
        <f t="shared" si="14"/>
        <v>0</v>
      </c>
      <c r="F61" s="214">
        <f t="shared" si="14"/>
        <v>0</v>
      </c>
      <c r="G61" s="214">
        <f t="shared" si="14"/>
        <v>0</v>
      </c>
      <c r="H61" s="214">
        <f t="shared" si="14"/>
        <v>0</v>
      </c>
      <c r="I61" s="214">
        <f t="shared" si="14"/>
        <v>0</v>
      </c>
      <c r="J61" s="214">
        <f t="shared" si="14"/>
        <v>0</v>
      </c>
      <c r="K61" s="214">
        <f t="shared" si="14"/>
        <v>0</v>
      </c>
      <c r="L61" s="214">
        <f t="shared" si="14"/>
        <v>0</v>
      </c>
      <c r="M61" s="214">
        <f t="shared" si="14"/>
        <v>0</v>
      </c>
      <c r="N61" s="214">
        <f t="shared" si="14"/>
        <v>0</v>
      </c>
      <c r="O61" s="214">
        <f t="shared" si="14"/>
        <v>0</v>
      </c>
      <c r="P61" s="214">
        <f t="shared" si="14"/>
        <v>0</v>
      </c>
      <c r="Q61" s="214">
        <f t="shared" si="14"/>
        <v>0</v>
      </c>
      <c r="R61" s="214">
        <f t="shared" si="14"/>
        <v>0</v>
      </c>
      <c r="S61" s="214">
        <f t="shared" si="14"/>
        <v>0</v>
      </c>
      <c r="T61" s="214">
        <f t="shared" si="14"/>
        <v>0</v>
      </c>
      <c r="U61" s="214">
        <f t="shared" si="14"/>
        <v>0</v>
      </c>
      <c r="V61" s="214">
        <f t="shared" si="14"/>
        <v>0</v>
      </c>
      <c r="W61" s="214">
        <f t="shared" si="14"/>
        <v>0</v>
      </c>
      <c r="X61" s="214">
        <f t="shared" si="14"/>
        <v>0</v>
      </c>
      <c r="Y61" s="214">
        <f t="shared" si="14"/>
        <v>0</v>
      </c>
      <c r="Z61" s="214">
        <f t="shared" si="14"/>
        <v>0</v>
      </c>
      <c r="AA61" s="214">
        <f t="shared" si="14"/>
        <v>0</v>
      </c>
      <c r="AB61" s="214">
        <f t="shared" si="14"/>
        <v>0</v>
      </c>
      <c r="AC61" s="214">
        <f t="shared" si="14"/>
        <v>0</v>
      </c>
      <c r="AD61" s="214">
        <f t="shared" si="14"/>
        <v>0</v>
      </c>
    </row>
    <row r="62" spans="1:32" x14ac:dyDescent="0.2">
      <c r="A62" s="219" t="s">
        <v>527</v>
      </c>
      <c r="B62" s="214">
        <v>0</v>
      </c>
      <c r="C62" s="214">
        <v>0</v>
      </c>
      <c r="D62" s="214">
        <v>0</v>
      </c>
      <c r="E62" s="214">
        <v>0</v>
      </c>
      <c r="F62" s="214">
        <v>0</v>
      </c>
      <c r="G62" s="214">
        <v>0</v>
      </c>
      <c r="H62" s="214">
        <v>0</v>
      </c>
      <c r="I62" s="214">
        <v>0</v>
      </c>
      <c r="J62" s="214">
        <v>0</v>
      </c>
      <c r="K62" s="214">
        <v>0</v>
      </c>
      <c r="L62" s="214">
        <v>0</v>
      </c>
      <c r="M62" s="214">
        <v>0</v>
      </c>
      <c r="N62" s="214">
        <v>0</v>
      </c>
      <c r="O62" s="214">
        <v>0</v>
      </c>
      <c r="P62" s="214">
        <v>0</v>
      </c>
      <c r="Q62" s="214">
        <v>0</v>
      </c>
      <c r="R62" s="214">
        <v>0</v>
      </c>
      <c r="S62" s="214">
        <v>0</v>
      </c>
      <c r="T62" s="214">
        <v>0</v>
      </c>
      <c r="U62" s="214">
        <v>0</v>
      </c>
      <c r="V62" s="214">
        <v>0</v>
      </c>
      <c r="W62" s="214">
        <v>0</v>
      </c>
      <c r="X62" s="214">
        <v>0</v>
      </c>
      <c r="Y62" s="214">
        <v>0</v>
      </c>
      <c r="Z62" s="214">
        <v>0</v>
      </c>
      <c r="AA62" s="214">
        <v>0</v>
      </c>
      <c r="AB62" s="214">
        <v>0</v>
      </c>
      <c r="AC62" s="214">
        <v>0</v>
      </c>
      <c r="AD62" s="214">
        <v>0</v>
      </c>
    </row>
    <row r="63" spans="1:32" ht="14.25" x14ac:dyDescent="0.2">
      <c r="A63" s="220" t="s">
        <v>528</v>
      </c>
      <c r="B63" s="218">
        <f t="shared" ref="B63:AC63" si="15">B55+B56</f>
        <v>0</v>
      </c>
      <c r="C63" s="218">
        <f t="shared" si="15"/>
        <v>233921813</v>
      </c>
      <c r="D63" s="218">
        <f>D55+D56</f>
        <v>613018186.9000001</v>
      </c>
      <c r="E63" s="218">
        <f t="shared" si="15"/>
        <v>151829999.94999999</v>
      </c>
      <c r="F63" s="218">
        <f t="shared" si="15"/>
        <v>72599984.519169763</v>
      </c>
      <c r="G63" s="218">
        <f t="shared" si="15"/>
        <v>82614487.994007394</v>
      </c>
      <c r="H63" s="218">
        <f t="shared" si="15"/>
        <v>91990699.362190008</v>
      </c>
      <c r="I63" s="218">
        <f t="shared" si="15"/>
        <v>100815788.02174971</v>
      </c>
      <c r="J63" s="218">
        <f t="shared" si="15"/>
        <v>109000241.0855418</v>
      </c>
      <c r="K63" s="218">
        <f t="shared" si="15"/>
        <v>116571702.51269382</v>
      </c>
      <c r="L63" s="218">
        <f t="shared" si="15"/>
        <v>126242149.02116445</v>
      </c>
      <c r="M63" s="218">
        <f t="shared" si="15"/>
        <v>130180982.82057217</v>
      </c>
      <c r="N63" s="218">
        <f t="shared" si="15"/>
        <v>136843918.68674621</v>
      </c>
      <c r="O63" s="218">
        <f t="shared" si="15"/>
        <v>140945608.11575419</v>
      </c>
      <c r="P63" s="218">
        <f t="shared" si="15"/>
        <v>144062363.35956955</v>
      </c>
      <c r="Q63" s="218">
        <f t="shared" si="15"/>
        <v>146131261.0911153</v>
      </c>
      <c r="R63" s="218">
        <f t="shared" si="15"/>
        <v>150502234.7232818</v>
      </c>
      <c r="S63" s="218">
        <f t="shared" si="15"/>
        <v>153828352.87858015</v>
      </c>
      <c r="T63" s="218">
        <f t="shared" si="15"/>
        <v>155720453.18007895</v>
      </c>
      <c r="U63" s="218">
        <f t="shared" si="15"/>
        <v>156591143.78860551</v>
      </c>
      <c r="V63" s="218">
        <f t="shared" si="15"/>
        <v>163243878.70157227</v>
      </c>
      <c r="W63" s="218">
        <f t="shared" si="15"/>
        <v>165251790.67832521</v>
      </c>
      <c r="X63" s="218">
        <f t="shared" si="15"/>
        <v>169838931.40111578</v>
      </c>
      <c r="Y63" s="218">
        <f t="shared" si="15"/>
        <v>173235710.02913809</v>
      </c>
      <c r="Z63" s="218">
        <f t="shared" si="15"/>
        <v>175366522.28216416</v>
      </c>
      <c r="AA63" s="218">
        <f t="shared" si="15"/>
        <v>180234432.71431527</v>
      </c>
      <c r="AB63" s="218">
        <f t="shared" si="15"/>
        <v>183839121.36860156</v>
      </c>
      <c r="AC63" s="218">
        <f t="shared" si="15"/>
        <v>182055935.18383154</v>
      </c>
      <c r="AD63" s="218">
        <f>AD55+AD56</f>
        <v>191266221.87189308</v>
      </c>
    </row>
    <row r="64" spans="1:32" x14ac:dyDescent="0.2">
      <c r="A64" s="219" t="s">
        <v>299</v>
      </c>
      <c r="C64" s="214"/>
      <c r="D64" s="214"/>
      <c r="E64" s="214"/>
      <c r="F64" s="214">
        <v>-44389778.399999999</v>
      </c>
      <c r="G64" s="214">
        <v>-44389778.399999999</v>
      </c>
      <c r="H64" s="214">
        <v>-44389778.399999999</v>
      </c>
      <c r="I64" s="214">
        <v>-44389778.399999999</v>
      </c>
      <c r="J64" s="214">
        <v>-44389778.399999999</v>
      </c>
      <c r="K64" s="214">
        <v>-44389778.399999999</v>
      </c>
      <c r="L64" s="214">
        <v>-44389778.399999999</v>
      </c>
      <c r="M64" s="214">
        <v>-44389778.399999999</v>
      </c>
      <c r="N64" s="214">
        <v>-44389778.399999999</v>
      </c>
      <c r="O64" s="214">
        <v>-44389778.399999999</v>
      </c>
      <c r="P64" s="214">
        <v>-44389778.399999999</v>
      </c>
      <c r="Q64" s="214">
        <v>-44389778.399999999</v>
      </c>
      <c r="R64" s="214">
        <v>-44389778.399999999</v>
      </c>
      <c r="S64" s="214">
        <v>-44389778.399999999</v>
      </c>
      <c r="T64" s="214">
        <v>-44389778.399999999</v>
      </c>
      <c r="U64" s="214">
        <v>-44389778.399999999</v>
      </c>
      <c r="V64" s="214">
        <v>-44389778.399999999</v>
      </c>
      <c r="W64" s="214">
        <v>-44389778.399999999</v>
      </c>
      <c r="X64" s="214">
        <v>-44389778.399999999</v>
      </c>
      <c r="Y64" s="214">
        <v>-44389778.399999999</v>
      </c>
      <c r="Z64" s="214">
        <v>-44389778.399999999</v>
      </c>
      <c r="AA64" s="214">
        <v>-44389778.399999999</v>
      </c>
      <c r="AB64" s="214">
        <v>-44389778.399999999</v>
      </c>
      <c r="AC64" s="214">
        <v>-44389778.399999999</v>
      </c>
      <c r="AD64" s="214">
        <v>-44389778.399999999</v>
      </c>
      <c r="AE64" s="221">
        <f>SUM(B64:AD64)/1.18</f>
        <v>-940461406.77966082</v>
      </c>
      <c r="AF64" s="270"/>
    </row>
    <row r="65" spans="1:32" ht="14.25" x14ac:dyDescent="0.2">
      <c r="A65" s="220" t="s">
        <v>529</v>
      </c>
      <c r="B65" s="218">
        <f t="shared" ref="B65:J65" si="16">B63+B64</f>
        <v>0</v>
      </c>
      <c r="C65" s="218">
        <f t="shared" si="16"/>
        <v>233921813</v>
      </c>
      <c r="D65" s="218">
        <f>D63+D64</f>
        <v>613018186.9000001</v>
      </c>
      <c r="E65" s="218">
        <f t="shared" si="16"/>
        <v>151829999.94999999</v>
      </c>
      <c r="F65" s="218">
        <f t="shared" si="16"/>
        <v>28210206.119169764</v>
      </c>
      <c r="G65" s="218">
        <f t="shared" si="16"/>
        <v>38224709.594007395</v>
      </c>
      <c r="H65" s="218">
        <f t="shared" si="16"/>
        <v>47600920.96219001</v>
      </c>
      <c r="I65" s="218">
        <f t="shared" si="16"/>
        <v>56426009.621749707</v>
      </c>
      <c r="J65" s="218">
        <f t="shared" si="16"/>
        <v>64610462.685541801</v>
      </c>
      <c r="K65" s="218">
        <f>K63+K64</f>
        <v>72181924.112693816</v>
      </c>
      <c r="L65" s="218">
        <f>L63+L64</f>
        <v>81852370.621164441</v>
      </c>
      <c r="M65" s="218">
        <f t="shared" ref="M65:AC65" si="17">M63+M64</f>
        <v>85791204.420572162</v>
      </c>
      <c r="N65" s="218">
        <f t="shared" si="17"/>
        <v>92454140.286746204</v>
      </c>
      <c r="O65" s="218">
        <f t="shared" si="17"/>
        <v>96555829.715754181</v>
      </c>
      <c r="P65" s="218">
        <f t="shared" si="17"/>
        <v>99672584.959569544</v>
      </c>
      <c r="Q65" s="218">
        <f t="shared" si="17"/>
        <v>101741482.69111529</v>
      </c>
      <c r="R65" s="218">
        <f t="shared" si="17"/>
        <v>106112456.32328179</v>
      </c>
      <c r="S65" s="218">
        <f t="shared" si="17"/>
        <v>109438574.47858015</v>
      </c>
      <c r="T65" s="218">
        <f t="shared" si="17"/>
        <v>111330674.78007895</v>
      </c>
      <c r="U65" s="218">
        <f t="shared" si="17"/>
        <v>112201365.38860551</v>
      </c>
      <c r="V65" s="218">
        <f t="shared" si="17"/>
        <v>118854100.30157226</v>
      </c>
      <c r="W65" s="218">
        <f t="shared" si="17"/>
        <v>120862012.2783252</v>
      </c>
      <c r="X65" s="218">
        <f t="shared" si="17"/>
        <v>125449153.00111577</v>
      </c>
      <c r="Y65" s="218">
        <f t="shared" si="17"/>
        <v>128845931.62913808</v>
      </c>
      <c r="Z65" s="218">
        <f t="shared" si="17"/>
        <v>130976743.88216415</v>
      </c>
      <c r="AA65" s="218">
        <f t="shared" si="17"/>
        <v>135844654.31431526</v>
      </c>
      <c r="AB65" s="218">
        <f t="shared" si="17"/>
        <v>139449342.96860155</v>
      </c>
      <c r="AC65" s="218">
        <f t="shared" si="17"/>
        <v>137666156.78383154</v>
      </c>
      <c r="AD65" s="218">
        <f>AD63+AD64</f>
        <v>146876443.47189307</v>
      </c>
    </row>
    <row r="66" spans="1:32" x14ac:dyDescent="0.2">
      <c r="A66" s="219" t="s">
        <v>298</v>
      </c>
      <c r="B66" s="214">
        <f t="shared" ref="B66:AC66" si="18">-B52</f>
        <v>0</v>
      </c>
      <c r="C66" s="214">
        <f t="shared" si="18"/>
        <v>0</v>
      </c>
      <c r="D66" s="214">
        <f t="shared" si="18"/>
        <v>0</v>
      </c>
      <c r="E66" s="214">
        <f t="shared" si="18"/>
        <v>0</v>
      </c>
      <c r="F66" s="214">
        <f t="shared" si="18"/>
        <v>0</v>
      </c>
      <c r="G66" s="214">
        <f t="shared" si="18"/>
        <v>0</v>
      </c>
      <c r="H66" s="214">
        <f t="shared" si="18"/>
        <v>0</v>
      </c>
      <c r="I66" s="214">
        <f t="shared" si="18"/>
        <v>0</v>
      </c>
      <c r="J66" s="214">
        <f t="shared" si="18"/>
        <v>0</v>
      </c>
      <c r="K66" s="214">
        <f t="shared" si="18"/>
        <v>0</v>
      </c>
      <c r="L66" s="214">
        <f t="shared" si="18"/>
        <v>0</v>
      </c>
      <c r="M66" s="214">
        <f t="shared" si="18"/>
        <v>0</v>
      </c>
      <c r="N66" s="214">
        <f t="shared" si="18"/>
        <v>0</v>
      </c>
      <c r="O66" s="214">
        <f t="shared" si="18"/>
        <v>0</v>
      </c>
      <c r="P66" s="214">
        <f t="shared" si="18"/>
        <v>0</v>
      </c>
      <c r="Q66" s="214">
        <f t="shared" si="18"/>
        <v>0</v>
      </c>
      <c r="R66" s="214">
        <f t="shared" si="18"/>
        <v>0</v>
      </c>
      <c r="S66" s="214">
        <f t="shared" si="18"/>
        <v>0</v>
      </c>
      <c r="T66" s="214">
        <f t="shared" si="18"/>
        <v>0</v>
      </c>
      <c r="U66" s="214">
        <f t="shared" si="18"/>
        <v>0</v>
      </c>
      <c r="V66" s="214">
        <f t="shared" si="18"/>
        <v>0</v>
      </c>
      <c r="W66" s="214">
        <f t="shared" si="18"/>
        <v>0</v>
      </c>
      <c r="X66" s="214">
        <f t="shared" si="18"/>
        <v>0</v>
      </c>
      <c r="Y66" s="214">
        <f t="shared" si="18"/>
        <v>0</v>
      </c>
      <c r="Z66" s="214">
        <f t="shared" si="18"/>
        <v>0</v>
      </c>
      <c r="AA66" s="214">
        <f t="shared" si="18"/>
        <v>0</v>
      </c>
      <c r="AB66" s="214">
        <f t="shared" si="18"/>
        <v>0</v>
      </c>
      <c r="AC66" s="214">
        <f t="shared" si="18"/>
        <v>0</v>
      </c>
      <c r="AD66" s="214">
        <f>-AD52</f>
        <v>0</v>
      </c>
    </row>
    <row r="67" spans="1:32" ht="14.25" x14ac:dyDescent="0.2">
      <c r="A67" s="220" t="s">
        <v>302</v>
      </c>
      <c r="B67" s="218">
        <f t="shared" ref="B67:AC67" si="19">B65+B66</f>
        <v>0</v>
      </c>
      <c r="C67" s="218">
        <f t="shared" si="19"/>
        <v>233921813</v>
      </c>
      <c r="D67" s="218">
        <f t="shared" si="19"/>
        <v>613018186.9000001</v>
      </c>
      <c r="E67" s="218">
        <f t="shared" si="19"/>
        <v>151829999.94999999</v>
      </c>
      <c r="F67" s="218">
        <f t="shared" si="19"/>
        <v>28210206.119169764</v>
      </c>
      <c r="G67" s="218">
        <f t="shared" si="19"/>
        <v>38224709.594007395</v>
      </c>
      <c r="H67" s="218">
        <f t="shared" si="19"/>
        <v>47600920.96219001</v>
      </c>
      <c r="I67" s="218">
        <f t="shared" si="19"/>
        <v>56426009.621749707</v>
      </c>
      <c r="J67" s="218">
        <f t="shared" si="19"/>
        <v>64610462.685541801</v>
      </c>
      <c r="K67" s="218">
        <f t="shared" si="19"/>
        <v>72181924.112693816</v>
      </c>
      <c r="L67" s="218">
        <f t="shared" si="19"/>
        <v>81852370.621164441</v>
      </c>
      <c r="M67" s="218">
        <f t="shared" si="19"/>
        <v>85791204.420572162</v>
      </c>
      <c r="N67" s="218">
        <f t="shared" si="19"/>
        <v>92454140.286746204</v>
      </c>
      <c r="O67" s="218">
        <f t="shared" si="19"/>
        <v>96555829.715754181</v>
      </c>
      <c r="P67" s="218">
        <f t="shared" si="19"/>
        <v>99672584.959569544</v>
      </c>
      <c r="Q67" s="218">
        <f t="shared" si="19"/>
        <v>101741482.69111529</v>
      </c>
      <c r="R67" s="218">
        <f t="shared" si="19"/>
        <v>106112456.32328179</v>
      </c>
      <c r="S67" s="218">
        <f t="shared" si="19"/>
        <v>109438574.47858015</v>
      </c>
      <c r="T67" s="218">
        <f t="shared" si="19"/>
        <v>111330674.78007895</v>
      </c>
      <c r="U67" s="218">
        <f t="shared" si="19"/>
        <v>112201365.38860551</v>
      </c>
      <c r="V67" s="218">
        <f t="shared" si="19"/>
        <v>118854100.30157226</v>
      </c>
      <c r="W67" s="218">
        <f t="shared" si="19"/>
        <v>120862012.2783252</v>
      </c>
      <c r="X67" s="218">
        <f t="shared" si="19"/>
        <v>125449153.00111577</v>
      </c>
      <c r="Y67" s="218">
        <f t="shared" si="19"/>
        <v>128845931.62913808</v>
      </c>
      <c r="Z67" s="218">
        <f t="shared" si="19"/>
        <v>130976743.88216415</v>
      </c>
      <c r="AA67" s="218">
        <f t="shared" si="19"/>
        <v>135844654.31431526</v>
      </c>
      <c r="AB67" s="218">
        <f t="shared" si="19"/>
        <v>139449342.96860155</v>
      </c>
      <c r="AC67" s="218">
        <f t="shared" si="19"/>
        <v>137666156.78383154</v>
      </c>
      <c r="AD67" s="218">
        <f>AD65+AD66</f>
        <v>146876443.47189307</v>
      </c>
    </row>
    <row r="68" spans="1:32" x14ac:dyDescent="0.2">
      <c r="A68" s="219" t="s">
        <v>297</v>
      </c>
      <c r="B68" s="214">
        <f t="shared" ref="B68:AC68" si="20">-B67*$B$32</f>
        <v>0</v>
      </c>
      <c r="C68" s="214">
        <f t="shared" si="20"/>
        <v>-46784362.600000001</v>
      </c>
      <c r="D68" s="214">
        <f t="shared" si="20"/>
        <v>-122603637.38000003</v>
      </c>
      <c r="E68" s="214">
        <f t="shared" si="20"/>
        <v>-30365999.989999998</v>
      </c>
      <c r="F68" s="214">
        <f t="shared" si="20"/>
        <v>-5642041.223833953</v>
      </c>
      <c r="G68" s="214">
        <f t="shared" si="20"/>
        <v>-7644941.918801479</v>
      </c>
      <c r="H68" s="214">
        <f t="shared" si="20"/>
        <v>-9520184.1924380027</v>
      </c>
      <c r="I68" s="214">
        <f t="shared" si="20"/>
        <v>-11285201.924349941</v>
      </c>
      <c r="J68" s="214">
        <f t="shared" si="20"/>
        <v>-12922092.537108362</v>
      </c>
      <c r="K68" s="214">
        <f t="shared" si="20"/>
        <v>-14436384.822538763</v>
      </c>
      <c r="L68" s="214">
        <f t="shared" si="20"/>
        <v>-16370474.124232888</v>
      </c>
      <c r="M68" s="214">
        <f t="shared" si="20"/>
        <v>-17158240.884114433</v>
      </c>
      <c r="N68" s="214">
        <f t="shared" si="20"/>
        <v>-18490828.057349242</v>
      </c>
      <c r="O68" s="214">
        <f t="shared" si="20"/>
        <v>-19311165.943150837</v>
      </c>
      <c r="P68" s="214">
        <f t="shared" si="20"/>
        <v>-19934516.991913911</v>
      </c>
      <c r="Q68" s="214">
        <f t="shared" si="20"/>
        <v>-20348296.538223058</v>
      </c>
      <c r="R68" s="214">
        <f t="shared" si="20"/>
        <v>-21222491.264656361</v>
      </c>
      <c r="S68" s="214">
        <f t="shared" si="20"/>
        <v>-21887714.89571603</v>
      </c>
      <c r="T68" s="214">
        <f t="shared" si="20"/>
        <v>-22266134.956015792</v>
      </c>
      <c r="U68" s="214">
        <f t="shared" si="20"/>
        <v>-22440273.077721104</v>
      </c>
      <c r="V68" s="214">
        <f t="shared" si="20"/>
        <v>-23770820.060314454</v>
      </c>
      <c r="W68" s="214">
        <f t="shared" si="20"/>
        <v>-24172402.455665041</v>
      </c>
      <c r="X68" s="214">
        <f t="shared" si="20"/>
        <v>-25089830.600223154</v>
      </c>
      <c r="Y68" s="214">
        <f t="shared" si="20"/>
        <v>-25769186.325827617</v>
      </c>
      <c r="Z68" s="214">
        <f t="shared" si="20"/>
        <v>-26195348.776432831</v>
      </c>
      <c r="AA68" s="214">
        <f t="shared" si="20"/>
        <v>-27168930.862863053</v>
      </c>
      <c r="AB68" s="214">
        <f t="shared" si="20"/>
        <v>-27889868.593720313</v>
      </c>
      <c r="AC68" s="214">
        <f t="shared" si="20"/>
        <v>-27533231.35676631</v>
      </c>
      <c r="AD68" s="214">
        <f>-AD67*$B$32</f>
        <v>-29375288.694378614</v>
      </c>
    </row>
    <row r="69" spans="1:32" ht="15" thickBot="1" x14ac:dyDescent="0.25">
      <c r="A69" s="222" t="s">
        <v>301</v>
      </c>
      <c r="B69" s="212">
        <f t="shared" ref="B69:AC69" si="21">B67+B68</f>
        <v>0</v>
      </c>
      <c r="C69" s="212">
        <f t="shared" si="21"/>
        <v>187137450.40000001</v>
      </c>
      <c r="D69" s="212">
        <f t="shared" si="21"/>
        <v>490414549.5200001</v>
      </c>
      <c r="E69" s="212">
        <f t="shared" si="21"/>
        <v>121463999.95999999</v>
      </c>
      <c r="F69" s="212">
        <f t="shared" si="21"/>
        <v>22568164.895335812</v>
      </c>
      <c r="G69" s="212">
        <f t="shared" si="21"/>
        <v>30579767.675205916</v>
      </c>
      <c r="H69" s="212">
        <f t="shared" si="21"/>
        <v>38080736.769752011</v>
      </c>
      <c r="I69" s="212">
        <f t="shared" si="21"/>
        <v>45140807.697399765</v>
      </c>
      <c r="J69" s="212">
        <f t="shared" si="21"/>
        <v>51688370.148433439</v>
      </c>
      <c r="K69" s="212">
        <f t="shared" si="21"/>
        <v>57745539.290155053</v>
      </c>
      <c r="L69" s="212">
        <f t="shared" si="21"/>
        <v>65481896.496931553</v>
      </c>
      <c r="M69" s="212">
        <f t="shared" si="21"/>
        <v>68632963.536457732</v>
      </c>
      <c r="N69" s="212">
        <f t="shared" si="21"/>
        <v>73963312.229396969</v>
      </c>
      <c r="O69" s="212">
        <f t="shared" si="21"/>
        <v>77244663.772603348</v>
      </c>
      <c r="P69" s="212">
        <f t="shared" si="21"/>
        <v>79738067.967655629</v>
      </c>
      <c r="Q69" s="212">
        <f t="shared" si="21"/>
        <v>81393186.152892232</v>
      </c>
      <c r="R69" s="212">
        <f t="shared" si="21"/>
        <v>84889965.05862543</v>
      </c>
      <c r="S69" s="212">
        <f t="shared" si="21"/>
        <v>87550859.582864121</v>
      </c>
      <c r="T69" s="212">
        <f t="shared" si="21"/>
        <v>89064539.824063152</v>
      </c>
      <c r="U69" s="212">
        <f t="shared" si="21"/>
        <v>89761092.310884401</v>
      </c>
      <c r="V69" s="212">
        <f t="shared" si="21"/>
        <v>95083280.241257817</v>
      </c>
      <c r="W69" s="212">
        <f t="shared" si="21"/>
        <v>96689609.822660163</v>
      </c>
      <c r="X69" s="212">
        <f t="shared" si="21"/>
        <v>100359322.40089262</v>
      </c>
      <c r="Y69" s="212">
        <f t="shared" si="21"/>
        <v>103076745.30331047</v>
      </c>
      <c r="Z69" s="212">
        <f t="shared" si="21"/>
        <v>104781395.10573132</v>
      </c>
      <c r="AA69" s="212">
        <f t="shared" si="21"/>
        <v>108675723.45145221</v>
      </c>
      <c r="AB69" s="212">
        <f t="shared" si="21"/>
        <v>111559474.37488124</v>
      </c>
      <c r="AC69" s="212">
        <f t="shared" si="21"/>
        <v>110132925.42706522</v>
      </c>
      <c r="AD69" s="212">
        <f>AD67+AD68</f>
        <v>117501154.77751446</v>
      </c>
    </row>
    <row r="70" spans="1:32" ht="16.5" thickBot="1" x14ac:dyDescent="0.25">
      <c r="A70" s="215"/>
      <c r="B70" s="223"/>
      <c r="C70" s="271">
        <v>0.5</v>
      </c>
      <c r="D70" s="271">
        <f>AVERAGE(C53:D53)</f>
        <v>1.5</v>
      </c>
      <c r="E70" s="271">
        <f t="shared" ref="E70:AD70" si="22">AVERAGE(D53:E53)</f>
        <v>2.5</v>
      </c>
      <c r="F70" s="271">
        <f t="shared" si="22"/>
        <v>3.5</v>
      </c>
      <c r="G70" s="271">
        <f t="shared" si="22"/>
        <v>4.5</v>
      </c>
      <c r="H70" s="271">
        <f t="shared" si="22"/>
        <v>5.5</v>
      </c>
      <c r="I70" s="271">
        <f t="shared" si="22"/>
        <v>6.5</v>
      </c>
      <c r="J70" s="271">
        <f t="shared" si="22"/>
        <v>7.5</v>
      </c>
      <c r="K70" s="271">
        <f t="shared" si="22"/>
        <v>8.5</v>
      </c>
      <c r="L70" s="271">
        <f t="shared" si="22"/>
        <v>9.5</v>
      </c>
      <c r="M70" s="271">
        <f t="shared" si="22"/>
        <v>10.5</v>
      </c>
      <c r="N70" s="271">
        <f t="shared" si="22"/>
        <v>11.5</v>
      </c>
      <c r="O70" s="271">
        <f t="shared" si="22"/>
        <v>12.5</v>
      </c>
      <c r="P70" s="271">
        <f t="shared" si="22"/>
        <v>13.5</v>
      </c>
      <c r="Q70" s="271">
        <f t="shared" si="22"/>
        <v>14.5</v>
      </c>
      <c r="R70" s="271">
        <f t="shared" si="22"/>
        <v>15.5</v>
      </c>
      <c r="S70" s="271">
        <f t="shared" si="22"/>
        <v>16.5</v>
      </c>
      <c r="T70" s="271">
        <f t="shared" si="22"/>
        <v>17.5</v>
      </c>
      <c r="U70" s="271">
        <f t="shared" si="22"/>
        <v>18.5</v>
      </c>
      <c r="V70" s="271">
        <f t="shared" si="22"/>
        <v>19.5</v>
      </c>
      <c r="W70" s="271">
        <f t="shared" si="22"/>
        <v>20.5</v>
      </c>
      <c r="X70" s="271">
        <f t="shared" si="22"/>
        <v>21.5</v>
      </c>
      <c r="Y70" s="271">
        <f t="shared" si="22"/>
        <v>22.5</v>
      </c>
      <c r="Z70" s="271">
        <f t="shared" si="22"/>
        <v>23.5</v>
      </c>
      <c r="AA70" s="271">
        <f t="shared" si="22"/>
        <v>24.5</v>
      </c>
      <c r="AB70" s="271">
        <f t="shared" si="22"/>
        <v>25.5</v>
      </c>
      <c r="AC70" s="271">
        <f t="shared" si="22"/>
        <v>26.5</v>
      </c>
      <c r="AD70" s="271">
        <f t="shared" si="22"/>
        <v>27.5</v>
      </c>
    </row>
    <row r="71" spans="1:32" x14ac:dyDescent="0.2">
      <c r="A71" s="213" t="s">
        <v>300</v>
      </c>
      <c r="B71" s="207">
        <f t="shared" ref="B71:AC71" si="23">B54</f>
        <v>1</v>
      </c>
      <c r="C71" s="207">
        <f t="shared" si="23"/>
        <v>2</v>
      </c>
      <c r="D71" s="207">
        <f t="shared" si="23"/>
        <v>3</v>
      </c>
      <c r="E71" s="207">
        <f t="shared" si="23"/>
        <v>4</v>
      </c>
      <c r="F71" s="207">
        <f t="shared" si="23"/>
        <v>5</v>
      </c>
      <c r="G71" s="207">
        <f t="shared" si="23"/>
        <v>6</v>
      </c>
      <c r="H71" s="207">
        <f t="shared" si="23"/>
        <v>7</v>
      </c>
      <c r="I71" s="207">
        <f t="shared" si="23"/>
        <v>8</v>
      </c>
      <c r="J71" s="207">
        <f t="shared" si="23"/>
        <v>9</v>
      </c>
      <c r="K71" s="207">
        <f t="shared" si="23"/>
        <v>10</v>
      </c>
      <c r="L71" s="207">
        <f t="shared" si="23"/>
        <v>11</v>
      </c>
      <c r="M71" s="207">
        <f t="shared" si="23"/>
        <v>12</v>
      </c>
      <c r="N71" s="207">
        <f t="shared" si="23"/>
        <v>13</v>
      </c>
      <c r="O71" s="207">
        <f t="shared" si="23"/>
        <v>14</v>
      </c>
      <c r="P71" s="207">
        <f t="shared" si="23"/>
        <v>15</v>
      </c>
      <c r="Q71" s="207">
        <f t="shared" si="23"/>
        <v>16</v>
      </c>
      <c r="R71" s="207">
        <f t="shared" si="23"/>
        <v>17</v>
      </c>
      <c r="S71" s="207">
        <f t="shared" si="23"/>
        <v>18</v>
      </c>
      <c r="T71" s="207">
        <f t="shared" si="23"/>
        <v>19</v>
      </c>
      <c r="U71" s="207">
        <f t="shared" si="23"/>
        <v>20</v>
      </c>
      <c r="V71" s="207">
        <f t="shared" si="23"/>
        <v>21</v>
      </c>
      <c r="W71" s="207">
        <f t="shared" si="23"/>
        <v>22</v>
      </c>
      <c r="X71" s="207">
        <f t="shared" si="23"/>
        <v>23</v>
      </c>
      <c r="Y71" s="207">
        <f t="shared" si="23"/>
        <v>24</v>
      </c>
      <c r="Z71" s="207">
        <f t="shared" si="23"/>
        <v>25</v>
      </c>
      <c r="AA71" s="207">
        <f t="shared" si="23"/>
        <v>26</v>
      </c>
      <c r="AB71" s="207">
        <f t="shared" si="23"/>
        <v>27</v>
      </c>
      <c r="AC71" s="207">
        <f t="shared" si="23"/>
        <v>28</v>
      </c>
      <c r="AD71" s="207">
        <f>AD54</f>
        <v>29</v>
      </c>
    </row>
    <row r="72" spans="1:32" ht="14.25" x14ac:dyDescent="0.2">
      <c r="A72" s="217" t="s">
        <v>529</v>
      </c>
      <c r="B72" s="218">
        <f t="shared" ref="B72:AC72" si="24">B65</f>
        <v>0</v>
      </c>
      <c r="C72" s="218">
        <f t="shared" si="24"/>
        <v>233921813</v>
      </c>
      <c r="D72" s="218">
        <f>D65</f>
        <v>613018186.9000001</v>
      </c>
      <c r="E72" s="218">
        <f t="shared" si="24"/>
        <v>151829999.94999999</v>
      </c>
      <c r="F72" s="218">
        <f t="shared" si="24"/>
        <v>28210206.119169764</v>
      </c>
      <c r="G72" s="218">
        <f t="shared" si="24"/>
        <v>38224709.594007395</v>
      </c>
      <c r="H72" s="218">
        <f t="shared" si="24"/>
        <v>47600920.96219001</v>
      </c>
      <c r="I72" s="218">
        <f t="shared" si="24"/>
        <v>56426009.621749707</v>
      </c>
      <c r="J72" s="218">
        <f t="shared" si="24"/>
        <v>64610462.685541801</v>
      </c>
      <c r="K72" s="218">
        <f t="shared" si="24"/>
        <v>72181924.112693816</v>
      </c>
      <c r="L72" s="218">
        <f t="shared" si="24"/>
        <v>81852370.621164441</v>
      </c>
      <c r="M72" s="218">
        <f t="shared" si="24"/>
        <v>85791204.420572162</v>
      </c>
      <c r="N72" s="218">
        <f t="shared" si="24"/>
        <v>92454140.286746204</v>
      </c>
      <c r="O72" s="218">
        <f t="shared" si="24"/>
        <v>96555829.715754181</v>
      </c>
      <c r="P72" s="218">
        <f t="shared" si="24"/>
        <v>99672584.959569544</v>
      </c>
      <c r="Q72" s="218">
        <f t="shared" si="24"/>
        <v>101741482.69111529</v>
      </c>
      <c r="R72" s="218">
        <f t="shared" si="24"/>
        <v>106112456.32328179</v>
      </c>
      <c r="S72" s="218">
        <f t="shared" si="24"/>
        <v>109438574.47858015</v>
      </c>
      <c r="T72" s="218">
        <f t="shared" si="24"/>
        <v>111330674.78007895</v>
      </c>
      <c r="U72" s="218">
        <f t="shared" si="24"/>
        <v>112201365.38860551</v>
      </c>
      <c r="V72" s="218">
        <f t="shared" si="24"/>
        <v>118854100.30157226</v>
      </c>
      <c r="W72" s="218">
        <f t="shared" si="24"/>
        <v>120862012.2783252</v>
      </c>
      <c r="X72" s="218">
        <f t="shared" si="24"/>
        <v>125449153.00111577</v>
      </c>
      <c r="Y72" s="218">
        <f t="shared" si="24"/>
        <v>128845931.62913808</v>
      </c>
      <c r="Z72" s="218">
        <f t="shared" si="24"/>
        <v>130976743.88216415</v>
      </c>
      <c r="AA72" s="218">
        <f t="shared" si="24"/>
        <v>135844654.31431526</v>
      </c>
      <c r="AB72" s="218">
        <f t="shared" si="24"/>
        <v>139449342.96860155</v>
      </c>
      <c r="AC72" s="218">
        <f t="shared" si="24"/>
        <v>137666156.78383154</v>
      </c>
      <c r="AD72" s="218">
        <f>AD65</f>
        <v>146876443.47189307</v>
      </c>
    </row>
    <row r="73" spans="1:32" x14ac:dyDescent="0.2">
      <c r="A73" s="219" t="s">
        <v>299</v>
      </c>
      <c r="B73" s="214">
        <f t="shared" ref="B73:AC73" si="25">-B64</f>
        <v>0</v>
      </c>
      <c r="C73" s="214">
        <f t="shared" si="25"/>
        <v>0</v>
      </c>
      <c r="D73" s="214">
        <f t="shared" si="25"/>
        <v>0</v>
      </c>
      <c r="E73" s="214">
        <f t="shared" si="25"/>
        <v>0</v>
      </c>
      <c r="F73" s="214">
        <f t="shared" si="25"/>
        <v>44389778.399999999</v>
      </c>
      <c r="G73" s="214">
        <f t="shared" si="25"/>
        <v>44389778.399999999</v>
      </c>
      <c r="H73" s="214">
        <f t="shared" si="25"/>
        <v>44389778.399999999</v>
      </c>
      <c r="I73" s="214">
        <f t="shared" si="25"/>
        <v>44389778.399999999</v>
      </c>
      <c r="J73" s="214">
        <f t="shared" si="25"/>
        <v>44389778.399999999</v>
      </c>
      <c r="K73" s="214">
        <f t="shared" si="25"/>
        <v>44389778.399999999</v>
      </c>
      <c r="L73" s="214">
        <f>-L64</f>
        <v>44389778.399999999</v>
      </c>
      <c r="M73" s="214">
        <f>-M64</f>
        <v>44389778.399999999</v>
      </c>
      <c r="N73" s="214">
        <f t="shared" si="25"/>
        <v>44389778.399999999</v>
      </c>
      <c r="O73" s="214">
        <f t="shared" si="25"/>
        <v>44389778.399999999</v>
      </c>
      <c r="P73" s="214">
        <f t="shared" si="25"/>
        <v>44389778.399999999</v>
      </c>
      <c r="Q73" s="214">
        <f t="shared" si="25"/>
        <v>44389778.399999999</v>
      </c>
      <c r="R73" s="214">
        <f t="shared" si="25"/>
        <v>44389778.399999999</v>
      </c>
      <c r="S73" s="214">
        <f t="shared" si="25"/>
        <v>44389778.399999999</v>
      </c>
      <c r="T73" s="214">
        <f t="shared" si="25"/>
        <v>44389778.399999999</v>
      </c>
      <c r="U73" s="214">
        <f t="shared" si="25"/>
        <v>44389778.399999999</v>
      </c>
      <c r="V73" s="214">
        <f t="shared" si="25"/>
        <v>44389778.399999999</v>
      </c>
      <c r="W73" s="214">
        <f t="shared" si="25"/>
        <v>44389778.399999999</v>
      </c>
      <c r="X73" s="214">
        <f t="shared" si="25"/>
        <v>44389778.399999999</v>
      </c>
      <c r="Y73" s="214">
        <f t="shared" si="25"/>
        <v>44389778.399999999</v>
      </c>
      <c r="Z73" s="214">
        <f t="shared" si="25"/>
        <v>44389778.399999999</v>
      </c>
      <c r="AA73" s="214">
        <f t="shared" si="25"/>
        <v>44389778.399999999</v>
      </c>
      <c r="AB73" s="214">
        <f t="shared" si="25"/>
        <v>44389778.399999999</v>
      </c>
      <c r="AC73" s="214">
        <f t="shared" si="25"/>
        <v>44389778.399999999</v>
      </c>
      <c r="AD73" s="214">
        <f>-AD64</f>
        <v>44389778.399999999</v>
      </c>
    </row>
    <row r="74" spans="1:32" x14ac:dyDescent="0.2">
      <c r="A74" s="219" t="s">
        <v>298</v>
      </c>
      <c r="B74" s="214">
        <f t="shared" ref="B74:AC74" si="26">B66</f>
        <v>0</v>
      </c>
      <c r="C74" s="214">
        <f t="shared" si="26"/>
        <v>0</v>
      </c>
      <c r="D74" s="214">
        <f t="shared" si="26"/>
        <v>0</v>
      </c>
      <c r="E74" s="214">
        <f t="shared" si="26"/>
        <v>0</v>
      </c>
      <c r="F74" s="214">
        <f t="shared" si="26"/>
        <v>0</v>
      </c>
      <c r="G74" s="214">
        <f t="shared" si="26"/>
        <v>0</v>
      </c>
      <c r="H74" s="214">
        <f t="shared" si="26"/>
        <v>0</v>
      </c>
      <c r="I74" s="214">
        <f t="shared" si="26"/>
        <v>0</v>
      </c>
      <c r="J74" s="214">
        <f t="shared" si="26"/>
        <v>0</v>
      </c>
      <c r="K74" s="214">
        <f t="shared" si="26"/>
        <v>0</v>
      </c>
      <c r="L74" s="214">
        <f t="shared" si="26"/>
        <v>0</v>
      </c>
      <c r="M74" s="214">
        <f t="shared" si="26"/>
        <v>0</v>
      </c>
      <c r="N74" s="214">
        <f t="shared" si="26"/>
        <v>0</v>
      </c>
      <c r="O74" s="214">
        <f t="shared" si="26"/>
        <v>0</v>
      </c>
      <c r="P74" s="214">
        <f t="shared" si="26"/>
        <v>0</v>
      </c>
      <c r="Q74" s="214">
        <f t="shared" si="26"/>
        <v>0</v>
      </c>
      <c r="R74" s="214">
        <f t="shared" si="26"/>
        <v>0</v>
      </c>
      <c r="S74" s="214">
        <f t="shared" si="26"/>
        <v>0</v>
      </c>
      <c r="T74" s="214">
        <f t="shared" si="26"/>
        <v>0</v>
      </c>
      <c r="U74" s="214">
        <f t="shared" si="26"/>
        <v>0</v>
      </c>
      <c r="V74" s="214">
        <f t="shared" si="26"/>
        <v>0</v>
      </c>
      <c r="W74" s="214">
        <f t="shared" si="26"/>
        <v>0</v>
      </c>
      <c r="X74" s="214">
        <f t="shared" si="26"/>
        <v>0</v>
      </c>
      <c r="Y74" s="214">
        <f t="shared" si="26"/>
        <v>0</v>
      </c>
      <c r="Z74" s="214">
        <f t="shared" si="26"/>
        <v>0</v>
      </c>
      <c r="AA74" s="214">
        <f t="shared" si="26"/>
        <v>0</v>
      </c>
      <c r="AB74" s="214">
        <f t="shared" si="26"/>
        <v>0</v>
      </c>
      <c r="AC74" s="214">
        <f t="shared" si="26"/>
        <v>0</v>
      </c>
      <c r="AD74" s="214">
        <f>AD66</f>
        <v>0</v>
      </c>
    </row>
    <row r="75" spans="1:32" x14ac:dyDescent="0.2">
      <c r="A75" s="219" t="s">
        <v>297</v>
      </c>
      <c r="B75" s="214">
        <f>IF(SUM($B$68:B68)+SUM($A$75:A75)&gt;0,0,SUM($B$68:B68)-SUM($A$75:A75))</f>
        <v>0</v>
      </c>
      <c r="C75" s="214">
        <f>IF(SUM($B$68:C68)+SUM($A$75:B75)&gt;0,0,SUM($B$68:C68)-SUM($A$75:B75))</f>
        <v>-46784362.600000001</v>
      </c>
      <c r="D75" s="214">
        <f>IF(SUM($B$68:D68)+SUM($A$75:C75)&gt;0,0,SUM($B$68:D68)-SUM($A$75:C75))</f>
        <v>-122603637.38000003</v>
      </c>
      <c r="E75" s="214">
        <f>IF(SUM($B$68:E68)+SUM($A$75:D75)&gt;0,0,SUM($B$68:E68)-SUM($A$75:D75))</f>
        <v>-30365999.99000001</v>
      </c>
      <c r="F75" s="214">
        <f>IF(SUM($B$68:F68)+SUM($A$75:E75)&gt;0,0,SUM($B$68:F68)-SUM($A$75:E75))</f>
        <v>-5642041.2238339484</v>
      </c>
      <c r="G75" s="214">
        <f>IF(SUM($B$68:G68)+SUM($A$75:F75)&gt;0,0,SUM($B$68:G68)-SUM($A$75:F75))</f>
        <v>-7644941.9188014865</v>
      </c>
      <c r="H75" s="214">
        <f>IF(SUM($B$68:H68)+SUM($A$75:G75)&gt;0,0,SUM($B$68:H68)-SUM($A$75:G75))</f>
        <v>-9520184.1924380064</v>
      </c>
      <c r="I75" s="214">
        <f>IF(SUM($B$68:I68)+SUM($A$75:H75)&gt;0,0,SUM($B$68:I68)-SUM($A$75:H75))</f>
        <v>-11285201.924349934</v>
      </c>
      <c r="J75" s="214">
        <f>IF(SUM($B$68:J68)+SUM($A$75:I75)&gt;0,0,SUM($B$68:J68)-SUM($A$75:I75))</f>
        <v>-12922092.537108362</v>
      </c>
      <c r="K75" s="214">
        <f>IF(SUM($B$68:K68)+SUM($A$75:J75)&gt;0,0,SUM($B$68:K68)-SUM($A$75:J75))</f>
        <v>-14436384.822538763</v>
      </c>
      <c r="L75" s="214">
        <f>IF(SUM($B$68:L68)+SUM($A$75:K75)&gt;0,0,SUM($B$68:L68)-SUM($A$75:K75))</f>
        <v>-16370474.124232918</v>
      </c>
      <c r="M75" s="214">
        <f>IF(SUM($B$68:M68)+SUM($A$75:L75)&gt;0,0,SUM($B$68:M68)-SUM($A$75:L75))</f>
        <v>-17158240.884114444</v>
      </c>
      <c r="N75" s="214">
        <f>IF(SUM($B$68:N68)+SUM($A$75:M75)&gt;0,0,SUM($B$68:N68)-SUM($A$75:M75))</f>
        <v>-18490828.057349265</v>
      </c>
      <c r="O75" s="214">
        <f>IF(SUM($B$68:O68)+SUM($A$75:N75)&gt;0,0,SUM($B$68:O68)-SUM($A$75:N75))</f>
        <v>-19311165.943150818</v>
      </c>
      <c r="P75" s="214">
        <f>IF(SUM($B$68:P68)+SUM($A$75:O75)&gt;0,0,SUM($B$68:P68)-SUM($A$75:O75))</f>
        <v>-19934516.991913915</v>
      </c>
      <c r="Q75" s="214">
        <f>IF(SUM($B$68:Q68)+SUM($A$75:P75)&gt;0,0,SUM($B$68:Q68)-SUM($A$75:P75))</f>
        <v>-20348296.538223088</v>
      </c>
      <c r="R75" s="214">
        <f>IF(SUM($B$68:R68)+SUM($A$75:Q75)&gt;0,0,SUM($B$68:R68)-SUM($A$75:Q75))</f>
        <v>-21222491.264656365</v>
      </c>
      <c r="S75" s="214">
        <f>IF(SUM($B$68:S68)+SUM($A$75:R75)&gt;0,0,SUM($B$68:S68)-SUM($A$75:R75))</f>
        <v>-21887714.895716012</v>
      </c>
      <c r="T75" s="214">
        <f>IF(SUM($B$68:T68)+SUM($A$75:S75)&gt;0,0,SUM($B$68:T68)-SUM($A$75:S75))</f>
        <v>-22266134.956015766</v>
      </c>
      <c r="U75" s="214">
        <f>IF(SUM($B$68:U68)+SUM($A$75:T75)&gt;0,0,SUM($B$68:U68)-SUM($A$75:T75))</f>
        <v>-22440273.077721119</v>
      </c>
      <c r="V75" s="214">
        <f>IF(SUM($B$68:V68)+SUM($A$75:U75)&gt;0,0,SUM($B$68:V68)-SUM($A$75:U75))</f>
        <v>-23770820.060314476</v>
      </c>
      <c r="W75" s="214">
        <f>IF(SUM($B$68:W68)+SUM($A$75:V75)&gt;0,0,SUM($B$68:W68)-SUM($A$75:V75))</f>
        <v>-24172402.455665052</v>
      </c>
      <c r="X75" s="214">
        <f>IF(SUM($B$68:X68)+SUM($A$75:W75)&gt;0,0,SUM($B$68:X68)-SUM($A$75:W75))</f>
        <v>-25089830.600223124</v>
      </c>
      <c r="Y75" s="214">
        <f>IF(SUM($B$68:Y68)+SUM($A$75:X75)&gt;0,0,SUM($B$68:Y68)-SUM($A$75:X75))</f>
        <v>-25769186.325827599</v>
      </c>
      <c r="Z75" s="214">
        <f>IF(SUM($B$68:Z68)+SUM($A$75:Y75)&gt;0,0,SUM($B$68:Z68)-SUM($A$75:Y75))</f>
        <v>-26195348.776432872</v>
      </c>
      <c r="AA75" s="214">
        <f>IF(SUM($B$68:AA68)+SUM($A$75:Z75)&gt;0,0,SUM($B$68:AA68)-SUM($A$75:Z75))</f>
        <v>-27168930.862863064</v>
      </c>
      <c r="AB75" s="214">
        <f>IF(SUM($B$68:AB68)+SUM($A$75:AA75)&gt;0,0,SUM($B$68:AB68)-SUM($A$75:AA75))</f>
        <v>-27889868.593720317</v>
      </c>
      <c r="AC75" s="214">
        <f>IF(SUM($B$68:AC68)+SUM($A$75:AB75)&gt;0,0,SUM($B$68:AC68)-SUM($A$75:AB75))</f>
        <v>-27533231.356766343</v>
      </c>
      <c r="AD75" s="214">
        <f>IF(SUM($B$68:AD68)+SUM($A$75:AC75)&gt;0,0,SUM($B$68:AD68)-SUM($A$75:AC75))</f>
        <v>-29375288.694378614</v>
      </c>
    </row>
    <row r="76" spans="1:32" x14ac:dyDescent="0.2">
      <c r="A76" s="219" t="s">
        <v>296</v>
      </c>
      <c r="B76" s="214">
        <f>IF(((SUM($B$55:B55)+SUM($B$57:B61))+SUM($B$78:B78))&lt;0,((SUM($B$55:B55)+SUM($B$57:B61))+SUM($B$78:B78))*0.18-SUM($A$76:A76),IF(SUM(A$76:$B76)&lt;0,0-SUM(A$76:$B76),0))</f>
        <v>-4108278.78</v>
      </c>
      <c r="C76" s="214">
        <f>IF(((SUM($B$55:C55)+SUM($B$57:C61))+SUM($B$78:C78))&lt;0,((SUM($B$55:C55)+SUM($B$57:C61))+SUM($B$78:C78))*0.18-SUM($A$76:B76),IF(SUM($B$76:B76)&lt;0,0-SUM($B$76:B76),0))</f>
        <v>-464205.26779199811</v>
      </c>
      <c r="D76" s="214">
        <f>IF(((SUM($B$55:D55)+SUM($B$57:D61))+SUM($B$78:D78))&lt;0,((SUM($B$55:D55)+SUM($B$57:D61))+SUM($B$78:D78))*0.18-SUM($A$76:C76),IF(SUM($B$76:C76)&lt;0,0-SUM($B$76:C76),0))</f>
        <v>-5081347.8086759811</v>
      </c>
      <c r="E76" s="214">
        <f>IF(((SUM($B$55:E55)+SUM($B$57:E61))+SUM($B$78:E78))&lt;0,((SUM($B$55:E55)+SUM($B$57:E61))+SUM($B$78:E78))*0.18-SUM($A$76:D76),IF(SUM($B$76:D76)&lt;0,0-SUM($B$76:D76),0))</f>
        <v>-10321570.809000013</v>
      </c>
      <c r="F76" s="214">
        <f>IF(((SUM($B$55:F55)+SUM($B$57:F61))+SUM($B$78:F78))&lt;0,((SUM($B$55:F55)+SUM($B$57:F61))+SUM($B$78:F78))*0.18-SUM($A$76:E76),IF(SUM($B$76:E76)&lt;0,0-SUM($B$76:E76),0))</f>
        <v>13067997.213450544</v>
      </c>
      <c r="G76" s="214">
        <f>IF(((SUM($B$55:G55)+SUM($B$57:G61))+SUM($B$78:G78))&lt;0,((SUM($B$55:G55)+SUM($B$57:G61))+SUM($B$78:G78))*0.18-SUM($A$76:F76),IF(SUM($B$76:F76)&lt;0,0-SUM($B$76:F76),0))</f>
        <v>6907405.4520174488</v>
      </c>
      <c r="H76" s="214">
        <f>IF(((SUM($B$55:H55)+SUM($B$57:H61))+SUM($B$78:H78))&lt;0,((SUM($B$55:H55)+SUM($B$57:H61))+SUM($B$78:H78))*0.18-SUM($A$76:G76),IF(SUM($B$76:G76)&lt;0,0-SUM($B$76:G76),0))</f>
        <v>0</v>
      </c>
      <c r="I76" s="214">
        <f>IF(((SUM($B$55:I55)+SUM($B$57:I61))+SUM($B$78:I78))&lt;0,((SUM($B$55:I55)+SUM($B$57:I61))+SUM($B$78:I78))*0.18-SUM($A$76:H76),IF(SUM($B$76:H76)&lt;0,0-SUM($B$76:H76),0))</f>
        <v>0</v>
      </c>
      <c r="J76" s="214">
        <f>IF(((SUM($B$55:J55)+SUM($B$57:J61))+SUM($B$78:J78))&lt;0,((SUM($B$55:J55)+SUM($B$57:J61))+SUM($B$78:J78))*0.18-SUM($A$76:I76),IF(SUM($B$76:I76)&lt;0,0-SUM($B$76:I76),0))</f>
        <v>0</v>
      </c>
      <c r="K76" s="214">
        <f>IF(((SUM($B$55:K55)+SUM($B$57:K61))+SUM($B$78:K78))&lt;0,((SUM($B$55:K55)+SUM($B$57:K61))+SUM($B$78:K78))*0.18-SUM($A$76:J76),IF(SUM($B$76:J76)&lt;0,0-SUM($B$76:J76),0))</f>
        <v>0</v>
      </c>
      <c r="L76" s="214">
        <f>IF(((SUM($B$55:L55)+SUM($B$57:L61))+SUM($B$78:L78))&lt;0,((SUM($B$55:L55)+SUM($B$57:L61))+SUM($B$78:L78))*0.18-SUM($A$76:K76),IF(SUM($B$76:K76)&lt;0,0-SUM($B$76:K76),0))</f>
        <v>0</v>
      </c>
      <c r="M76" s="214">
        <f>IF(((SUM($B$55:M55)+SUM($B$57:M61))+SUM($B$78:M78))&lt;0,((SUM($B$55:M55)+SUM($B$57:M61))+SUM($B$78:M78))*0.18-SUM($A$76:L76),IF(SUM($B$76:L76)&lt;0,0-SUM($B$76:L76),0))</f>
        <v>0</v>
      </c>
      <c r="N76" s="214">
        <f>IF(((SUM($B$55:N55)+SUM($B$57:N61))+SUM($B$78:N78))&lt;0,((SUM($B$55:N55)+SUM($B$57:N61))+SUM($B$78:N78))*0.18-SUM($A$76:M76),IF(SUM($B$76:M76)&lt;0,0-SUM($B$76:M76),0))</f>
        <v>0</v>
      </c>
      <c r="O76" s="214">
        <f>IF(((SUM($B$55:O55)+SUM($B$57:O61))+SUM($B$78:O78))&lt;0,((SUM($B$55:O55)+SUM($B$57:O61))+SUM($B$78:O78))*0.18-SUM($A$76:N76),IF(SUM($B$76:N76)&lt;0,0-SUM($B$76:N76),0))</f>
        <v>0</v>
      </c>
      <c r="P76" s="214">
        <f>IF(((SUM($B$55:P55)+SUM($B$57:P61))+SUM($B$78:P78))&lt;0,((SUM($B$55:P55)+SUM($B$57:P61))+SUM($B$78:P78))*0.18-SUM($A$76:O76),IF(SUM($B$76:O76)&lt;0,0-SUM($B$76:O76),0))</f>
        <v>0</v>
      </c>
      <c r="Q76" s="214">
        <f>IF(((SUM($B$55:Q55)+SUM($B$57:Q61))+SUM($B$78:Q78))&lt;0,((SUM($B$55:Q55)+SUM($B$57:Q61))+SUM($B$78:Q78))*0.18-SUM($A$76:P76),IF(SUM($B$76:P76)&lt;0,0-SUM($B$76:P76),0))</f>
        <v>0</v>
      </c>
      <c r="R76" s="214">
        <f>IF(((SUM($B$55:R55)+SUM($B$57:R61))+SUM($B$78:R78))&lt;0,((SUM($B$55:R55)+SUM($B$57:R61))+SUM($B$78:R78))*0.18-SUM($A$76:Q76),IF(SUM($B$76:Q76)&lt;0,0-SUM($B$76:Q76),0))</f>
        <v>0</v>
      </c>
      <c r="S76" s="214">
        <f>IF(((SUM($B$55:S55)+SUM($B$57:S61))+SUM($B$78:S78))&lt;0,((SUM($B$55:S55)+SUM($B$57:S61))+SUM($B$78:S78))*0.18-SUM($A$76:R76),IF(SUM($B$76:R76)&lt;0,0-SUM($B$76:R76),0))</f>
        <v>0</v>
      </c>
      <c r="T76" s="214">
        <f>IF(((SUM($B$55:T55)+SUM($B$57:T61))+SUM($B$78:T78))&lt;0,((SUM($B$55:T55)+SUM($B$57:T61))+SUM($B$78:T78))*0.18-SUM($A$76:S76),IF(SUM($B$76:S76)&lt;0,0-SUM($B$76:S76),0))</f>
        <v>0</v>
      </c>
      <c r="U76" s="214">
        <f>IF(((SUM($B$55:U55)+SUM($B$57:U61))+SUM($B$78:U78))&lt;0,((SUM($B$55:U55)+SUM($B$57:U61))+SUM($B$78:U78))*0.18-SUM($A$76:T76),IF(SUM($B$76:T76)&lt;0,0-SUM($B$76:T76),0))</f>
        <v>0</v>
      </c>
      <c r="V76" s="214">
        <f>IF(((SUM($B$55:V55)+SUM($B$57:V61))+SUM($B$78:V78))&lt;0,((SUM($B$55:V55)+SUM($B$57:V61))+SUM($B$78:V78))*0.18-SUM($A$76:U76),IF(SUM($B$76:U76)&lt;0,0-SUM($B$76:U76),0))</f>
        <v>0</v>
      </c>
      <c r="W76" s="214">
        <f>IF(((SUM($B$55:W55)+SUM($B$57:W61))+SUM($B$78:W78))&lt;0,((SUM($B$55:W55)+SUM($B$57:W61))+SUM($B$78:W78))*0.18-SUM($A$76:V76),IF(SUM($B$76:V76)&lt;0,0-SUM($B$76:V76),0))</f>
        <v>0</v>
      </c>
      <c r="X76" s="214">
        <f>IF(((SUM($B$55:X55)+SUM($B$57:X61))+SUM($B$78:X78))&lt;0,((SUM($B$55:X55)+SUM($B$57:X61))+SUM($B$78:X78))*0.18-SUM($A$76:W76),IF(SUM($B$76:W76)&lt;0,0-SUM($B$76:W76),0))</f>
        <v>0</v>
      </c>
      <c r="Y76" s="214">
        <f>IF(((SUM($B$55:Y55)+SUM($B$57:Y61))+SUM($B$78:Y78))&lt;0,((SUM($B$55:Y55)+SUM($B$57:Y61))+SUM($B$78:Y78))*0.18-SUM($A$76:X76),IF(SUM($B$76:X76)&lt;0,0-SUM($B$76:X76),0))</f>
        <v>0</v>
      </c>
      <c r="Z76" s="214">
        <f>IF(((SUM($B$55:Z55)+SUM($B$57:Z61))+SUM($B$78:Z78))&lt;0,((SUM($B$55:Z55)+SUM($B$57:Z61))+SUM($B$78:Z78))*0.18-SUM($A$76:Y76),IF(SUM($B$76:Y76)&lt;0,0-SUM($B$76:Y76),0))</f>
        <v>0</v>
      </c>
      <c r="AA76" s="214">
        <f>IF(((SUM($B$55:AA55)+SUM($B$57:AA61))+SUM($B$78:AA78))&lt;0,((SUM($B$55:AA55)+SUM($B$57:AA61))+SUM($B$78:AA78))*0.18-SUM($A$76:Z76),IF(SUM($B$76:Z76)&lt;0,0-SUM($B$76:Z76),0))</f>
        <v>0</v>
      </c>
      <c r="AB76" s="214">
        <f>IF(((SUM($B$55:AB55)+SUM($B$57:AB61))+SUM($B$78:AB78))&lt;0,((SUM($B$55:AB55)+SUM($B$57:AB61))+SUM($B$78:AB78))*0.18-SUM($A$76:AA76),IF(SUM($B$76:AA76)&lt;0,0-SUM($B$76:AA76),0))</f>
        <v>0</v>
      </c>
      <c r="AC76" s="214">
        <f>IF(((SUM($B$55:AC55)+SUM($B$57:AC61))+SUM($B$78:AC78))&lt;0,((SUM($B$55:AC55)+SUM($B$57:AC61))+SUM($B$78:AC78))*0.18-SUM($A$76:AB76),IF(SUM($B$76:AB76)&lt;0,0-SUM($B$76:AB76),0))</f>
        <v>0</v>
      </c>
      <c r="AD76" s="214">
        <f>IF(((SUM($B$55:AD55)+SUM($B$57:AD61))+SUM($B$78:AD78))&lt;0,((SUM($B$55:AD55)+SUM($B$57:AD61))+SUM($B$78:AD78))*0.18-SUM($A$76:AC76),IF(SUM($B$76:AC76)&lt;0,0-SUM($B$76:AC76),0))</f>
        <v>0</v>
      </c>
    </row>
    <row r="77" spans="1:32" x14ac:dyDescent="0.2">
      <c r="A77" s="219" t="s">
        <v>295</v>
      </c>
      <c r="B77" s="214">
        <f>-B55*(B35)</f>
        <v>0</v>
      </c>
      <c r="C77" s="214">
        <f>-(C55-B55)*$B$35</f>
        <v>-21052963.169999998</v>
      </c>
      <c r="D77" s="214">
        <f>-(D55-C55)*$B$35</f>
        <v>-34118673.651000008</v>
      </c>
      <c r="E77" s="214">
        <f t="shared" ref="E77:AC77" si="27">-(E55-D55)*$B$35</f>
        <v>41506936.825500011</v>
      </c>
      <c r="F77" s="214">
        <f t="shared" si="27"/>
        <v>7098045.3336719712</v>
      </c>
      <c r="G77" s="214">
        <f t="shared" si="27"/>
        <v>-902480.93071908469</v>
      </c>
      <c r="H77" s="214">
        <f t="shared" si="27"/>
        <v>-926408.30546736624</v>
      </c>
      <c r="I77" s="214">
        <f t="shared" si="27"/>
        <v>-713768.9105937141</v>
      </c>
      <c r="J77" s="214">
        <f t="shared" si="27"/>
        <v>-737569.85668085795</v>
      </c>
      <c r="K77" s="214">
        <f t="shared" si="27"/>
        <v>-770757.93990414799</v>
      </c>
      <c r="L77" s="214">
        <f t="shared" si="27"/>
        <v>-782955.42576970963</v>
      </c>
      <c r="M77" s="214">
        <f t="shared" si="27"/>
        <v>-539527.50218503072</v>
      </c>
      <c r="N77" s="214">
        <f t="shared" si="27"/>
        <v>-511057.05212910444</v>
      </c>
      <c r="O77" s="214">
        <f t="shared" si="27"/>
        <v>-275303.88360261975</v>
      </c>
      <c r="P77" s="214">
        <f t="shared" si="27"/>
        <v>-281335.56671261607</v>
      </c>
      <c r="Q77" s="214">
        <f t="shared" si="27"/>
        <v>-287498.39559356688</v>
      </c>
      <c r="R77" s="214">
        <f t="shared" si="27"/>
        <v>-293795.20340307086</v>
      </c>
      <c r="S77" s="214">
        <f t="shared" si="27"/>
        <v>-300228.88416672079</v>
      </c>
      <c r="T77" s="214">
        <f t="shared" si="27"/>
        <v>-277786.85037511197</v>
      </c>
      <c r="U77" s="214">
        <f t="shared" si="27"/>
        <v>-283342.58738261461</v>
      </c>
      <c r="V77" s="214">
        <f t="shared" si="27"/>
        <v>-289009.4391302669</v>
      </c>
      <c r="W77" s="214">
        <f t="shared" si="27"/>
        <v>-294789.62791287212</v>
      </c>
      <c r="X77" s="214">
        <f t="shared" si="27"/>
        <v>-300685.42047112942</v>
      </c>
      <c r="Y77" s="214">
        <f t="shared" si="27"/>
        <v>-306699.12888055266</v>
      </c>
      <c r="Z77" s="214">
        <f t="shared" si="27"/>
        <v>-312833.11145816447</v>
      </c>
      <c r="AA77" s="214">
        <f t="shared" si="27"/>
        <v>-319089.77368732722</v>
      </c>
      <c r="AB77" s="214">
        <f t="shared" si="27"/>
        <v>-325471.56916107325</v>
      </c>
      <c r="AC77" s="214">
        <f t="shared" si="27"/>
        <v>-331981.00054429652</v>
      </c>
      <c r="AD77" s="214">
        <f>-(AD55-AC55)*$B$35</f>
        <v>-338620.62055518059</v>
      </c>
    </row>
    <row r="78" spans="1:32" x14ac:dyDescent="0.2">
      <c r="A78" s="219" t="s">
        <v>530</v>
      </c>
      <c r="B78" s="214">
        <v>-22823771</v>
      </c>
      <c r="C78" s="214">
        <v>-236500731.15439999</v>
      </c>
      <c r="D78" s="214">
        <v>-641247896.94819999</v>
      </c>
      <c r="E78" s="214">
        <v>-209172060</v>
      </c>
      <c r="F78" s="214"/>
      <c r="G78" s="214"/>
      <c r="H78" s="214"/>
      <c r="I78" s="214"/>
      <c r="J78" s="214"/>
      <c r="K78" s="214"/>
      <c r="L78" s="214"/>
      <c r="M78" s="214"/>
      <c r="N78" s="214"/>
      <c r="O78" s="214"/>
      <c r="P78" s="214"/>
      <c r="Q78" s="214"/>
      <c r="R78" s="214"/>
      <c r="S78" s="214"/>
      <c r="T78" s="214"/>
      <c r="U78" s="214"/>
      <c r="V78" s="214"/>
      <c r="W78" s="214"/>
      <c r="X78" s="214"/>
      <c r="Y78" s="214"/>
      <c r="Z78" s="214"/>
      <c r="AA78" s="214"/>
      <c r="AB78" s="214"/>
      <c r="AC78" s="214"/>
      <c r="AD78" s="214"/>
      <c r="AE78" s="221">
        <f>SUM(B78:AD78)/1.18</f>
        <v>-940461406.01915264</v>
      </c>
      <c r="AF78" s="270">
        <f>AE78*1.18</f>
        <v>-1109744459.1026001</v>
      </c>
    </row>
    <row r="79" spans="1:32" x14ac:dyDescent="0.2">
      <c r="A79" s="219" t="s">
        <v>294</v>
      </c>
      <c r="B79" s="214">
        <f t="shared" ref="B79:AB79" si="28">B50-B51</f>
        <v>0</v>
      </c>
      <c r="C79" s="214">
        <f t="shared" si="28"/>
        <v>0</v>
      </c>
      <c r="D79" s="214">
        <f t="shared" si="28"/>
        <v>0</v>
      </c>
      <c r="E79" s="214">
        <f t="shared" si="28"/>
        <v>0</v>
      </c>
      <c r="F79" s="214">
        <f t="shared" si="28"/>
        <v>0</v>
      </c>
      <c r="G79" s="214">
        <f t="shared" si="28"/>
        <v>0</v>
      </c>
      <c r="H79" s="214">
        <f t="shared" si="28"/>
        <v>0</v>
      </c>
      <c r="I79" s="214">
        <f t="shared" si="28"/>
        <v>0</v>
      </c>
      <c r="J79" s="214">
        <f t="shared" si="28"/>
        <v>0</v>
      </c>
      <c r="K79" s="214">
        <f t="shared" si="28"/>
        <v>0</v>
      </c>
      <c r="L79" s="214">
        <f t="shared" si="28"/>
        <v>0</v>
      </c>
      <c r="M79" s="214">
        <f t="shared" si="28"/>
        <v>0</v>
      </c>
      <c r="N79" s="214">
        <f t="shared" si="28"/>
        <v>0</v>
      </c>
      <c r="O79" s="214">
        <f t="shared" si="28"/>
        <v>0</v>
      </c>
      <c r="P79" s="214">
        <f t="shared" si="28"/>
        <v>0</v>
      </c>
      <c r="Q79" s="214">
        <f t="shared" si="28"/>
        <v>0</v>
      </c>
      <c r="R79" s="214">
        <f t="shared" si="28"/>
        <v>0</v>
      </c>
      <c r="S79" s="214">
        <f t="shared" si="28"/>
        <v>0</v>
      </c>
      <c r="T79" s="214">
        <f t="shared" si="28"/>
        <v>0</v>
      </c>
      <c r="U79" s="214">
        <f t="shared" si="28"/>
        <v>0</v>
      </c>
      <c r="V79" s="214">
        <f t="shared" si="28"/>
        <v>0</v>
      </c>
      <c r="W79" s="214">
        <f t="shared" si="28"/>
        <v>0</v>
      </c>
      <c r="X79" s="214">
        <f t="shared" si="28"/>
        <v>0</v>
      </c>
      <c r="Y79" s="214">
        <f t="shared" si="28"/>
        <v>0</v>
      </c>
      <c r="Z79" s="214">
        <f t="shared" si="28"/>
        <v>0</v>
      </c>
      <c r="AA79" s="214">
        <f t="shared" si="28"/>
        <v>0</v>
      </c>
      <c r="AB79" s="214">
        <f t="shared" si="28"/>
        <v>0</v>
      </c>
      <c r="AC79" s="214">
        <f>AC50-AC51</f>
        <v>0</v>
      </c>
      <c r="AD79" s="214">
        <f>AD50-AD51</f>
        <v>0</v>
      </c>
    </row>
    <row r="80" spans="1:32" ht="14.25" x14ac:dyDescent="0.2">
      <c r="A80" s="220" t="s">
        <v>293</v>
      </c>
      <c r="B80" s="218">
        <f>SUM(B72:B79)</f>
        <v>-26932049.780000001</v>
      </c>
      <c r="C80" s="218">
        <f t="shared" ref="C80:V80" si="29">SUM(C72:C79)</f>
        <v>-70880449.192191958</v>
      </c>
      <c r="D80" s="218">
        <f t="shared" si="29"/>
        <v>-190033368.88787591</v>
      </c>
      <c r="E80" s="218">
        <f t="shared" si="29"/>
        <v>-56522694.023500025</v>
      </c>
      <c r="F80" s="218">
        <f t="shared" si="29"/>
        <v>87123985.842458323</v>
      </c>
      <c r="G80" s="218">
        <f t="shared" si="29"/>
        <v>80974470.596504271</v>
      </c>
      <c r="H80" s="218">
        <f t="shared" si="29"/>
        <v>81544106.864284635</v>
      </c>
      <c r="I80" s="218">
        <f t="shared" si="29"/>
        <v>88816817.186806053</v>
      </c>
      <c r="J80" s="218">
        <f t="shared" si="29"/>
        <v>95340578.691752583</v>
      </c>
      <c r="K80" s="218">
        <f t="shared" si="29"/>
        <v>101364559.75025091</v>
      </c>
      <c r="L80" s="218">
        <f t="shared" si="29"/>
        <v>109088719.47116181</v>
      </c>
      <c r="M80" s="218">
        <f t="shared" si="29"/>
        <v>112483214.43427269</v>
      </c>
      <c r="N80" s="218">
        <f t="shared" si="29"/>
        <v>117842033.57726784</v>
      </c>
      <c r="O80" s="218">
        <f t="shared" si="29"/>
        <v>121359138.28900075</v>
      </c>
      <c r="P80" s="218">
        <f t="shared" si="29"/>
        <v>123846510.80094302</v>
      </c>
      <c r="Q80" s="218">
        <f t="shared" si="29"/>
        <v>125495466.15729864</v>
      </c>
      <c r="R80" s="218">
        <f t="shared" si="29"/>
        <v>128985948.25522237</v>
      </c>
      <c r="S80" s="218">
        <f t="shared" si="29"/>
        <v>131640409.09869742</v>
      </c>
      <c r="T80" s="218">
        <f t="shared" si="29"/>
        <v>133176531.37368807</v>
      </c>
      <c r="U80" s="218">
        <f t="shared" si="29"/>
        <v>133867528.12350178</v>
      </c>
      <c r="V80" s="218">
        <f t="shared" si="29"/>
        <v>139184049.20212752</v>
      </c>
      <c r="W80" s="218">
        <f t="shared" ref="W80:AC80" si="30">SUM(W72:W79)</f>
        <v>140784598.59474728</v>
      </c>
      <c r="X80" s="218">
        <f t="shared" si="30"/>
        <v>144448415.38042152</v>
      </c>
      <c r="Y80" s="218">
        <f t="shared" si="30"/>
        <v>147159824.57442993</v>
      </c>
      <c r="Z80" s="218">
        <f t="shared" si="30"/>
        <v>148858340.39427313</v>
      </c>
      <c r="AA80" s="218">
        <f t="shared" si="30"/>
        <v>152746412.07776487</v>
      </c>
      <c r="AB80" s="218">
        <f t="shared" si="30"/>
        <v>155623781.20572016</v>
      </c>
      <c r="AC80" s="218">
        <f t="shared" si="30"/>
        <v>154190722.82652089</v>
      </c>
      <c r="AD80" s="218">
        <f>SUM(AD72:AD79)</f>
        <v>161552312.55695927</v>
      </c>
    </row>
    <row r="81" spans="1:33" ht="14.25" x14ac:dyDescent="0.2">
      <c r="A81" s="220" t="s">
        <v>531</v>
      </c>
      <c r="B81" s="218">
        <f>SUM($B$80:B80)</f>
        <v>-26932049.780000001</v>
      </c>
      <c r="C81" s="218">
        <f>SUM($B$80:C80)</f>
        <v>-97812498.97219196</v>
      </c>
      <c r="D81" s="218">
        <f>SUM($B$80:D80)</f>
        <v>-287845867.86006784</v>
      </c>
      <c r="E81" s="218">
        <f>SUM($B$80:E80)</f>
        <v>-344368561.88356787</v>
      </c>
      <c r="F81" s="218">
        <f>SUM($B$80:F80)</f>
        <v>-257244576.04110956</v>
      </c>
      <c r="G81" s="218">
        <f>SUM($B$80:G80)</f>
        <v>-176270105.44460529</v>
      </c>
      <c r="H81" s="218">
        <f>SUM($B$80:H80)</f>
        <v>-94725998.580320656</v>
      </c>
      <c r="I81" s="218">
        <f>SUM($B$80:I80)</f>
        <v>-5909181.3935146034</v>
      </c>
      <c r="J81" s="218">
        <f>SUM($B$80:J80)</f>
        <v>89431397.298237979</v>
      </c>
      <c r="K81" s="218">
        <f>SUM($B$80:K80)</f>
        <v>190795957.04848889</v>
      </c>
      <c r="L81" s="218">
        <f>SUM($B$80:L80)</f>
        <v>299884676.5196507</v>
      </c>
      <c r="M81" s="218">
        <f>SUM($B$80:M80)</f>
        <v>412367890.9539234</v>
      </c>
      <c r="N81" s="218">
        <f>SUM($B$80:N80)</f>
        <v>530209924.53119123</v>
      </c>
      <c r="O81" s="218">
        <f>SUM($B$80:O80)</f>
        <v>651569062.82019198</v>
      </c>
      <c r="P81" s="218">
        <f>SUM($B$80:P80)</f>
        <v>775415573.621135</v>
      </c>
      <c r="Q81" s="218">
        <f>SUM($B$80:Q80)</f>
        <v>900911039.77843368</v>
      </c>
      <c r="R81" s="218">
        <f>SUM($B$80:R80)</f>
        <v>1029896988.033656</v>
      </c>
      <c r="S81" s="218">
        <f>SUM($B$80:S80)</f>
        <v>1161537397.1323533</v>
      </c>
      <c r="T81" s="218">
        <f>SUM($B$80:T80)</f>
        <v>1294713928.5060413</v>
      </c>
      <c r="U81" s="218">
        <f>SUM($B$80:U80)</f>
        <v>1428581456.6295431</v>
      </c>
      <c r="V81" s="218">
        <f>SUM($B$80:V80)</f>
        <v>1567765505.8316705</v>
      </c>
      <c r="W81" s="218">
        <f>SUM($B$80:W80)</f>
        <v>1708550104.4264178</v>
      </c>
      <c r="X81" s="218">
        <f>SUM($B$80:X80)</f>
        <v>1852998519.8068395</v>
      </c>
      <c r="Y81" s="218">
        <f>SUM($B$80:Y80)</f>
        <v>2000158344.3812695</v>
      </c>
      <c r="Z81" s="218">
        <f>SUM($B$80:Z80)</f>
        <v>2149016684.7755427</v>
      </c>
      <c r="AA81" s="218">
        <f>SUM($B$80:AA80)</f>
        <v>2301763096.8533077</v>
      </c>
      <c r="AB81" s="218">
        <f>SUM($B$80:AB80)</f>
        <v>2457386878.0590277</v>
      </c>
      <c r="AC81" s="218">
        <f>SUM($B$80:AC80)</f>
        <v>2611577600.8855486</v>
      </c>
      <c r="AD81" s="218">
        <f>SUM($B$80:AD80)</f>
        <v>2773129913.4425077</v>
      </c>
    </row>
    <row r="82" spans="1:33" x14ac:dyDescent="0.2">
      <c r="A82" s="224" t="s">
        <v>532</v>
      </c>
      <c r="B82" s="225">
        <f t="shared" ref="B82:AC82" si="31">1/POWER((1+$B$40),B70)</f>
        <v>1</v>
      </c>
      <c r="C82" s="225">
        <f t="shared" si="31"/>
        <v>0.9109750373485539</v>
      </c>
      <c r="D82" s="225">
        <f t="shared" si="31"/>
        <v>0.75599588161705711</v>
      </c>
      <c r="E82" s="225">
        <f t="shared" si="31"/>
        <v>0.6273824743710017</v>
      </c>
      <c r="F82" s="225">
        <f t="shared" si="31"/>
        <v>0.52064935632448273</v>
      </c>
      <c r="G82" s="225">
        <f t="shared" si="31"/>
        <v>0.43207415462612664</v>
      </c>
      <c r="H82" s="225">
        <f t="shared" si="31"/>
        <v>0.35856776317520883</v>
      </c>
      <c r="I82" s="225">
        <f t="shared" si="31"/>
        <v>0.29756660844415667</v>
      </c>
      <c r="J82" s="225">
        <f t="shared" si="31"/>
        <v>0.24694324352212174</v>
      </c>
      <c r="K82" s="225">
        <f t="shared" si="31"/>
        <v>0.20493215230051592</v>
      </c>
      <c r="L82" s="225">
        <f t="shared" si="31"/>
        <v>0.1700681761830008</v>
      </c>
      <c r="M82" s="225">
        <f t="shared" si="31"/>
        <v>0.14113541591950271</v>
      </c>
      <c r="N82" s="225">
        <f t="shared" si="31"/>
        <v>0.11712482648921385</v>
      </c>
      <c r="O82" s="225">
        <f t="shared" si="31"/>
        <v>9.719902613212765E-2</v>
      </c>
      <c r="P82" s="225">
        <f t="shared" si="31"/>
        <v>8.0663092225832109E-2</v>
      </c>
      <c r="Q82" s="225">
        <f t="shared" si="31"/>
        <v>6.6940325498615838E-2</v>
      </c>
      <c r="R82" s="225">
        <f t="shared" si="31"/>
        <v>5.5552137343249659E-2</v>
      </c>
      <c r="S82" s="225">
        <f t="shared" si="31"/>
        <v>4.6101358791078552E-2</v>
      </c>
      <c r="T82" s="225">
        <f t="shared" si="31"/>
        <v>3.825838903823945E-2</v>
      </c>
      <c r="U82" s="225">
        <f t="shared" si="31"/>
        <v>3.174970044667174E-2</v>
      </c>
      <c r="V82" s="225">
        <f t="shared" si="31"/>
        <v>2.6348299125868668E-2</v>
      </c>
      <c r="W82" s="225">
        <f t="shared" si="31"/>
        <v>2.1865808403210511E-2</v>
      </c>
      <c r="X82" s="225">
        <f t="shared" si="31"/>
        <v>1.814589908980126E-2</v>
      </c>
      <c r="Y82" s="225">
        <f t="shared" si="31"/>
        <v>1.5058837418922204E-2</v>
      </c>
      <c r="Z82" s="225">
        <f t="shared" si="31"/>
        <v>1.2496960513628384E-2</v>
      </c>
      <c r="AA82" s="225">
        <f t="shared" si="31"/>
        <v>1.0370921588073345E-2</v>
      </c>
      <c r="AB82" s="225">
        <f t="shared" si="31"/>
        <v>8.6065739320110735E-3</v>
      </c>
      <c r="AC82" s="225">
        <f t="shared" si="31"/>
        <v>7.1423850058183183E-3</v>
      </c>
      <c r="AD82" s="225">
        <f>1/POWER((1+$B$40),AD70)</f>
        <v>5.9272904612600145E-3</v>
      </c>
    </row>
    <row r="83" spans="1:33" ht="14.25" x14ac:dyDescent="0.2">
      <c r="A83" s="217" t="s">
        <v>533</v>
      </c>
      <c r="B83" s="218">
        <f t="shared" ref="B83:AC83" si="32">B80*B82</f>
        <v>-26932049.780000001</v>
      </c>
      <c r="C83" s="218">
        <f t="shared" si="32"/>
        <v>-64570319.85013935</v>
      </c>
      <c r="D83" s="218">
        <f t="shared" si="32"/>
        <v>-143664444.24904919</v>
      </c>
      <c r="E83" s="218">
        <f t="shared" si="32"/>
        <v>-35461347.634578474</v>
      </c>
      <c r="F83" s="218">
        <f t="shared" si="32"/>
        <v>45361047.149299271</v>
      </c>
      <c r="G83" s="218">
        <f t="shared" si="32"/>
        <v>34986975.929282732</v>
      </c>
      <c r="H83" s="218">
        <f t="shared" si="32"/>
        <v>29239087.998446733</v>
      </c>
      <c r="I83" s="218">
        <f t="shared" si="32"/>
        <v>26428919.063082561</v>
      </c>
      <c r="J83" s="218">
        <f t="shared" si="32"/>
        <v>23543711.741417468</v>
      </c>
      <c r="K83" s="218">
        <f t="shared" si="32"/>
        <v>20772857.396613166</v>
      </c>
      <c r="L83" s="218">
        <f t="shared" si="32"/>
        <v>18552519.562599495</v>
      </c>
      <c r="M83" s="218">
        <f t="shared" si="32"/>
        <v>15875365.253143687</v>
      </c>
      <c r="N83" s="218">
        <f t="shared" si="32"/>
        <v>13802227.735873608</v>
      </c>
      <c r="O83" s="218">
        <f t="shared" si="32"/>
        <v>11795990.053925076</v>
      </c>
      <c r="P83" s="218">
        <f t="shared" si="32"/>
        <v>9989842.5225839783</v>
      </c>
      <c r="Q83" s="218">
        <f t="shared" si="32"/>
        <v>8400707.3531700987</v>
      </c>
      <c r="R83" s="218">
        <f t="shared" si="32"/>
        <v>7165445.1128234062</v>
      </c>
      <c r="S83" s="218">
        <f t="shared" si="32"/>
        <v>6068801.7312634112</v>
      </c>
      <c r="T83" s="218">
        <f t="shared" si="32"/>
        <v>5095119.5480578598</v>
      </c>
      <c r="U83" s="218">
        <f t="shared" si="32"/>
        <v>4250253.9174575862</v>
      </c>
      <c r="V83" s="218">
        <f t="shared" si="32"/>
        <v>3667262.961927278</v>
      </c>
      <c r="W83" s="218">
        <f t="shared" si="32"/>
        <v>3078369.0589956436</v>
      </c>
      <c r="X83" s="218">
        <f t="shared" si="32"/>
        <v>2621146.369174825</v>
      </c>
      <c r="Y83" s="218">
        <f t="shared" si="32"/>
        <v>2216055.8728634529</v>
      </c>
      <c r="Z83" s="218">
        <f t="shared" si="32"/>
        <v>1860276.8020314844</v>
      </c>
      <c r="AA83" s="218">
        <f t="shared" si="32"/>
        <v>1584121.0625180388</v>
      </c>
      <c r="AB83" s="218">
        <f t="shared" si="32"/>
        <v>1339387.578526146</v>
      </c>
      <c r="AC83" s="218">
        <f t="shared" si="32"/>
        <v>1101289.5067524312</v>
      </c>
      <c r="AD83" s="218">
        <f>AD80*AD82</f>
        <v>957567.48121336114</v>
      </c>
    </row>
    <row r="84" spans="1:33" ht="14.25" x14ac:dyDescent="0.2">
      <c r="A84" s="217" t="s">
        <v>534</v>
      </c>
      <c r="B84" s="218">
        <f>SUM($B$83:B83)</f>
        <v>-26932049.780000001</v>
      </c>
      <c r="C84" s="218">
        <f>SUM($B$83:C83)</f>
        <v>-91502369.630139351</v>
      </c>
      <c r="D84" s="218">
        <f>SUM($B$83:D83)</f>
        <v>-235166813.87918854</v>
      </c>
      <c r="E84" s="218">
        <f>SUM($B$83:E83)</f>
        <v>-270628161.513767</v>
      </c>
      <c r="F84" s="218">
        <f>SUM($B$83:F83)</f>
        <v>-225267114.36446774</v>
      </c>
      <c r="G84" s="218">
        <f>SUM($B$83:G83)</f>
        <v>-190280138.43518502</v>
      </c>
      <c r="H84" s="218">
        <f>SUM($B$83:H83)</f>
        <v>-161041050.43673828</v>
      </c>
      <c r="I84" s="218">
        <f>SUM($B$83:I83)</f>
        <v>-134612131.37365574</v>
      </c>
      <c r="J84" s="218">
        <f>SUM($B$83:J83)</f>
        <v>-111068419.63223827</v>
      </c>
      <c r="K84" s="218">
        <f>SUM($B$83:K83)</f>
        <v>-90295562.235625103</v>
      </c>
      <c r="L84" s="218">
        <f>SUM($B$83:L83)</f>
        <v>-71743042.673025608</v>
      </c>
      <c r="M84" s="218">
        <f>SUM($B$83:M83)</f>
        <v>-55867677.419881925</v>
      </c>
      <c r="N84" s="218">
        <f>SUM($B$83:N83)</f>
        <v>-42065449.684008315</v>
      </c>
      <c r="O84" s="218">
        <f>SUM($B$83:O83)</f>
        <v>-30269459.630083241</v>
      </c>
      <c r="P84" s="218">
        <f>SUM($B$83:P83)</f>
        <v>-20279617.107499264</v>
      </c>
      <c r="Q84" s="218">
        <f>SUM($B$83:Q83)</f>
        <v>-11878909.754329165</v>
      </c>
      <c r="R84" s="218">
        <f>SUM($B$83:R83)</f>
        <v>-4713464.6415057592</v>
      </c>
      <c r="S84" s="218">
        <f>SUM($B$83:S83)</f>
        <v>1355337.089757652</v>
      </c>
      <c r="T84" s="218">
        <f>SUM($B$83:T83)</f>
        <v>6450456.6378155118</v>
      </c>
      <c r="U84" s="218">
        <f>SUM($B$83:U83)</f>
        <v>10700710.555273097</v>
      </c>
      <c r="V84" s="218">
        <f>SUM($B$83:V83)</f>
        <v>14367973.517200375</v>
      </c>
      <c r="W84" s="218">
        <f>SUM($B$83:W83)</f>
        <v>17446342.576196019</v>
      </c>
      <c r="X84" s="218">
        <f>SUM($B$83:X83)</f>
        <v>20067488.945370845</v>
      </c>
      <c r="Y84" s="218">
        <f>SUM($B$83:Y83)</f>
        <v>22283544.818234298</v>
      </c>
      <c r="Z84" s="218">
        <f>SUM($B$83:Z83)</f>
        <v>24143821.620265782</v>
      </c>
      <c r="AA84" s="218">
        <f>SUM($B$83:AA83)</f>
        <v>25727942.68278382</v>
      </c>
      <c r="AB84" s="218">
        <f>SUM($B$83:AB83)</f>
        <v>27067330.261309966</v>
      </c>
      <c r="AC84" s="218">
        <f>SUM($B$83:AC83)</f>
        <v>28168619.768062398</v>
      </c>
      <c r="AD84" s="218">
        <f>SUM($B$83:AD83)</f>
        <v>29126187.249275759</v>
      </c>
    </row>
    <row r="85" spans="1:33" ht="14.25" x14ac:dyDescent="0.2">
      <c r="A85" s="217" t="s">
        <v>535</v>
      </c>
      <c r="B85" s="226">
        <f>IF((ISERR(IRR($B$80:B80))),0,IF(IRR($B$80:B80)&lt;0,0,IRR($B$80:B80)))</f>
        <v>0</v>
      </c>
      <c r="C85" s="226">
        <f>IF((ISERR(IRR($B$80:C80))),0,IF(IRR($B$80:C80)&lt;0,0,IRR($B$80:C80)))</f>
        <v>0</v>
      </c>
      <c r="D85" s="226">
        <f>IF((ISERR(IRR($B$80:D80))),0,IF(IRR($B$80:D80)&lt;0,0,IRR($B$80:D80)))</f>
        <v>0</v>
      </c>
      <c r="E85" s="226">
        <f>IF((ISERR(IRR($B$80:E80))),0,IF(IRR($B$80:E80)&lt;0,0,IRR($B$80:E80)))</f>
        <v>0</v>
      </c>
      <c r="F85" s="226">
        <f>IF((ISERR(IRR($B$80:F80))),0,IF(IRR($B$80:F80)&lt;0,0,IRR($B$80:F80)))</f>
        <v>0</v>
      </c>
      <c r="G85" s="226">
        <f>IF((ISERR(IRR($B$80:G80))),0,IF(IRR($B$80:G80)&lt;0,0,IRR($B$80:G80)))</f>
        <v>0</v>
      </c>
      <c r="H85" s="226">
        <f>IF((ISERR(IRR($B$80:H80))),0,IF(IRR($B$80:H80)&lt;0,0,IRR($B$80:H80)))</f>
        <v>0</v>
      </c>
      <c r="I85" s="226">
        <f>IF((ISERR(IRR($B$80:I80))),0,IF(IRR($B$80:I80)&lt;0,0,IRR($B$80:I80)))</f>
        <v>0</v>
      </c>
      <c r="J85" s="226">
        <f>IF((ISERR(IRR($B$80:J80))),0,IF(IRR($B$80:J80)&lt;0,0,IRR($B$80:J80)))</f>
        <v>5.6300551991936398E-2</v>
      </c>
      <c r="K85" s="226">
        <f>IF((ISERR(IRR($B$80:K80))),0,IF(IRR($B$80:K80)&lt;0,0,IRR($B$80:K80)))</f>
        <v>9.8322670919332777E-2</v>
      </c>
      <c r="L85" s="226">
        <f>IF((ISERR(IRR($B$80:L80))),0,IF(IRR($B$80:L80)&lt;0,0,IRR($B$80:L80)))</f>
        <v>0.12867784466284649</v>
      </c>
      <c r="M85" s="226">
        <f>IF((ISERR(IRR($B$80:M80))),0,IF(IRR($B$80:M80)&lt;0,0,IRR($B$80:M80)))</f>
        <v>0.15033412580568228</v>
      </c>
      <c r="N85" s="226">
        <f>IF((ISERR(IRR($B$80:N80))),0,IF(IRR($B$80:N80)&lt;0,0,IRR($B$80:N80)))</f>
        <v>0.16645752176263251</v>
      </c>
      <c r="O85" s="226">
        <f>IF((ISERR(IRR($B$80:O80))),0,IF(IRR($B$80:O80)&lt;0,0,IRR($B$80:O80)))</f>
        <v>0.17850513092449716</v>
      </c>
      <c r="P85" s="226">
        <f>IF((ISERR(IRR($B$80:P80))),0,IF(IRR($B$80:P80)&lt;0,0,IRR($B$80:P80)))</f>
        <v>0.18759237759532832</v>
      </c>
      <c r="Q85" s="226">
        <f>IF((ISERR(IRR($B$80:Q80))),0,IF(IRR($B$80:Q80)&lt;0,0,IRR($B$80:Q80)))</f>
        <v>0.19450695490486369</v>
      </c>
      <c r="R85" s="226">
        <f>IF((ISERR(IRR($B$80:R80))),0,IF(IRR($B$80:R80)&lt;0,0,IRR($B$80:R80)))</f>
        <v>0.19991118151026899</v>
      </c>
      <c r="S85" s="226">
        <f>IF((ISERR(IRR($B$80:S80))),0,IF(IRR($B$80:S80)&lt;0,0,IRR($B$80:S80)))</f>
        <v>0.20414769763274876</v>
      </c>
      <c r="T85" s="226">
        <f>IF((ISERR(IRR($B$80:T80))),0,IF(IRR($B$80:T80)&lt;0,0,IRR($B$80:T80)))</f>
        <v>0.20746973763396226</v>
      </c>
      <c r="U85" s="226">
        <f>IF((ISERR(IRR($B$80:U80))),0,IF(IRR($B$80:U80)&lt;0,0,IRR($B$80:U80)))</f>
        <v>0.21007895658816333</v>
      </c>
      <c r="V85" s="226">
        <f>IF((ISERR(IRR($B$80:V80))),0,IF(IRR($B$80:V80)&lt;0,0,IRR($B$80:V80)))</f>
        <v>0.21221183674662947</v>
      </c>
      <c r="W85" s="226">
        <f>IF((ISERR(IRR($B$80:W80))),0,IF(IRR($B$80:W80)&lt;0,0,IRR($B$80:W80)))</f>
        <v>0.21391664976498292</v>
      </c>
      <c r="X85" s="226">
        <f>IF((ISERR(IRR($B$80:X80))),0,IF(IRR($B$80:X80)&lt;0,0,IRR($B$80:X80)))</f>
        <v>0.21530541613485865</v>
      </c>
      <c r="Y85" s="226">
        <f>IF((ISERR(IRR($B$80:Y80))),0,IF(IRR($B$80:Y80)&lt;0,0,IRR($B$80:Y80)))</f>
        <v>0.21643314829962024</v>
      </c>
      <c r="Z85" s="226">
        <f>IF((ISERR(IRR($B$80:Z80))),0,IF(IRR($B$80:Z80)&lt;0,0,IRR($B$80:Z80)))</f>
        <v>0.21734569928447933</v>
      </c>
      <c r="AA85" s="226">
        <f>IF((ISERR(IRR($B$80:AA80))),0,IF(IRR($B$80:AA80)&lt;0,0,IRR($B$80:AA80)))</f>
        <v>0.21809705713126371</v>
      </c>
      <c r="AB85" s="226">
        <f>IF((ISERR(IRR($B$80:AB80))),0,IF(IRR($B$80:AB80)&lt;0,0,IRR($B$80:AB80)))</f>
        <v>0.21871287595532052</v>
      </c>
      <c r="AC85" s="226">
        <f>IF((ISERR(IRR($B$80:AC80))),0,IF(IRR($B$80:AC80)&lt;0,0,IRR($B$80:AC80)))</f>
        <v>0.2192049502875526</v>
      </c>
      <c r="AD85" s="226">
        <f>IF((ISERR(IRR($B$80:AD80))),0,IF(IRR($B$80:AD80)&lt;0,0,IRR($B$80:AD80)))</f>
        <v>0.21962158075721216</v>
      </c>
    </row>
    <row r="86" spans="1:33" ht="14.25" x14ac:dyDescent="0.2">
      <c r="A86" s="217" t="s">
        <v>536</v>
      </c>
      <c r="B86" s="227">
        <f>IF(AND(B81&gt;0,A81&lt;0),(B71-(B81/(B81-A81))),0)</f>
        <v>0</v>
      </c>
      <c r="C86" s="227">
        <f t="shared" ref="C86:AC86" si="33">IF(AND(C81&gt;0,B81&lt;0),(C71-(C81/(C81-B81))),0)</f>
        <v>0</v>
      </c>
      <c r="D86" s="227">
        <f t="shared" si="33"/>
        <v>0</v>
      </c>
      <c r="E86" s="227">
        <f t="shared" si="33"/>
        <v>0</v>
      </c>
      <c r="F86" s="227">
        <f t="shared" si="33"/>
        <v>0</v>
      </c>
      <c r="G86" s="227">
        <f t="shared" si="33"/>
        <v>0</v>
      </c>
      <c r="H86" s="227">
        <f>IF(AND(H81&gt;0,G81&lt;0),(H71-(H81/(H81-G81))),0)</f>
        <v>0</v>
      </c>
      <c r="I86" s="227">
        <f t="shared" si="33"/>
        <v>0</v>
      </c>
      <c r="J86" s="227">
        <f t="shared" si="33"/>
        <v>8.061979709737443</v>
      </c>
      <c r="K86" s="227">
        <f t="shared" si="33"/>
        <v>0</v>
      </c>
      <c r="L86" s="227">
        <f t="shared" si="33"/>
        <v>0</v>
      </c>
      <c r="M86" s="227">
        <f t="shared" si="33"/>
        <v>0</v>
      </c>
      <c r="N86" s="227">
        <f t="shared" si="33"/>
        <v>0</v>
      </c>
      <c r="O86" s="227">
        <f t="shared" si="33"/>
        <v>0</v>
      </c>
      <c r="P86" s="227">
        <f t="shared" si="33"/>
        <v>0</v>
      </c>
      <c r="Q86" s="227">
        <f t="shared" si="33"/>
        <v>0</v>
      </c>
      <c r="R86" s="227">
        <f t="shared" si="33"/>
        <v>0</v>
      </c>
      <c r="S86" s="227">
        <f t="shared" si="33"/>
        <v>0</v>
      </c>
      <c r="T86" s="227">
        <f t="shared" si="33"/>
        <v>0</v>
      </c>
      <c r="U86" s="227">
        <f t="shared" si="33"/>
        <v>0</v>
      </c>
      <c r="V86" s="227">
        <f t="shared" si="33"/>
        <v>0</v>
      </c>
      <c r="W86" s="227">
        <f t="shared" si="33"/>
        <v>0</v>
      </c>
      <c r="X86" s="227">
        <f t="shared" si="33"/>
        <v>0</v>
      </c>
      <c r="Y86" s="227">
        <f t="shared" si="33"/>
        <v>0</v>
      </c>
      <c r="Z86" s="227">
        <f t="shared" si="33"/>
        <v>0</v>
      </c>
      <c r="AA86" s="227">
        <f t="shared" si="33"/>
        <v>0</v>
      </c>
      <c r="AB86" s="227">
        <f t="shared" si="33"/>
        <v>0</v>
      </c>
      <c r="AC86" s="227">
        <f t="shared" si="33"/>
        <v>0</v>
      </c>
      <c r="AD86" s="227">
        <f>IF(AND(AD81&gt;0,AC81&lt;0),(AD71-(AD81/(AD81-AC81))),0)</f>
        <v>0</v>
      </c>
    </row>
    <row r="87" spans="1:33" ht="15" thickBot="1" x14ac:dyDescent="0.25">
      <c r="A87" s="228" t="s">
        <v>537</v>
      </c>
      <c r="B87" s="229">
        <f t="shared" ref="B87:AC87" si="34">IF(AND(B84&gt;0,A84&lt;0),(B71-(B84/(B84-A84))),0)</f>
        <v>0</v>
      </c>
      <c r="C87" s="229">
        <f t="shared" si="34"/>
        <v>0</v>
      </c>
      <c r="D87" s="229">
        <f t="shared" si="34"/>
        <v>0</v>
      </c>
      <c r="E87" s="229">
        <f t="shared" si="34"/>
        <v>0</v>
      </c>
      <c r="F87" s="229">
        <f t="shared" si="34"/>
        <v>0</v>
      </c>
      <c r="G87" s="229">
        <f t="shared" si="34"/>
        <v>0</v>
      </c>
      <c r="H87" s="229">
        <f t="shared" si="34"/>
        <v>0</v>
      </c>
      <c r="I87" s="229">
        <f t="shared" si="34"/>
        <v>0</v>
      </c>
      <c r="J87" s="229">
        <f t="shared" si="34"/>
        <v>0</v>
      </c>
      <c r="K87" s="229">
        <f t="shared" si="34"/>
        <v>0</v>
      </c>
      <c r="L87" s="229">
        <f t="shared" si="34"/>
        <v>0</v>
      </c>
      <c r="M87" s="229">
        <f t="shared" si="34"/>
        <v>0</v>
      </c>
      <c r="N87" s="229">
        <f t="shared" si="34"/>
        <v>0</v>
      </c>
      <c r="O87" s="229">
        <f t="shared" si="34"/>
        <v>0</v>
      </c>
      <c r="P87" s="229">
        <f t="shared" si="34"/>
        <v>0</v>
      </c>
      <c r="Q87" s="229">
        <f t="shared" si="34"/>
        <v>0</v>
      </c>
      <c r="R87" s="229">
        <f t="shared" si="34"/>
        <v>0</v>
      </c>
      <c r="S87" s="229">
        <f t="shared" si="34"/>
        <v>17.776671384274159</v>
      </c>
      <c r="T87" s="229">
        <f t="shared" si="34"/>
        <v>0</v>
      </c>
      <c r="U87" s="229">
        <f t="shared" si="34"/>
        <v>0</v>
      </c>
      <c r="V87" s="229">
        <f t="shared" si="34"/>
        <v>0</v>
      </c>
      <c r="W87" s="229">
        <f t="shared" si="34"/>
        <v>0</v>
      </c>
      <c r="X87" s="229">
        <f t="shared" si="34"/>
        <v>0</v>
      </c>
      <c r="Y87" s="229">
        <f t="shared" si="34"/>
        <v>0</v>
      </c>
      <c r="Z87" s="229">
        <f t="shared" si="34"/>
        <v>0</v>
      </c>
      <c r="AA87" s="229">
        <f t="shared" si="34"/>
        <v>0</v>
      </c>
      <c r="AB87" s="229">
        <f t="shared" si="34"/>
        <v>0</v>
      </c>
      <c r="AC87" s="229">
        <f t="shared" si="34"/>
        <v>0</v>
      </c>
      <c r="AD87" s="229">
        <f>IF(AND(AD84&gt;0,AC84&lt;0),(AD71-(AD84/(AD84-AC84))),0)</f>
        <v>0</v>
      </c>
    </row>
    <row r="88" spans="1:33" x14ac:dyDescent="0.2">
      <c r="B88" s="230">
        <v>2014</v>
      </c>
      <c r="C88" s="230">
        <f>B88+1</f>
        <v>2015</v>
      </c>
      <c r="D88" s="181">
        <f t="shared" ref="D88:AC88" si="35">C88+1</f>
        <v>2016</v>
      </c>
      <c r="E88" s="181">
        <f t="shared" si="35"/>
        <v>2017</v>
      </c>
      <c r="F88" s="181">
        <f t="shared" si="35"/>
        <v>2018</v>
      </c>
      <c r="G88" s="181">
        <f t="shared" si="35"/>
        <v>2019</v>
      </c>
      <c r="H88" s="181">
        <f t="shared" si="35"/>
        <v>2020</v>
      </c>
      <c r="I88" s="181">
        <f t="shared" si="35"/>
        <v>2021</v>
      </c>
      <c r="J88" s="181">
        <f t="shared" si="35"/>
        <v>2022</v>
      </c>
      <c r="K88" s="181">
        <f t="shared" si="35"/>
        <v>2023</v>
      </c>
      <c r="L88" s="181">
        <f t="shared" si="35"/>
        <v>2024</v>
      </c>
      <c r="M88" s="181">
        <f t="shared" si="35"/>
        <v>2025</v>
      </c>
      <c r="N88" s="181">
        <f t="shared" si="35"/>
        <v>2026</v>
      </c>
      <c r="O88" s="181">
        <f t="shared" si="35"/>
        <v>2027</v>
      </c>
      <c r="P88" s="181">
        <f t="shared" si="35"/>
        <v>2028</v>
      </c>
      <c r="Q88" s="181">
        <f t="shared" si="35"/>
        <v>2029</v>
      </c>
      <c r="R88" s="181">
        <f t="shared" si="35"/>
        <v>2030</v>
      </c>
      <c r="S88" s="181">
        <f t="shared" si="35"/>
        <v>2031</v>
      </c>
      <c r="T88" s="181">
        <f t="shared" si="35"/>
        <v>2032</v>
      </c>
      <c r="U88" s="181">
        <f t="shared" si="35"/>
        <v>2033</v>
      </c>
      <c r="V88" s="181">
        <f t="shared" si="35"/>
        <v>2034</v>
      </c>
      <c r="W88" s="181">
        <f t="shared" si="35"/>
        <v>2035</v>
      </c>
      <c r="X88" s="181">
        <f t="shared" si="35"/>
        <v>2036</v>
      </c>
      <c r="Y88" s="181">
        <f t="shared" si="35"/>
        <v>2037</v>
      </c>
      <c r="Z88" s="181">
        <f t="shared" si="35"/>
        <v>2038</v>
      </c>
      <c r="AA88" s="181">
        <f t="shared" si="35"/>
        <v>2039</v>
      </c>
      <c r="AB88" s="181">
        <f t="shared" si="35"/>
        <v>2040</v>
      </c>
      <c r="AC88" s="181">
        <f t="shared" si="35"/>
        <v>2041</v>
      </c>
      <c r="AD88" s="181">
        <f>AC88+1</f>
        <v>2042</v>
      </c>
    </row>
    <row r="89" spans="1:33" x14ac:dyDescent="0.2">
      <c r="A89" s="332" t="s">
        <v>538</v>
      </c>
      <c r="B89" s="332"/>
      <c r="C89" s="332"/>
      <c r="D89" s="332"/>
      <c r="E89" s="332"/>
      <c r="F89" s="332"/>
      <c r="G89" s="332"/>
      <c r="H89" s="332"/>
      <c r="I89" s="332"/>
      <c r="J89" s="332"/>
      <c r="K89" s="332"/>
      <c r="L89" s="332"/>
      <c r="M89" s="332"/>
      <c r="N89" s="332"/>
      <c r="O89" s="332"/>
      <c r="P89" s="332"/>
      <c r="Q89" s="332"/>
      <c r="R89" s="332"/>
      <c r="S89" s="332"/>
      <c r="T89" s="332"/>
      <c r="U89" s="332"/>
      <c r="V89" s="332"/>
      <c r="W89" s="332"/>
      <c r="X89" s="332"/>
      <c r="Y89" s="332"/>
      <c r="Z89" s="332"/>
      <c r="AA89" s="332"/>
      <c r="AB89" s="332"/>
      <c r="AC89" s="332"/>
    </row>
    <row r="90" spans="1:33" ht="59.45" customHeight="1" x14ac:dyDescent="0.2">
      <c r="A90" s="330" t="s">
        <v>539</v>
      </c>
      <c r="B90" s="330"/>
      <c r="C90" s="330"/>
      <c r="D90" s="330"/>
      <c r="E90" s="330"/>
      <c r="F90" s="330"/>
      <c r="G90" s="330"/>
      <c r="H90" s="330"/>
      <c r="I90" s="330"/>
    </row>
    <row r="91" spans="1:33" x14ac:dyDescent="0.2">
      <c r="C91" s="232"/>
    </row>
    <row r="92" spans="1:33" s="235" customFormat="1" ht="32.25" hidden="1" customHeight="1" x14ac:dyDescent="0.2">
      <c r="A92" s="233" t="s">
        <v>540</v>
      </c>
      <c r="B92" s="234">
        <f>B78*B82</f>
        <v>-22823771</v>
      </c>
      <c r="C92" s="234">
        <f t="shared" ref="C92:AD92" si="36">C78*C82</f>
        <v>-215446262.39633983</v>
      </c>
      <c r="D92" s="234">
        <f t="shared" si="36"/>
        <v>-484780769.18843824</v>
      </c>
      <c r="E92" s="234">
        <f t="shared" si="36"/>
        <v>-131230884.57207963</v>
      </c>
      <c r="F92" s="234">
        <f t="shared" si="36"/>
        <v>0</v>
      </c>
      <c r="G92" s="234">
        <f t="shared" si="36"/>
        <v>0</v>
      </c>
      <c r="H92" s="234">
        <f t="shared" si="36"/>
        <v>0</v>
      </c>
      <c r="I92" s="234">
        <f t="shared" si="36"/>
        <v>0</v>
      </c>
      <c r="J92" s="234">
        <f>J78*J82</f>
        <v>0</v>
      </c>
      <c r="K92" s="234">
        <f t="shared" si="36"/>
        <v>0</v>
      </c>
      <c r="L92" s="234">
        <f>L78*L82</f>
        <v>0</v>
      </c>
      <c r="M92" s="234">
        <f t="shared" si="36"/>
        <v>0</v>
      </c>
      <c r="N92" s="234">
        <f t="shared" si="36"/>
        <v>0</v>
      </c>
      <c r="O92" s="234">
        <f t="shared" si="36"/>
        <v>0</v>
      </c>
      <c r="P92" s="234">
        <f t="shared" si="36"/>
        <v>0</v>
      </c>
      <c r="Q92" s="234">
        <f t="shared" si="36"/>
        <v>0</v>
      </c>
      <c r="R92" s="234">
        <f t="shared" si="36"/>
        <v>0</v>
      </c>
      <c r="S92" s="234">
        <f t="shared" si="36"/>
        <v>0</v>
      </c>
      <c r="T92" s="234">
        <f t="shared" si="36"/>
        <v>0</v>
      </c>
      <c r="U92" s="234">
        <f t="shared" si="36"/>
        <v>0</v>
      </c>
      <c r="V92" s="234">
        <f t="shared" si="36"/>
        <v>0</v>
      </c>
      <c r="W92" s="234">
        <f t="shared" si="36"/>
        <v>0</v>
      </c>
      <c r="X92" s="234">
        <f t="shared" si="36"/>
        <v>0</v>
      </c>
      <c r="Y92" s="234">
        <f t="shared" si="36"/>
        <v>0</v>
      </c>
      <c r="Z92" s="234">
        <f t="shared" si="36"/>
        <v>0</v>
      </c>
      <c r="AA92" s="234">
        <f t="shared" si="36"/>
        <v>0</v>
      </c>
      <c r="AB92" s="234">
        <f t="shared" si="36"/>
        <v>0</v>
      </c>
      <c r="AC92" s="234">
        <f t="shared" si="36"/>
        <v>0</v>
      </c>
      <c r="AD92" s="234">
        <f t="shared" si="36"/>
        <v>0</v>
      </c>
      <c r="AE92" s="272">
        <f>SUM(B92:AD92)</f>
        <v>-854281687.15685773</v>
      </c>
      <c r="AF92" s="185"/>
      <c r="AG92" s="268"/>
    </row>
    <row r="93" spans="1:33" s="235" customFormat="1" hidden="1" x14ac:dyDescent="0.2">
      <c r="A93" s="236">
        <f>AE92</f>
        <v>-854281687.15685773</v>
      </c>
      <c r="B93" s="233"/>
      <c r="C93" s="233"/>
      <c r="D93" s="233"/>
      <c r="E93" s="233"/>
      <c r="F93" s="233"/>
      <c r="G93" s="233"/>
      <c r="H93" s="233"/>
      <c r="I93" s="233"/>
      <c r="J93" s="233"/>
      <c r="K93" s="233"/>
      <c r="L93" s="233"/>
      <c r="M93" s="233"/>
      <c r="N93" s="233"/>
      <c r="O93" s="233"/>
      <c r="P93" s="233"/>
      <c r="Q93" s="233"/>
      <c r="R93" s="233"/>
      <c r="S93" s="233"/>
      <c r="T93" s="233"/>
      <c r="U93" s="233"/>
      <c r="V93" s="233"/>
      <c r="W93" s="233"/>
      <c r="X93" s="233"/>
      <c r="Y93" s="233"/>
      <c r="Z93" s="233"/>
      <c r="AA93" s="233"/>
      <c r="AB93" s="233"/>
      <c r="AC93" s="233"/>
      <c r="AE93" s="185"/>
      <c r="AF93" s="185"/>
      <c r="AG93" s="268"/>
    </row>
    <row r="94" spans="1:33" s="235" customFormat="1" hidden="1" x14ac:dyDescent="0.2">
      <c r="A94" s="233"/>
      <c r="B94" s="233"/>
      <c r="C94" s="233"/>
      <c r="D94" s="233"/>
      <c r="E94" s="233"/>
      <c r="F94" s="233"/>
      <c r="G94" s="233"/>
      <c r="H94" s="233"/>
      <c r="I94" s="233"/>
      <c r="J94" s="233"/>
      <c r="K94" s="233"/>
      <c r="L94" s="233"/>
      <c r="M94" s="233"/>
      <c r="N94" s="233"/>
      <c r="O94" s="233"/>
      <c r="P94" s="233"/>
      <c r="Q94" s="233"/>
      <c r="R94" s="233"/>
      <c r="S94" s="233"/>
      <c r="T94" s="233"/>
      <c r="U94" s="233"/>
      <c r="V94" s="233"/>
      <c r="W94" s="233"/>
      <c r="X94" s="233"/>
      <c r="Y94" s="233"/>
      <c r="Z94" s="233"/>
      <c r="AA94" s="233"/>
      <c r="AB94" s="233"/>
      <c r="AC94" s="233"/>
      <c r="AE94" s="185"/>
      <c r="AF94" s="185"/>
      <c r="AG94" s="268"/>
    </row>
    <row r="95" spans="1:33" s="235" customFormat="1" hidden="1" x14ac:dyDescent="0.2">
      <c r="A95" s="233" t="s">
        <v>541</v>
      </c>
      <c r="B95" s="237">
        <f>(G26+-A93)/-A93</f>
        <v>1.0340943598430758</v>
      </c>
      <c r="C95" s="233"/>
      <c r="D95" s="233">
        <v>1</v>
      </c>
      <c r="E95" s="233"/>
      <c r="F95" s="233"/>
      <c r="G95" s="233"/>
      <c r="H95" s="233"/>
      <c r="I95" s="233"/>
      <c r="J95" s="233"/>
      <c r="K95" s="233"/>
      <c r="L95" s="233"/>
      <c r="M95" s="233"/>
      <c r="N95" s="233"/>
      <c r="O95" s="233"/>
      <c r="P95" s="233"/>
      <c r="Q95" s="233"/>
      <c r="R95" s="233"/>
      <c r="S95" s="233"/>
      <c r="T95" s="233"/>
      <c r="U95" s="233"/>
      <c r="V95" s="233"/>
      <c r="W95" s="233"/>
      <c r="X95" s="233"/>
      <c r="Y95" s="233"/>
      <c r="Z95" s="233"/>
      <c r="AA95" s="233"/>
      <c r="AB95" s="233"/>
      <c r="AC95" s="233"/>
      <c r="AE95" s="185"/>
      <c r="AF95" s="185"/>
      <c r="AG95" s="268"/>
    </row>
    <row r="96" spans="1:33" s="235" customFormat="1" hidden="1" x14ac:dyDescent="0.2">
      <c r="A96" s="233"/>
      <c r="B96" s="233"/>
      <c r="C96" s="233"/>
      <c r="D96" s="233"/>
      <c r="E96" s="233"/>
      <c r="F96" s="233"/>
      <c r="G96" s="233"/>
      <c r="H96" s="233"/>
      <c r="I96" s="233"/>
      <c r="J96" s="233"/>
      <c r="K96" s="233"/>
      <c r="L96" s="233"/>
      <c r="M96" s="233"/>
      <c r="N96" s="233"/>
      <c r="O96" s="233"/>
      <c r="P96" s="233"/>
      <c r="Q96" s="233"/>
      <c r="R96" s="233"/>
      <c r="S96" s="233"/>
      <c r="T96" s="233"/>
      <c r="U96" s="233"/>
      <c r="V96" s="233"/>
      <c r="W96" s="233"/>
      <c r="X96" s="233"/>
      <c r="Y96" s="233"/>
      <c r="Z96" s="233"/>
      <c r="AA96" s="233"/>
      <c r="AB96" s="233"/>
      <c r="AC96" s="233"/>
      <c r="AE96" s="185"/>
      <c r="AF96" s="185"/>
      <c r="AG96" s="268"/>
    </row>
  </sheetData>
  <mergeCells count="15">
    <mergeCell ref="A90:I90"/>
    <mergeCell ref="A5:AR5"/>
    <mergeCell ref="A7:AR7"/>
    <mergeCell ref="A9:AR9"/>
    <mergeCell ref="A10:AR10"/>
    <mergeCell ref="A12:AR12"/>
    <mergeCell ref="A13:AR13"/>
    <mergeCell ref="A15:AR15"/>
    <mergeCell ref="A16:AR16"/>
    <mergeCell ref="A18:AR18"/>
    <mergeCell ref="D24:E24"/>
    <mergeCell ref="D25:E25"/>
    <mergeCell ref="D26:E26"/>
    <mergeCell ref="D27:E27"/>
    <mergeCell ref="A89:AC8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7"/>
  <sheetViews>
    <sheetView view="pageBreakPreview" zoomScale="80" zoomScaleSheetLayoutView="80" workbookViewId="0">
      <selection activeCell="K34" sqref="K34"/>
    </sheetView>
  </sheetViews>
  <sheetFormatPr defaultRowHeight="15.75" x14ac:dyDescent="0.25"/>
  <cols>
    <col min="1" max="1" width="9.140625" style="66"/>
    <col min="2" max="2" width="37.7109375" style="66" customWidth="1"/>
    <col min="3" max="3" width="11.140625" style="66"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288" t="str">
        <f>'1. паспорт местоположение'!A5:C5</f>
        <v>Год раскрытия информации: 2016 год</v>
      </c>
      <c r="B5" s="288"/>
      <c r="C5" s="288"/>
      <c r="D5" s="288"/>
      <c r="E5" s="288"/>
      <c r="F5" s="288"/>
      <c r="G5" s="288"/>
      <c r="H5" s="288"/>
      <c r="I5" s="288"/>
      <c r="J5" s="288"/>
      <c r="K5" s="288"/>
      <c r="L5" s="288"/>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5"/>
    </row>
    <row r="7" spans="1:44" ht="18.75" x14ac:dyDescent="0.25">
      <c r="A7" s="284" t="s">
        <v>10</v>
      </c>
      <c r="B7" s="284"/>
      <c r="C7" s="284"/>
      <c r="D7" s="284"/>
      <c r="E7" s="284"/>
      <c r="F7" s="284"/>
      <c r="G7" s="284"/>
      <c r="H7" s="284"/>
      <c r="I7" s="284"/>
      <c r="J7" s="284"/>
      <c r="K7" s="284"/>
      <c r="L7" s="284"/>
    </row>
    <row r="8" spans="1:44" ht="18.75" x14ac:dyDescent="0.25">
      <c r="A8" s="284"/>
      <c r="B8" s="284"/>
      <c r="C8" s="284"/>
      <c r="D8" s="284"/>
      <c r="E8" s="284"/>
      <c r="F8" s="284"/>
      <c r="G8" s="284"/>
      <c r="H8" s="284"/>
      <c r="I8" s="284"/>
      <c r="J8" s="284"/>
      <c r="K8" s="284"/>
      <c r="L8" s="284"/>
    </row>
    <row r="9" spans="1:44" x14ac:dyDescent="0.25">
      <c r="A9" s="289" t="str">
        <f>'1. паспорт местоположение'!A9:C9</f>
        <v>АО "Янтарьэнерго"</v>
      </c>
      <c r="B9" s="289"/>
      <c r="C9" s="289"/>
      <c r="D9" s="289"/>
      <c r="E9" s="289"/>
      <c r="F9" s="289"/>
      <c r="G9" s="289"/>
      <c r="H9" s="289"/>
      <c r="I9" s="289"/>
      <c r="J9" s="289"/>
      <c r="K9" s="289"/>
      <c r="L9" s="289"/>
    </row>
    <row r="10" spans="1:44" x14ac:dyDescent="0.25">
      <c r="A10" s="281" t="s">
        <v>9</v>
      </c>
      <c r="B10" s="281"/>
      <c r="C10" s="281"/>
      <c r="D10" s="281"/>
      <c r="E10" s="281"/>
      <c r="F10" s="281"/>
      <c r="G10" s="281"/>
      <c r="H10" s="281"/>
      <c r="I10" s="281"/>
      <c r="J10" s="281"/>
      <c r="K10" s="281"/>
      <c r="L10" s="281"/>
    </row>
    <row r="11" spans="1:44" ht="18.75" x14ac:dyDescent="0.25">
      <c r="A11" s="284"/>
      <c r="B11" s="284"/>
      <c r="C11" s="284"/>
      <c r="D11" s="284"/>
      <c r="E11" s="284"/>
      <c r="F11" s="284"/>
      <c r="G11" s="284"/>
      <c r="H11" s="284"/>
      <c r="I11" s="284"/>
      <c r="J11" s="284"/>
      <c r="K11" s="284"/>
      <c r="L11" s="284"/>
    </row>
    <row r="12" spans="1:44" x14ac:dyDescent="0.25">
      <c r="A12" s="289" t="str">
        <f>'1. паспорт местоположение'!A12:C12</f>
        <v>prj_111001_2498</v>
      </c>
      <c r="B12" s="289"/>
      <c r="C12" s="289"/>
      <c r="D12" s="289"/>
      <c r="E12" s="289"/>
      <c r="F12" s="289"/>
      <c r="G12" s="289"/>
      <c r="H12" s="289"/>
      <c r="I12" s="289"/>
      <c r="J12" s="289"/>
      <c r="K12" s="289"/>
      <c r="L12" s="289"/>
    </row>
    <row r="13" spans="1:44" x14ac:dyDescent="0.25">
      <c r="A13" s="281" t="s">
        <v>8</v>
      </c>
      <c r="B13" s="281"/>
      <c r="C13" s="281"/>
      <c r="D13" s="281"/>
      <c r="E13" s="281"/>
      <c r="F13" s="281"/>
      <c r="G13" s="281"/>
      <c r="H13" s="281"/>
      <c r="I13" s="281"/>
      <c r="J13" s="281"/>
      <c r="K13" s="281"/>
      <c r="L13" s="281"/>
    </row>
    <row r="14" spans="1:44" ht="18.75" x14ac:dyDescent="0.25">
      <c r="A14" s="293"/>
      <c r="B14" s="293"/>
      <c r="C14" s="293"/>
      <c r="D14" s="293"/>
      <c r="E14" s="293"/>
      <c r="F14" s="293"/>
      <c r="G14" s="293"/>
      <c r="H14" s="293"/>
      <c r="I14" s="293"/>
      <c r="J14" s="293"/>
      <c r="K14" s="293"/>
      <c r="L14" s="293"/>
    </row>
    <row r="15" spans="1:44" x14ac:dyDescent="0.25">
      <c r="A15" s="289" t="str">
        <f>'1. паспорт местоположение'!A15:C15</f>
        <v>Строительство ПС 110/10кВ Береговая с заходами 4-х КЛ 110 кВ от ПС 110 кВ Береговая на ВЛ 110 кВ № 115/116 (ПС Центральная - ПС Московская/ ПС Центральная - ПС Северная), г. Калининград</v>
      </c>
      <c r="B15" s="289"/>
      <c r="C15" s="289"/>
      <c r="D15" s="289"/>
      <c r="E15" s="289"/>
      <c r="F15" s="289"/>
      <c r="G15" s="289"/>
      <c r="H15" s="289"/>
      <c r="I15" s="289"/>
      <c r="J15" s="289"/>
      <c r="K15" s="289"/>
      <c r="L15" s="289"/>
    </row>
    <row r="16" spans="1:44" x14ac:dyDescent="0.25">
      <c r="A16" s="281" t="s">
        <v>7</v>
      </c>
      <c r="B16" s="281"/>
      <c r="C16" s="281"/>
      <c r="D16" s="281"/>
      <c r="E16" s="281"/>
      <c r="F16" s="281"/>
      <c r="G16" s="281"/>
      <c r="H16" s="281"/>
      <c r="I16" s="281"/>
      <c r="J16" s="281"/>
      <c r="K16" s="281"/>
      <c r="L16" s="281"/>
    </row>
    <row r="17" spans="1:12" ht="15.75" customHeight="1" x14ac:dyDescent="0.25">
      <c r="L17" s="99"/>
    </row>
    <row r="18" spans="1:12" x14ac:dyDescent="0.25">
      <c r="K18" s="98"/>
    </row>
    <row r="19" spans="1:12" ht="15.75" customHeight="1" x14ac:dyDescent="0.25">
      <c r="A19" s="343" t="s">
        <v>458</v>
      </c>
      <c r="B19" s="343"/>
      <c r="C19" s="343"/>
      <c r="D19" s="343"/>
      <c r="E19" s="343"/>
      <c r="F19" s="343"/>
      <c r="G19" s="343"/>
      <c r="H19" s="343"/>
      <c r="I19" s="343"/>
      <c r="J19" s="343"/>
      <c r="K19" s="343"/>
      <c r="L19" s="343"/>
    </row>
    <row r="20" spans="1:12" x14ac:dyDescent="0.25">
      <c r="A20" s="70"/>
      <c r="B20" s="70"/>
      <c r="C20" s="97"/>
      <c r="D20" s="97"/>
      <c r="E20" s="97"/>
      <c r="F20" s="97"/>
      <c r="G20" s="97"/>
      <c r="H20" s="97"/>
      <c r="I20" s="97"/>
      <c r="J20" s="97"/>
      <c r="K20" s="97"/>
      <c r="L20" s="97"/>
    </row>
    <row r="21" spans="1:12" ht="28.5" customHeight="1" x14ac:dyDescent="0.25">
      <c r="A21" s="333" t="s">
        <v>220</v>
      </c>
      <c r="B21" s="333" t="s">
        <v>219</v>
      </c>
      <c r="C21" s="339" t="s">
        <v>414</v>
      </c>
      <c r="D21" s="339"/>
      <c r="E21" s="339"/>
      <c r="F21" s="339"/>
      <c r="G21" s="339"/>
      <c r="H21" s="339"/>
      <c r="I21" s="334" t="s">
        <v>218</v>
      </c>
      <c r="J21" s="336" t="s">
        <v>416</v>
      </c>
      <c r="K21" s="333" t="s">
        <v>217</v>
      </c>
      <c r="L21" s="335" t="s">
        <v>415</v>
      </c>
    </row>
    <row r="22" spans="1:12" ht="58.5" customHeight="1" x14ac:dyDescent="0.25">
      <c r="A22" s="333"/>
      <c r="B22" s="333"/>
      <c r="C22" s="340" t="s">
        <v>3</v>
      </c>
      <c r="D22" s="340"/>
      <c r="E22" s="151"/>
      <c r="F22" s="152"/>
      <c r="G22" s="341" t="s">
        <v>2</v>
      </c>
      <c r="H22" s="342"/>
      <c r="I22" s="334"/>
      <c r="J22" s="337"/>
      <c r="K22" s="333"/>
      <c r="L22" s="335"/>
    </row>
    <row r="23" spans="1:12" ht="47.25" x14ac:dyDescent="0.25">
      <c r="A23" s="333"/>
      <c r="B23" s="333"/>
      <c r="C23" s="96" t="s">
        <v>216</v>
      </c>
      <c r="D23" s="96" t="s">
        <v>215</v>
      </c>
      <c r="E23" s="96" t="s">
        <v>216</v>
      </c>
      <c r="F23" s="96" t="s">
        <v>215</v>
      </c>
      <c r="G23" s="96" t="s">
        <v>216</v>
      </c>
      <c r="H23" s="96" t="s">
        <v>215</v>
      </c>
      <c r="I23" s="334"/>
      <c r="J23" s="338"/>
      <c r="K23" s="333"/>
      <c r="L23" s="335"/>
    </row>
    <row r="24" spans="1:12" x14ac:dyDescent="0.25">
      <c r="A24" s="77">
        <v>1</v>
      </c>
      <c r="B24" s="77">
        <v>2</v>
      </c>
      <c r="C24" s="96">
        <v>3</v>
      </c>
      <c r="D24" s="96">
        <v>4</v>
      </c>
      <c r="E24" s="96">
        <v>5</v>
      </c>
      <c r="F24" s="96">
        <v>6</v>
      </c>
      <c r="G24" s="96">
        <v>7</v>
      </c>
      <c r="H24" s="96">
        <v>8</v>
      </c>
      <c r="I24" s="96">
        <v>9</v>
      </c>
      <c r="J24" s="96">
        <v>10</v>
      </c>
      <c r="K24" s="96">
        <v>11</v>
      </c>
      <c r="L24" s="96">
        <v>12</v>
      </c>
    </row>
    <row r="25" spans="1:12" s="73" customFormat="1" x14ac:dyDescent="0.25">
      <c r="A25" s="394">
        <v>1</v>
      </c>
      <c r="B25" s="395" t="s">
        <v>214</v>
      </c>
      <c r="C25" s="274" t="s">
        <v>505</v>
      </c>
      <c r="D25" s="274" t="s">
        <v>505</v>
      </c>
      <c r="E25" s="95"/>
      <c r="F25" s="95"/>
      <c r="G25" s="95"/>
      <c r="H25" s="95"/>
      <c r="I25" s="95"/>
      <c r="J25" s="95"/>
      <c r="K25" s="91"/>
      <c r="L25" s="91"/>
    </row>
    <row r="26" spans="1:12" s="73" customFormat="1" x14ac:dyDescent="0.25">
      <c r="A26" s="396">
        <v>1.1000000000000001</v>
      </c>
      <c r="B26" s="397" t="s">
        <v>494</v>
      </c>
      <c r="C26" s="273"/>
      <c r="D26" s="273"/>
      <c r="E26" s="95"/>
      <c r="F26" s="95"/>
      <c r="G26" s="95"/>
      <c r="H26" s="95"/>
      <c r="I26" s="95"/>
      <c r="J26" s="95"/>
      <c r="K26" s="91"/>
      <c r="L26" s="91"/>
    </row>
    <row r="27" spans="1:12" s="73" customFormat="1" x14ac:dyDescent="0.25">
      <c r="A27" s="396">
        <v>1.2</v>
      </c>
      <c r="B27" s="397" t="s">
        <v>495</v>
      </c>
      <c r="C27" s="273"/>
      <c r="D27" s="273"/>
      <c r="E27" s="95"/>
      <c r="F27" s="95"/>
      <c r="G27" s="95"/>
      <c r="H27" s="95"/>
      <c r="I27" s="95"/>
      <c r="J27" s="95"/>
      <c r="K27" s="91"/>
      <c r="L27" s="91"/>
    </row>
    <row r="28" spans="1:12" s="73" customFormat="1" ht="31.5" x14ac:dyDescent="0.25">
      <c r="A28" s="396">
        <v>1.3</v>
      </c>
      <c r="B28" s="397" t="s">
        <v>496</v>
      </c>
      <c r="C28" s="273" t="s">
        <v>506</v>
      </c>
      <c r="D28" s="273" t="s">
        <v>507</v>
      </c>
      <c r="E28" s="95"/>
      <c r="F28" s="95"/>
      <c r="G28" s="273" t="s">
        <v>506</v>
      </c>
      <c r="H28" s="273" t="s">
        <v>507</v>
      </c>
      <c r="I28" s="401">
        <v>100</v>
      </c>
      <c r="J28" s="401"/>
      <c r="K28" s="91"/>
      <c r="L28" s="91"/>
    </row>
    <row r="29" spans="1:12" s="73" customFormat="1" ht="63" x14ac:dyDescent="0.25">
      <c r="A29" s="396">
        <v>1.4</v>
      </c>
      <c r="B29" s="397" t="s">
        <v>497</v>
      </c>
      <c r="C29" s="273" t="s">
        <v>508</v>
      </c>
      <c r="D29" s="273" t="s">
        <v>555</v>
      </c>
      <c r="E29" s="95"/>
      <c r="F29" s="95"/>
      <c r="G29" s="273" t="s">
        <v>508</v>
      </c>
      <c r="H29" s="273" t="s">
        <v>555</v>
      </c>
      <c r="I29" s="401">
        <v>100</v>
      </c>
      <c r="J29" s="401"/>
      <c r="K29" s="91"/>
      <c r="L29" s="91"/>
    </row>
    <row r="30" spans="1:12" s="73" customFormat="1" ht="31.5" x14ac:dyDescent="0.25">
      <c r="A30" s="396">
        <v>1.5</v>
      </c>
      <c r="B30" s="397" t="s">
        <v>213</v>
      </c>
      <c r="C30" s="273" t="s">
        <v>510</v>
      </c>
      <c r="D30" s="273" t="s">
        <v>509</v>
      </c>
      <c r="E30" s="94"/>
      <c r="F30" s="94"/>
      <c r="G30" s="273" t="s">
        <v>510</v>
      </c>
      <c r="H30" s="273" t="s">
        <v>509</v>
      </c>
      <c r="I30" s="401">
        <v>100</v>
      </c>
      <c r="J30" s="401"/>
      <c r="K30" s="94"/>
      <c r="L30" s="91"/>
    </row>
    <row r="31" spans="1:12" s="73" customFormat="1" x14ac:dyDescent="0.25">
      <c r="A31" s="396">
        <v>1.6</v>
      </c>
      <c r="B31" s="397" t="s">
        <v>212</v>
      </c>
      <c r="C31" s="273">
        <v>42109</v>
      </c>
      <c r="D31" s="273">
        <v>42368</v>
      </c>
      <c r="E31" s="94"/>
      <c r="F31" s="94"/>
      <c r="G31" s="273">
        <v>42109</v>
      </c>
      <c r="H31" s="402">
        <v>42368</v>
      </c>
      <c r="I31" s="401">
        <v>100</v>
      </c>
      <c r="J31" s="401"/>
      <c r="K31" s="94"/>
      <c r="L31" s="91"/>
    </row>
    <row r="32" spans="1:12" x14ac:dyDescent="0.25">
      <c r="A32" s="396">
        <v>2</v>
      </c>
      <c r="B32" s="395" t="s">
        <v>211</v>
      </c>
      <c r="C32" s="274" t="s">
        <v>505</v>
      </c>
      <c r="D32" s="274" t="s">
        <v>505</v>
      </c>
      <c r="E32" s="93"/>
      <c r="F32" s="92"/>
      <c r="G32" s="274"/>
      <c r="H32" s="274"/>
      <c r="I32" s="403" t="s">
        <v>505</v>
      </c>
      <c r="J32" s="404"/>
      <c r="K32" s="91"/>
      <c r="L32" s="91"/>
    </row>
    <row r="33" spans="1:12" ht="31.5" x14ac:dyDescent="0.25">
      <c r="A33" s="396">
        <v>2.1</v>
      </c>
      <c r="B33" s="397" t="s">
        <v>498</v>
      </c>
      <c r="C33" s="273" t="s">
        <v>511</v>
      </c>
      <c r="D33" s="273" t="s">
        <v>512</v>
      </c>
      <c r="E33" s="93"/>
      <c r="F33" s="92"/>
      <c r="G33" s="273" t="s">
        <v>511</v>
      </c>
      <c r="H33" s="273" t="s">
        <v>512</v>
      </c>
      <c r="I33" s="401">
        <v>100</v>
      </c>
      <c r="J33" s="401"/>
      <c r="K33" s="91"/>
      <c r="L33" s="91"/>
    </row>
    <row r="34" spans="1:12" ht="63" x14ac:dyDescent="0.25">
      <c r="A34" s="396">
        <v>2.2000000000000002</v>
      </c>
      <c r="B34" s="397" t="s">
        <v>499</v>
      </c>
      <c r="C34" s="273">
        <v>41640</v>
      </c>
      <c r="D34" s="273">
        <v>42339</v>
      </c>
      <c r="E34" s="91"/>
      <c r="F34" s="91"/>
      <c r="G34" s="273">
        <v>41640</v>
      </c>
      <c r="H34" s="273">
        <v>42339</v>
      </c>
      <c r="I34" s="401">
        <v>100</v>
      </c>
      <c r="J34" s="401"/>
      <c r="K34" s="91"/>
      <c r="L34" s="91"/>
    </row>
    <row r="35" spans="1:12" ht="31.5" x14ac:dyDescent="0.25">
      <c r="A35" s="396">
        <v>2.2999999999999998</v>
      </c>
      <c r="B35" s="397" t="s">
        <v>500</v>
      </c>
      <c r="C35" s="273"/>
      <c r="D35" s="273"/>
      <c r="E35" s="91"/>
      <c r="F35" s="91"/>
      <c r="G35" s="273"/>
      <c r="H35" s="273"/>
      <c r="I35" s="401"/>
      <c r="J35" s="405"/>
      <c r="K35" s="91"/>
      <c r="L35" s="91"/>
    </row>
    <row r="36" spans="1:12" ht="47.25" x14ac:dyDescent="0.25">
      <c r="A36" s="396">
        <v>3</v>
      </c>
      <c r="B36" s="395" t="s">
        <v>501</v>
      </c>
      <c r="C36" s="274" t="s">
        <v>505</v>
      </c>
      <c r="D36" s="274" t="s">
        <v>505</v>
      </c>
      <c r="E36" s="91"/>
      <c r="F36" s="91"/>
      <c r="G36" s="274"/>
      <c r="H36" s="274"/>
      <c r="I36" s="403" t="s">
        <v>505</v>
      </c>
      <c r="J36" s="404"/>
      <c r="K36" s="91"/>
      <c r="L36" s="91"/>
    </row>
    <row r="37" spans="1:12" ht="31.5" x14ac:dyDescent="0.25">
      <c r="A37" s="396">
        <v>3.1</v>
      </c>
      <c r="B37" s="397" t="s">
        <v>502</v>
      </c>
      <c r="C37" s="273" t="s">
        <v>513</v>
      </c>
      <c r="D37" s="273">
        <v>42217</v>
      </c>
      <c r="E37" s="91"/>
      <c r="F37" s="91"/>
      <c r="G37" s="273" t="s">
        <v>513</v>
      </c>
      <c r="H37" s="273">
        <v>42217</v>
      </c>
      <c r="I37" s="401">
        <v>100</v>
      </c>
      <c r="J37" s="401"/>
      <c r="K37" s="91"/>
      <c r="L37" s="91"/>
    </row>
    <row r="38" spans="1:12" x14ac:dyDescent="0.25">
      <c r="A38" s="396">
        <v>3.2</v>
      </c>
      <c r="B38" s="397" t="s">
        <v>210</v>
      </c>
      <c r="C38" s="273">
        <v>42384</v>
      </c>
      <c r="D38" s="273">
        <v>42552</v>
      </c>
      <c r="E38" s="91"/>
      <c r="F38" s="91"/>
      <c r="G38" s="273">
        <v>42384</v>
      </c>
      <c r="H38" s="273"/>
      <c r="I38" s="401"/>
      <c r="J38" s="405">
        <v>2</v>
      </c>
      <c r="K38" s="91"/>
      <c r="L38" s="91"/>
    </row>
    <row r="39" spans="1:12" x14ac:dyDescent="0.25">
      <c r="A39" s="396">
        <v>3.3</v>
      </c>
      <c r="B39" s="397" t="s">
        <v>209</v>
      </c>
      <c r="C39" s="273">
        <v>42370</v>
      </c>
      <c r="D39" s="273">
        <v>42826</v>
      </c>
      <c r="E39" s="91"/>
      <c r="F39" s="91"/>
      <c r="G39" s="273">
        <v>42370</v>
      </c>
      <c r="H39" s="273"/>
      <c r="I39" s="401"/>
      <c r="J39" s="405">
        <v>2</v>
      </c>
      <c r="K39" s="91"/>
      <c r="L39" s="91"/>
    </row>
    <row r="40" spans="1:12" ht="31.5" x14ac:dyDescent="0.25">
      <c r="A40" s="396">
        <v>3.4</v>
      </c>
      <c r="B40" s="397" t="s">
        <v>208</v>
      </c>
      <c r="C40" s="273" t="s">
        <v>565</v>
      </c>
      <c r="D40" s="273">
        <v>42887</v>
      </c>
      <c r="E40" s="91"/>
      <c r="F40" s="91"/>
      <c r="G40" s="91"/>
      <c r="H40" s="91"/>
      <c r="I40" s="91"/>
      <c r="J40" s="91"/>
      <c r="K40" s="91"/>
      <c r="L40" s="91"/>
    </row>
    <row r="41" spans="1:12" x14ac:dyDescent="0.25">
      <c r="A41" s="396">
        <v>3.5</v>
      </c>
      <c r="B41" s="397" t="s">
        <v>503</v>
      </c>
      <c r="C41" s="273">
        <v>42856</v>
      </c>
      <c r="D41" s="273">
        <v>42887</v>
      </c>
      <c r="E41" s="91"/>
      <c r="F41" s="91"/>
      <c r="G41" s="91"/>
      <c r="H41" s="91"/>
      <c r="I41" s="91"/>
      <c r="J41" s="91"/>
      <c r="K41" s="91"/>
      <c r="L41" s="91"/>
    </row>
    <row r="42" spans="1:12" ht="31.5" x14ac:dyDescent="0.25">
      <c r="A42" s="396">
        <v>4</v>
      </c>
      <c r="B42" s="395" t="s">
        <v>207</v>
      </c>
      <c r="C42" s="274" t="s">
        <v>505</v>
      </c>
      <c r="D42" s="274" t="s">
        <v>505</v>
      </c>
      <c r="E42" s="91"/>
      <c r="F42" s="91"/>
      <c r="G42" s="91"/>
      <c r="H42" s="91"/>
      <c r="I42" s="91"/>
      <c r="J42" s="91"/>
      <c r="K42" s="91"/>
      <c r="L42" s="91"/>
    </row>
    <row r="43" spans="1:12" ht="31.5" x14ac:dyDescent="0.25">
      <c r="A43" s="396">
        <v>4.0999999999999996</v>
      </c>
      <c r="B43" s="397" t="s">
        <v>206</v>
      </c>
      <c r="C43" s="273">
        <v>42856</v>
      </c>
      <c r="D43" s="273">
        <v>42887</v>
      </c>
      <c r="E43" s="91"/>
      <c r="F43" s="91"/>
      <c r="G43" s="91"/>
      <c r="H43" s="91"/>
      <c r="I43" s="91"/>
      <c r="J43" s="91"/>
      <c r="K43" s="91"/>
      <c r="L43" s="91"/>
    </row>
    <row r="44" spans="1:12" ht="63" x14ac:dyDescent="0.25">
      <c r="A44" s="396">
        <v>4.2</v>
      </c>
      <c r="B44" s="397" t="s">
        <v>205</v>
      </c>
      <c r="C44" s="273">
        <v>42856</v>
      </c>
      <c r="D44" s="273">
        <v>42916</v>
      </c>
      <c r="E44" s="91"/>
      <c r="F44" s="91"/>
      <c r="G44" s="91"/>
      <c r="H44" s="91"/>
      <c r="I44" s="91"/>
      <c r="J44" s="91"/>
      <c r="K44" s="91"/>
      <c r="L44" s="91"/>
    </row>
    <row r="45" spans="1:12" ht="31.5" x14ac:dyDescent="0.25">
      <c r="A45" s="396">
        <v>4.3</v>
      </c>
      <c r="B45" s="397" t="s">
        <v>204</v>
      </c>
      <c r="C45" s="273">
        <v>42856</v>
      </c>
      <c r="D45" s="273">
        <v>42916</v>
      </c>
      <c r="E45" s="91"/>
      <c r="F45" s="91"/>
      <c r="G45" s="91"/>
      <c r="H45" s="91"/>
      <c r="I45" s="91"/>
      <c r="J45" s="91"/>
      <c r="K45" s="91"/>
      <c r="L45" s="91"/>
    </row>
    <row r="46" spans="1:12" ht="32.25" thickBot="1" x14ac:dyDescent="0.3">
      <c r="A46" s="398">
        <v>4.4000000000000004</v>
      </c>
      <c r="B46" s="399" t="s">
        <v>504</v>
      </c>
      <c r="C46" s="400">
        <v>42856</v>
      </c>
      <c r="D46" s="400">
        <v>42916</v>
      </c>
      <c r="E46" s="91"/>
      <c r="F46" s="91"/>
      <c r="G46" s="91"/>
      <c r="H46" s="91"/>
      <c r="I46" s="91"/>
      <c r="J46" s="91"/>
      <c r="K46" s="91"/>
      <c r="L46" s="91"/>
    </row>
    <row r="47" spans="1:12" x14ac:dyDescent="0.25">
      <c r="A47" s="17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2016-05-05T14:48:05Z</dcterms:modified>
</cp:coreProperties>
</file>