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закупке'!$A$1:$AV$26</definedName>
    <definedName name="_xlnm.Print_Area" localSheetId="11">'8. Общие сведения'!$A$1:$B$106</definedName>
  </definedNames>
  <calcPr calcId="152511"/>
</workbook>
</file>

<file path=xl/calcChain.xml><?xml version="1.0" encoding="utf-8"?>
<calcChain xmlns="http://schemas.openxmlformats.org/spreadsheetml/2006/main">
  <c r="I30" i="23" l="1"/>
  <c r="J30" i="23"/>
  <c r="J24" i="23"/>
  <c r="AB31" i="23"/>
  <c r="AB32" i="23"/>
  <c r="H30" i="23"/>
  <c r="B83" i="25" l="1"/>
  <c r="B81" i="25"/>
  <c r="B58" i="25"/>
  <c r="B41" i="25"/>
  <c r="B32" i="25"/>
  <c r="B30" i="25" l="1"/>
  <c r="B21" i="25"/>
  <c r="A15" i="25"/>
  <c r="A12" i="25"/>
  <c r="A9" i="25"/>
  <c r="A5" i="25"/>
  <c r="AD26" i="5" l="1"/>
  <c r="AE26" i="5" s="1"/>
  <c r="G29" i="23" l="1"/>
  <c r="G28" i="23"/>
  <c r="A14" i="23"/>
  <c r="A11" i="23"/>
  <c r="A8" i="23"/>
  <c r="A15" i="24"/>
  <c r="A12" i="24"/>
  <c r="A9" i="24"/>
  <c r="B140" i="24"/>
  <c r="C140" i="24" s="1"/>
  <c r="C141" i="24" s="1"/>
  <c r="C73"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D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B73" i="24"/>
  <c r="A62" i="24"/>
  <c r="B60" i="24"/>
  <c r="C58" i="24"/>
  <c r="C74" i="24" s="1"/>
  <c r="B52" i="24"/>
  <c r="B50" i="24"/>
  <c r="B59" i="24" s="1"/>
  <c r="C49" i="24"/>
  <c r="B49" i="24"/>
  <c r="H48" i="24"/>
  <c r="G48" i="24"/>
  <c r="F48" i="24"/>
  <c r="E48" i="24"/>
  <c r="D48" i="24"/>
  <c r="C48" i="24"/>
  <c r="B48" i="24"/>
  <c r="B47" i="24"/>
  <c r="B45" i="24"/>
  <c r="B46" i="24" s="1"/>
  <c r="B44" i="24"/>
  <c r="B29" i="24"/>
  <c r="B27" i="24"/>
  <c r="B25" i="24"/>
  <c r="B54" i="24" s="1"/>
  <c r="B55" i="24" s="1"/>
  <c r="B56" i="24" s="1"/>
  <c r="B69" i="24" s="1"/>
  <c r="B77" i="24" s="1"/>
  <c r="A7" i="24"/>
  <c r="A5" i="24"/>
  <c r="D140" i="24" l="1"/>
  <c r="I118" i="24"/>
  <c r="I120" i="24" s="1"/>
  <c r="C109" i="24" s="1"/>
  <c r="D109" i="24" s="1"/>
  <c r="D108" i="24" s="1"/>
  <c r="D50" i="24" s="1"/>
  <c r="D59" i="24" s="1"/>
  <c r="D80" i="24" s="1"/>
  <c r="C67" i="24"/>
  <c r="C108" i="24"/>
  <c r="C50" i="24" s="1"/>
  <c r="C59" i="24" s="1"/>
  <c r="C80" i="24" s="1"/>
  <c r="E109" i="24"/>
  <c r="E108" i="24" s="1"/>
  <c r="F76" i="24"/>
  <c r="D67" i="24"/>
  <c r="C76" i="24"/>
  <c r="AQ81" i="24"/>
  <c r="F109" i="24"/>
  <c r="K136" i="24"/>
  <c r="J48" i="24"/>
  <c r="E140" i="24"/>
  <c r="E141" i="24" s="1"/>
  <c r="E73" i="24" s="1"/>
  <c r="E85" i="24" s="1"/>
  <c r="E99" i="24" s="1"/>
  <c r="B82" i="24"/>
  <c r="C53" i="24"/>
  <c r="I48" i="24"/>
  <c r="D58" i="24"/>
  <c r="C52" i="24"/>
  <c r="C47" i="24"/>
  <c r="C61" i="24" s="1"/>
  <c r="C60" i="24" s="1"/>
  <c r="C66" i="24" s="1"/>
  <c r="C68" i="24" s="1"/>
  <c r="B80" i="24"/>
  <c r="B66" i="24"/>
  <c r="B68" i="24" s="1"/>
  <c r="B79" i="24"/>
  <c r="B85" i="24"/>
  <c r="B99" i="24" s="1"/>
  <c r="C85" i="24"/>
  <c r="C99" i="24" s="1"/>
  <c r="E137" i="24"/>
  <c r="D141" i="24"/>
  <c r="D73" i="24" s="1"/>
  <c r="D85" i="24" s="1"/>
  <c r="D99" i="24" s="1"/>
  <c r="F137" i="24" l="1"/>
  <c r="E49" i="24"/>
  <c r="E50" i="24" s="1"/>
  <c r="E59" i="24" s="1"/>
  <c r="B70" i="24"/>
  <c r="B75" i="24"/>
  <c r="C75" i="24"/>
  <c r="D74" i="24"/>
  <c r="E58" i="24"/>
  <c r="D52" i="24"/>
  <c r="D47" i="24"/>
  <c r="D61" i="24" s="1"/>
  <c r="D60" i="24" s="1"/>
  <c r="D66" i="24" s="1"/>
  <c r="D68" i="24" s="1"/>
  <c r="C55" i="24"/>
  <c r="D53" i="24" s="1"/>
  <c r="D76" i="24"/>
  <c r="E67" i="24"/>
  <c r="C79" i="24"/>
  <c r="D79" i="24" s="1"/>
  <c r="F140" i="24"/>
  <c r="F141" i="24" s="1"/>
  <c r="F73" i="24" s="1"/>
  <c r="F85" i="24" s="1"/>
  <c r="F99" i="24" s="1"/>
  <c r="L136" i="24"/>
  <c r="K48" i="24"/>
  <c r="F108" i="24"/>
  <c r="G109" i="24"/>
  <c r="E80" i="24" l="1"/>
  <c r="M136" i="24"/>
  <c r="L48" i="24"/>
  <c r="F67" i="24"/>
  <c r="E76" i="24"/>
  <c r="D55" i="24"/>
  <c r="E53" i="24" s="1"/>
  <c r="D75" i="24"/>
  <c r="F58" i="24"/>
  <c r="E52" i="24"/>
  <c r="E47" i="24"/>
  <c r="E61" i="24" s="1"/>
  <c r="E60" i="24" s="1"/>
  <c r="E66" i="24" s="1"/>
  <c r="E68" i="24" s="1"/>
  <c r="E74" i="24"/>
  <c r="H109" i="24"/>
  <c r="G108" i="24"/>
  <c r="G140" i="24"/>
  <c r="C82" i="24"/>
  <c r="C56" i="24"/>
  <c r="C69" i="24" s="1"/>
  <c r="B71" i="24"/>
  <c r="G137" i="24"/>
  <c r="F49" i="24"/>
  <c r="F50" i="24" s="1"/>
  <c r="F59" i="24" s="1"/>
  <c r="E75" i="24" l="1"/>
  <c r="F80" i="24"/>
  <c r="B78" i="24"/>
  <c r="B83" i="24" s="1"/>
  <c r="H140" i="24"/>
  <c r="H141" i="24" s="1"/>
  <c r="H73" i="24" s="1"/>
  <c r="H85" i="24" s="1"/>
  <c r="H99" i="24" s="1"/>
  <c r="H108" i="24"/>
  <c r="I109" i="24"/>
  <c r="F74" i="24"/>
  <c r="G58" i="24"/>
  <c r="F52" i="24"/>
  <c r="F47" i="24"/>
  <c r="F61" i="24" s="1"/>
  <c r="F60" i="24" s="1"/>
  <c r="F66" i="24" s="1"/>
  <c r="F68" i="24" s="1"/>
  <c r="E55" i="24"/>
  <c r="G67" i="24"/>
  <c r="N136" i="24"/>
  <c r="M48" i="24"/>
  <c r="E79" i="24"/>
  <c r="H137" i="24"/>
  <c r="G49" i="24"/>
  <c r="B72" i="24"/>
  <c r="C77" i="24"/>
  <c r="C70" i="24"/>
  <c r="G141" i="24"/>
  <c r="G73" i="24" s="1"/>
  <c r="G85" i="24" s="1"/>
  <c r="G99" i="24" s="1"/>
  <c r="G50" i="24"/>
  <c r="G59" i="24" s="1"/>
  <c r="D56" i="24"/>
  <c r="D69" i="24" s="1"/>
  <c r="D82" i="24"/>
  <c r="F75" i="24" l="1"/>
  <c r="G80" i="24"/>
  <c r="C71" i="24"/>
  <c r="I137" i="24"/>
  <c r="H49" i="24"/>
  <c r="H67" i="24"/>
  <c r="G76" i="24"/>
  <c r="E82" i="24"/>
  <c r="E56" i="24"/>
  <c r="E69" i="24" s="1"/>
  <c r="H50" i="24"/>
  <c r="H59" i="24" s="1"/>
  <c r="D77" i="24"/>
  <c r="D70" i="24"/>
  <c r="O136" i="24"/>
  <c r="N48" i="24"/>
  <c r="F53" i="24"/>
  <c r="H58" i="24"/>
  <c r="G52" i="24"/>
  <c r="G47" i="24"/>
  <c r="G61" i="24" s="1"/>
  <c r="G60" i="24" s="1"/>
  <c r="G66" i="24" s="1"/>
  <c r="G68" i="24" s="1"/>
  <c r="G74" i="24"/>
  <c r="J109" i="24"/>
  <c r="I108" i="24"/>
  <c r="I140" i="24"/>
  <c r="B86" i="24"/>
  <c r="B84" i="24"/>
  <c r="B89" i="24" s="1"/>
  <c r="B88" i="24"/>
  <c r="F79" i="24"/>
  <c r="G79" i="24"/>
  <c r="G75" i="24" l="1"/>
  <c r="B87" i="24"/>
  <c r="B90" i="24" s="1"/>
  <c r="J140" i="24"/>
  <c r="J108" i="24"/>
  <c r="K109" i="24"/>
  <c r="H74" i="24"/>
  <c r="I58" i="24"/>
  <c r="H52" i="24"/>
  <c r="H47" i="24"/>
  <c r="H61" i="24" s="1"/>
  <c r="H60" i="24" s="1"/>
  <c r="P136" i="24"/>
  <c r="O48" i="24"/>
  <c r="D71" i="24"/>
  <c r="D72" i="24" s="1"/>
  <c r="H80" i="24"/>
  <c r="H66" i="24"/>
  <c r="H68" i="24" s="1"/>
  <c r="H76" i="24"/>
  <c r="I67" i="24"/>
  <c r="I49" i="24"/>
  <c r="I50" i="24" s="1"/>
  <c r="I59" i="24" s="1"/>
  <c r="J137" i="24"/>
  <c r="C78" i="24"/>
  <c r="C83" i="24" s="1"/>
  <c r="H79" i="24"/>
  <c r="I141" i="24"/>
  <c r="I73" i="24" s="1"/>
  <c r="I85" i="24" s="1"/>
  <c r="I99" i="24" s="1"/>
  <c r="F55" i="24"/>
  <c r="G53" i="24" s="1"/>
  <c r="E77" i="24"/>
  <c r="E70" i="24"/>
  <c r="C72" i="24"/>
  <c r="I80" i="24" l="1"/>
  <c r="E71" i="24"/>
  <c r="G55" i="24"/>
  <c r="C86" i="24"/>
  <c r="C88" i="24"/>
  <c r="C84" i="24"/>
  <c r="C89" i="24" s="1"/>
  <c r="J67" i="24"/>
  <c r="I76" i="24"/>
  <c r="H75" i="24"/>
  <c r="J58" i="24"/>
  <c r="I52" i="24"/>
  <c r="I47" i="24"/>
  <c r="I61" i="24" s="1"/>
  <c r="I60" i="24" s="1"/>
  <c r="I66" i="24" s="1"/>
  <c r="I68" i="24" s="1"/>
  <c r="I74" i="24"/>
  <c r="L109" i="24"/>
  <c r="K108" i="24"/>
  <c r="K140" i="24"/>
  <c r="F82" i="24"/>
  <c r="F56" i="24"/>
  <c r="F69" i="24" s="1"/>
  <c r="D78" i="24"/>
  <c r="D83" i="24" s="1"/>
  <c r="D86" i="24" s="1"/>
  <c r="K137" i="24"/>
  <c r="J49" i="24"/>
  <c r="J50" i="24" s="1"/>
  <c r="J59" i="24" s="1"/>
  <c r="P48" i="24"/>
  <c r="Q136" i="24"/>
  <c r="J141" i="24"/>
  <c r="J73" i="24" s="1"/>
  <c r="J85" i="24" s="1"/>
  <c r="J99" i="24" s="1"/>
  <c r="I75" i="24" l="1"/>
  <c r="J80" i="24"/>
  <c r="F77" i="24"/>
  <c r="F70" i="24"/>
  <c r="L140" i="24"/>
  <c r="L141" i="24" s="1"/>
  <c r="L73" i="24" s="1"/>
  <c r="L85" i="24" s="1"/>
  <c r="L99" i="24" s="1"/>
  <c r="L108" i="24"/>
  <c r="M109" i="24"/>
  <c r="J74" i="24"/>
  <c r="K58" i="24"/>
  <c r="J52" i="24"/>
  <c r="J47" i="24"/>
  <c r="J61" i="24" s="1"/>
  <c r="J60" i="24" s="1"/>
  <c r="J66" i="24" s="1"/>
  <c r="J68" i="24" s="1"/>
  <c r="D87" i="24"/>
  <c r="C87" i="24"/>
  <c r="C90" i="24" s="1"/>
  <c r="G82" i="24"/>
  <c r="G56" i="24"/>
  <c r="G69" i="24" s="1"/>
  <c r="R136" i="24"/>
  <c r="Q48" i="24"/>
  <c r="L137" i="24"/>
  <c r="K49" i="24"/>
  <c r="K50" i="24" s="1"/>
  <c r="K59" i="24" s="1"/>
  <c r="E78" i="24"/>
  <c r="E83" i="24" s="1"/>
  <c r="E86" i="24" s="1"/>
  <c r="K141" i="24"/>
  <c r="K73" i="24" s="1"/>
  <c r="K85" i="24" s="1"/>
  <c r="K99" i="24" s="1"/>
  <c r="J76" i="24"/>
  <c r="K67" i="24"/>
  <c r="D84" i="24"/>
  <c r="D89" i="24" s="1"/>
  <c r="E84" i="24"/>
  <c r="D88" i="24"/>
  <c r="H53" i="24"/>
  <c r="E72" i="24"/>
  <c r="I79" i="24"/>
  <c r="J79" i="24" s="1"/>
  <c r="E89" i="24" l="1"/>
  <c r="E88" i="24"/>
  <c r="J75" i="24"/>
  <c r="I53" i="24"/>
  <c r="H55" i="24"/>
  <c r="K80" i="24"/>
  <c r="G77" i="24"/>
  <c r="G70" i="24"/>
  <c r="D90" i="24"/>
  <c r="L67" i="24"/>
  <c r="K76" i="24"/>
  <c r="M137" i="24"/>
  <c r="L49" i="24"/>
  <c r="L50" i="24" s="1"/>
  <c r="L59" i="24" s="1"/>
  <c r="S136" i="24"/>
  <c r="R48" i="24"/>
  <c r="E87" i="24"/>
  <c r="E90" i="24" s="1"/>
  <c r="L58" i="24"/>
  <c r="K52" i="24"/>
  <c r="K47" i="24"/>
  <c r="K61" i="24" s="1"/>
  <c r="K60" i="24" s="1"/>
  <c r="K66" i="24" s="1"/>
  <c r="K68" i="24" s="1"/>
  <c r="K74" i="24"/>
  <c r="N109" i="24"/>
  <c r="M108" i="24"/>
  <c r="M140" i="24"/>
  <c r="F72" i="24"/>
  <c r="F71" i="24"/>
  <c r="K75" i="24" l="1"/>
  <c r="L80" i="24"/>
  <c r="N140" i="24"/>
  <c r="N141" i="24" s="1"/>
  <c r="N73" i="24" s="1"/>
  <c r="N85" i="24" s="1"/>
  <c r="N99" i="24" s="1"/>
  <c r="N108" i="24"/>
  <c r="O109" i="24"/>
  <c r="L74" i="24"/>
  <c r="M58" i="24"/>
  <c r="L52" i="24"/>
  <c r="L47" i="24"/>
  <c r="L61" i="24" s="1"/>
  <c r="L60" i="24" s="1"/>
  <c r="L66" i="24" s="1"/>
  <c r="L68" i="24" s="1"/>
  <c r="T136" i="24"/>
  <c r="S48" i="24"/>
  <c r="N137" i="24"/>
  <c r="M49" i="24"/>
  <c r="L76" i="24"/>
  <c r="M67" i="24"/>
  <c r="G71" i="24"/>
  <c r="G72" i="24" s="1"/>
  <c r="K79" i="24"/>
  <c r="L79" i="24" s="1"/>
  <c r="I55" i="24"/>
  <c r="J53" i="24"/>
  <c r="F78" i="24"/>
  <c r="F83" i="24" s="1"/>
  <c r="M141" i="24"/>
  <c r="M73" i="24" s="1"/>
  <c r="M85" i="24" s="1"/>
  <c r="M99" i="24" s="1"/>
  <c r="M50" i="24"/>
  <c r="M59" i="24" s="1"/>
  <c r="H56" i="24"/>
  <c r="H69" i="24" s="1"/>
  <c r="H82" i="24"/>
  <c r="G78" i="24" l="1"/>
  <c r="G83" i="24" s="1"/>
  <c r="G86" i="24" s="1"/>
  <c r="L75" i="24"/>
  <c r="K53" i="24"/>
  <c r="J55" i="24"/>
  <c r="O137" i="24"/>
  <c r="N49" i="24"/>
  <c r="U136" i="24"/>
  <c r="T48" i="24"/>
  <c r="N50" i="24"/>
  <c r="N59" i="24" s="1"/>
  <c r="H77" i="24"/>
  <c r="H70" i="24"/>
  <c r="M80" i="24"/>
  <c r="F86" i="24"/>
  <c r="F88" i="24"/>
  <c r="F84" i="24"/>
  <c r="F89" i="24" s="1"/>
  <c r="I82" i="24"/>
  <c r="I56" i="24"/>
  <c r="I69" i="24" s="1"/>
  <c r="N67" i="24"/>
  <c r="M76" i="24"/>
  <c r="N58" i="24"/>
  <c r="M52" i="24"/>
  <c r="M47" i="24"/>
  <c r="M61" i="24" s="1"/>
  <c r="M60" i="24" s="1"/>
  <c r="M66" i="24" s="1"/>
  <c r="M68" i="24" s="1"/>
  <c r="M74" i="24"/>
  <c r="P109" i="24"/>
  <c r="O108" i="24"/>
  <c r="O140" i="24"/>
  <c r="O141" i="24" s="1"/>
  <c r="O73" i="24" s="1"/>
  <c r="O85" i="24" s="1"/>
  <c r="O99" i="24" s="1"/>
  <c r="M79" i="24" l="1"/>
  <c r="G84" i="24"/>
  <c r="G89" i="24" s="1"/>
  <c r="G88" i="24"/>
  <c r="M75" i="24"/>
  <c r="I77" i="24"/>
  <c r="I70" i="24"/>
  <c r="N80" i="24"/>
  <c r="V136" i="24"/>
  <c r="U48" i="24"/>
  <c r="P137" i="24"/>
  <c r="O49" i="24"/>
  <c r="O50" i="24" s="1"/>
  <c r="O59" i="24" s="1"/>
  <c r="K55" i="24"/>
  <c r="L53" i="24"/>
  <c r="P140" i="24"/>
  <c r="P108" i="24"/>
  <c r="Q109" i="24"/>
  <c r="N74" i="24"/>
  <c r="O58" i="24"/>
  <c r="N52" i="24"/>
  <c r="N47" i="24"/>
  <c r="N61" i="24" s="1"/>
  <c r="N60" i="24" s="1"/>
  <c r="N66" i="24" s="1"/>
  <c r="N68" i="24" s="1"/>
  <c r="N76" i="24"/>
  <c r="O67" i="24"/>
  <c r="G87" i="24"/>
  <c r="F87" i="24"/>
  <c r="F90" i="24" s="1"/>
  <c r="H72" i="24"/>
  <c r="H71" i="24"/>
  <c r="J82" i="24"/>
  <c r="J56" i="24"/>
  <c r="J69" i="24" s="1"/>
  <c r="N75" i="24" l="1"/>
  <c r="O80" i="24"/>
  <c r="G90" i="24"/>
  <c r="P67" i="24"/>
  <c r="O76" i="24"/>
  <c r="P58" i="24"/>
  <c r="O52" i="24"/>
  <c r="O47" i="24"/>
  <c r="O61" i="24" s="1"/>
  <c r="O60" i="24" s="1"/>
  <c r="O66" i="24" s="1"/>
  <c r="O68" i="24" s="1"/>
  <c r="O74" i="24"/>
  <c r="R109" i="24"/>
  <c r="Q108" i="24"/>
  <c r="Q140" i="24"/>
  <c r="L55" i="24"/>
  <c r="M53" i="24" s="1"/>
  <c r="N79" i="24"/>
  <c r="I71" i="24"/>
  <c r="I72" i="24"/>
  <c r="J77" i="24"/>
  <c r="J70" i="24"/>
  <c r="H78" i="24"/>
  <c r="H83" i="24" s="1"/>
  <c r="P141" i="24"/>
  <c r="P73" i="24" s="1"/>
  <c r="P85" i="24" s="1"/>
  <c r="P99" i="24" s="1"/>
  <c r="K82" i="24"/>
  <c r="K56" i="24"/>
  <c r="K69" i="24" s="1"/>
  <c r="Q137" i="24"/>
  <c r="P49" i="24"/>
  <c r="P50" i="24" s="1"/>
  <c r="P59" i="24" s="1"/>
  <c r="W136" i="24"/>
  <c r="V48" i="24"/>
  <c r="P80" i="24" l="1"/>
  <c r="O75" i="24"/>
  <c r="K77" i="24"/>
  <c r="K70" i="24"/>
  <c r="M55" i="24"/>
  <c r="R140" i="24"/>
  <c r="R141" i="24" s="1"/>
  <c r="R73" i="24" s="1"/>
  <c r="R85" i="24" s="1"/>
  <c r="R99" i="24" s="1"/>
  <c r="R108" i="24"/>
  <c r="S109" i="24"/>
  <c r="P74" i="24"/>
  <c r="Q58" i="24"/>
  <c r="P52" i="24"/>
  <c r="P47" i="24"/>
  <c r="P61" i="24" s="1"/>
  <c r="P60" i="24" s="1"/>
  <c r="P66" i="24" s="1"/>
  <c r="P68" i="24" s="1"/>
  <c r="P76" i="24"/>
  <c r="Q67" i="24"/>
  <c r="O79" i="24"/>
  <c r="P79" i="24" s="1"/>
  <c r="X136" i="24"/>
  <c r="W48" i="24"/>
  <c r="Q49" i="24"/>
  <c r="R137" i="24"/>
  <c r="H86" i="24"/>
  <c r="H88" i="24"/>
  <c r="H84" i="24"/>
  <c r="H89" i="24" s="1"/>
  <c r="J72" i="24"/>
  <c r="J71" i="24"/>
  <c r="I78" i="24"/>
  <c r="I83" i="24" s="1"/>
  <c r="L56" i="24"/>
  <c r="L69" i="24" s="1"/>
  <c r="L82" i="24"/>
  <c r="Q141" i="24"/>
  <c r="Q73" i="24" s="1"/>
  <c r="Q85" i="24" s="1"/>
  <c r="Q99" i="24" s="1"/>
  <c r="Q50" i="24"/>
  <c r="Q59" i="24" s="1"/>
  <c r="P75" i="24" l="1"/>
  <c r="Q80" i="24"/>
  <c r="I86" i="24"/>
  <c r="I84" i="24"/>
  <c r="I89" i="24" s="1"/>
  <c r="I88" i="24"/>
  <c r="S137" i="24"/>
  <c r="R49" i="24"/>
  <c r="R50" i="24" s="1"/>
  <c r="R59" i="24" s="1"/>
  <c r="M82" i="24"/>
  <c r="M56" i="24"/>
  <c r="M69" i="24" s="1"/>
  <c r="K71" i="24"/>
  <c r="K72" i="24" s="1"/>
  <c r="L77" i="24"/>
  <c r="L70" i="24"/>
  <c r="J78" i="24"/>
  <c r="J83" i="24" s="1"/>
  <c r="H87" i="24"/>
  <c r="H90" i="24" s="1"/>
  <c r="I87" i="24"/>
  <c r="X48" i="24"/>
  <c r="Y136" i="24"/>
  <c r="R67" i="24"/>
  <c r="Q76" i="24"/>
  <c r="R58" i="24"/>
  <c r="Q52" i="24"/>
  <c r="Q47" i="24"/>
  <c r="Q61" i="24" s="1"/>
  <c r="Q60" i="24" s="1"/>
  <c r="Q66" i="24" s="1"/>
  <c r="Q68" i="24" s="1"/>
  <c r="Q74" i="24"/>
  <c r="T109" i="24"/>
  <c r="S108" i="24"/>
  <c r="S140" i="24"/>
  <c r="N53" i="24"/>
  <c r="I90" i="24" l="1"/>
  <c r="Q75" i="24"/>
  <c r="N55" i="24"/>
  <c r="O53" i="24" s="1"/>
  <c r="T140" i="24"/>
  <c r="T141" i="24" s="1"/>
  <c r="T73" i="24" s="1"/>
  <c r="T85" i="24" s="1"/>
  <c r="T99" i="24" s="1"/>
  <c r="T108" i="24"/>
  <c r="U109" i="24"/>
  <c r="R74" i="24"/>
  <c r="S58" i="24"/>
  <c r="R52" i="24"/>
  <c r="R47" i="24"/>
  <c r="R61" i="24" s="1"/>
  <c r="R60" i="24" s="1"/>
  <c r="R66" i="24" s="1"/>
  <c r="R68" i="24" s="1"/>
  <c r="R76" i="24"/>
  <c r="S67" i="24"/>
  <c r="L71" i="24"/>
  <c r="L72" i="24" s="1"/>
  <c r="M77" i="24"/>
  <c r="M70" i="24"/>
  <c r="R80" i="24"/>
  <c r="T137" i="24"/>
  <c r="S49" i="24"/>
  <c r="S50" i="24" s="1"/>
  <c r="S59" i="24" s="1"/>
  <c r="Q79" i="24"/>
  <c r="R79" i="24" s="1"/>
  <c r="S141" i="24"/>
  <c r="S73" i="24" s="1"/>
  <c r="S85" i="24" s="1"/>
  <c r="S99" i="24" s="1"/>
  <c r="Z136" i="24"/>
  <c r="Y48" i="24"/>
  <c r="J86" i="24"/>
  <c r="J84" i="24"/>
  <c r="J89" i="24" s="1"/>
  <c r="J88" i="24"/>
  <c r="K78" i="24"/>
  <c r="K83" i="24" s="1"/>
  <c r="S80" i="24" l="1"/>
  <c r="K86" i="24"/>
  <c r="K87" i="24" s="1"/>
  <c r="K88" i="24"/>
  <c r="K84" i="24"/>
  <c r="K89" i="24" s="1"/>
  <c r="J87" i="24"/>
  <c r="J90" i="24" s="1"/>
  <c r="AA136" i="24"/>
  <c r="Z48" i="24"/>
  <c r="O55" i="24"/>
  <c r="P53" i="24" s="1"/>
  <c r="U137" i="24"/>
  <c r="T49" i="24"/>
  <c r="T50" i="24" s="1"/>
  <c r="T59" i="24" s="1"/>
  <c r="R75" i="24"/>
  <c r="M71" i="24"/>
  <c r="L78" i="24"/>
  <c r="L83" i="24" s="1"/>
  <c r="T67" i="24"/>
  <c r="S76" i="24"/>
  <c r="T58" i="24"/>
  <c r="S52" i="24"/>
  <c r="S47" i="24"/>
  <c r="S61" i="24" s="1"/>
  <c r="S60" i="24" s="1"/>
  <c r="S66" i="24" s="1"/>
  <c r="S68" i="24" s="1"/>
  <c r="S74" i="24"/>
  <c r="V109" i="24"/>
  <c r="U108" i="24"/>
  <c r="U140" i="24"/>
  <c r="U141" i="24" s="1"/>
  <c r="U73" i="24" s="1"/>
  <c r="U85" i="24" s="1"/>
  <c r="U99" i="24" s="1"/>
  <c r="N82" i="24"/>
  <c r="N56" i="24"/>
  <c r="N69" i="24" s="1"/>
  <c r="S79" i="24" l="1"/>
  <c r="S75" i="24"/>
  <c r="N77" i="24"/>
  <c r="N70" i="24"/>
  <c r="L86" i="24"/>
  <c r="L87" i="24" s="1"/>
  <c r="L88" i="24"/>
  <c r="B105" i="24" s="1"/>
  <c r="L84" i="24"/>
  <c r="L89" i="24" s="1"/>
  <c r="G28" i="24" s="1"/>
  <c r="C105" i="24" s="1"/>
  <c r="M78" i="24"/>
  <c r="M83" i="24" s="1"/>
  <c r="V137" i="24"/>
  <c r="U49" i="24"/>
  <c r="U50" i="24" s="1"/>
  <c r="U59" i="24" s="1"/>
  <c r="P55" i="24"/>
  <c r="T80" i="24"/>
  <c r="V140" i="24"/>
  <c r="V141" i="24" s="1"/>
  <c r="V73" i="24" s="1"/>
  <c r="V85" i="24" s="1"/>
  <c r="V99" i="24" s="1"/>
  <c r="V108" i="24"/>
  <c r="W109" i="24"/>
  <c r="T74" i="24"/>
  <c r="U58" i="24"/>
  <c r="T52" i="24"/>
  <c r="T47" i="24"/>
  <c r="T61" i="24" s="1"/>
  <c r="T60" i="24" s="1"/>
  <c r="T66" i="24" s="1"/>
  <c r="T68" i="24" s="1"/>
  <c r="T76" i="24"/>
  <c r="U67" i="24"/>
  <c r="M72" i="24"/>
  <c r="O82" i="24"/>
  <c r="O56" i="24"/>
  <c r="O69" i="24" s="1"/>
  <c r="AB136" i="24"/>
  <c r="AA48" i="24"/>
  <c r="K90" i="24"/>
  <c r="U80" i="24" l="1"/>
  <c r="AC136" i="24"/>
  <c r="AB48" i="24"/>
  <c r="T75" i="24"/>
  <c r="P56" i="24"/>
  <c r="P69" i="24" s="1"/>
  <c r="P82" i="24"/>
  <c r="M86" i="24"/>
  <c r="M87" i="24" s="1"/>
  <c r="M90" i="24" s="1"/>
  <c r="M88" i="24"/>
  <c r="M84" i="24"/>
  <c r="M89" i="24" s="1"/>
  <c r="N83" i="24"/>
  <c r="O77" i="24"/>
  <c r="O70" i="24"/>
  <c r="V67" i="24"/>
  <c r="U76" i="24"/>
  <c r="V58" i="24"/>
  <c r="U52" i="24"/>
  <c r="U47" i="24"/>
  <c r="U61" i="24" s="1"/>
  <c r="U60" i="24" s="1"/>
  <c r="U66" i="24" s="1"/>
  <c r="U68" i="24" s="1"/>
  <c r="U74" i="24"/>
  <c r="X109" i="24"/>
  <c r="W108" i="24"/>
  <c r="W140" i="24"/>
  <c r="T79" i="24"/>
  <c r="Q53" i="24"/>
  <c r="W137" i="24"/>
  <c r="V49" i="24"/>
  <c r="V50" i="24" s="1"/>
  <c r="V59" i="24" s="1"/>
  <c r="L90" i="24"/>
  <c r="G29" i="24" s="1"/>
  <c r="D105" i="24" s="1"/>
  <c r="G30" i="24"/>
  <c r="A105" i="24" s="1"/>
  <c r="N72" i="24"/>
  <c r="N71" i="24"/>
  <c r="N78" i="24" s="1"/>
  <c r="U75" i="24" l="1"/>
  <c r="X137" i="24"/>
  <c r="W49" i="24"/>
  <c r="X140" i="24"/>
  <c r="X108" i="24"/>
  <c r="Y109" i="24"/>
  <c r="V74" i="24"/>
  <c r="W58" i="24"/>
  <c r="V52" i="24"/>
  <c r="V47" i="24"/>
  <c r="V61" i="24" s="1"/>
  <c r="V60" i="24" s="1"/>
  <c r="V66" i="24" s="1"/>
  <c r="V68" i="24" s="1"/>
  <c r="V76" i="24"/>
  <c r="W67" i="24"/>
  <c r="N86" i="24"/>
  <c r="N87" i="24" s="1"/>
  <c r="N90" i="24" s="1"/>
  <c r="N88" i="24"/>
  <c r="N84" i="24"/>
  <c r="N89" i="24" s="1"/>
  <c r="V80" i="24"/>
  <c r="AD136" i="24"/>
  <c r="AC48" i="24"/>
  <c r="Q55" i="24"/>
  <c r="R53" i="24"/>
  <c r="W141" i="24"/>
  <c r="W73" i="24" s="1"/>
  <c r="W85" i="24" s="1"/>
  <c r="W99" i="24" s="1"/>
  <c r="W50" i="24"/>
  <c r="W59" i="24" s="1"/>
  <c r="O71" i="24"/>
  <c r="O78" i="24" s="1"/>
  <c r="O83" i="24" s="1"/>
  <c r="O72" i="24"/>
  <c r="P77" i="24"/>
  <c r="P70" i="24"/>
  <c r="U79" i="24"/>
  <c r="V79" i="24" s="1"/>
  <c r="O86" i="24" l="1"/>
  <c r="O87" i="24" s="1"/>
  <c r="O90" i="24" s="1"/>
  <c r="O84" i="24"/>
  <c r="O89" i="24" s="1"/>
  <c r="O88" i="24"/>
  <c r="V75" i="24"/>
  <c r="P72" i="24"/>
  <c r="P71" i="24"/>
  <c r="P78" i="24" s="1"/>
  <c r="W80" i="24"/>
  <c r="R55" i="24"/>
  <c r="X67" i="24"/>
  <c r="W76" i="24"/>
  <c r="X58" i="24"/>
  <c r="W52" i="24"/>
  <c r="W47" i="24"/>
  <c r="W61" i="24" s="1"/>
  <c r="W60" i="24" s="1"/>
  <c r="W66" i="24" s="1"/>
  <c r="W68" i="24" s="1"/>
  <c r="W74" i="24"/>
  <c r="Z109" i="24"/>
  <c r="Y108" i="24"/>
  <c r="Y140" i="24"/>
  <c r="Y141" i="24" s="1"/>
  <c r="Y73" i="24" s="1"/>
  <c r="Y85" i="24" s="1"/>
  <c r="Y99" i="24" s="1"/>
  <c r="P83" i="24"/>
  <c r="Q82" i="24"/>
  <c r="Q56" i="24"/>
  <c r="Q69" i="24" s="1"/>
  <c r="AE136" i="24"/>
  <c r="AD48" i="24"/>
  <c r="X141" i="24"/>
  <c r="X73" i="24" s="1"/>
  <c r="X85" i="24" s="1"/>
  <c r="X99" i="24" s="1"/>
  <c r="Y137" i="24"/>
  <c r="X49" i="24"/>
  <c r="X50" i="24" s="1"/>
  <c r="X59" i="24" s="1"/>
  <c r="W79" i="24" l="1"/>
  <c r="W75" i="24"/>
  <c r="Y49" i="24"/>
  <c r="Y50" i="24" s="1"/>
  <c r="Y59" i="24" s="1"/>
  <c r="Z137" i="24"/>
  <c r="X80" i="24"/>
  <c r="AF136" i="24"/>
  <c r="AE48" i="24"/>
  <c r="R82" i="24"/>
  <c r="R56" i="24"/>
  <c r="R69" i="24" s="1"/>
  <c r="Q77" i="24"/>
  <c r="Q70" i="24"/>
  <c r="P86" i="24"/>
  <c r="P87" i="24" s="1"/>
  <c r="P90" i="24" s="1"/>
  <c r="P84" i="24"/>
  <c r="P89" i="24" s="1"/>
  <c r="P88" i="24"/>
  <c r="Z140" i="24"/>
  <c r="Z108" i="24"/>
  <c r="AA109" i="24"/>
  <c r="X74" i="24"/>
  <c r="Y58" i="24"/>
  <c r="X52" i="24"/>
  <c r="X47" i="24"/>
  <c r="X61" i="24" s="1"/>
  <c r="X60" i="24" s="1"/>
  <c r="X66" i="24" s="1"/>
  <c r="X68" i="24" s="1"/>
  <c r="X76" i="24"/>
  <c r="Y67" i="24"/>
  <c r="S53" i="24"/>
  <c r="X75" i="24" l="1"/>
  <c r="Y80" i="24"/>
  <c r="Z67" i="24"/>
  <c r="Y76" i="24"/>
  <c r="Z58" i="24"/>
  <c r="Y52" i="24"/>
  <c r="Y47" i="24"/>
  <c r="Y61" i="24" s="1"/>
  <c r="Y60" i="24" s="1"/>
  <c r="Y66" i="24" s="1"/>
  <c r="Y68" i="24" s="1"/>
  <c r="Y74" i="24"/>
  <c r="AB109" i="24"/>
  <c r="AA108" i="24"/>
  <c r="AA140" i="24"/>
  <c r="S55" i="24"/>
  <c r="Z141" i="24"/>
  <c r="Z73" i="24" s="1"/>
  <c r="Z85" i="24" s="1"/>
  <c r="Z99" i="24" s="1"/>
  <c r="Q71" i="24"/>
  <c r="Q78" i="24" s="1"/>
  <c r="Q83" i="24" s="1"/>
  <c r="R77" i="24"/>
  <c r="R70" i="24"/>
  <c r="AF48" i="24"/>
  <c r="AG136" i="24"/>
  <c r="AA137" i="24"/>
  <c r="Z49" i="24"/>
  <c r="Z50" i="24" s="1"/>
  <c r="Z59" i="24" s="1"/>
  <c r="X79" i="24"/>
  <c r="Y75" i="24" l="1"/>
  <c r="Q86" i="24"/>
  <c r="Q87" i="24" s="1"/>
  <c r="Q90" i="24" s="1"/>
  <c r="Q88" i="24"/>
  <c r="Q84" i="24"/>
  <c r="Q89" i="24" s="1"/>
  <c r="AB137" i="24"/>
  <c r="AA49" i="24"/>
  <c r="Z80" i="24"/>
  <c r="S82" i="24"/>
  <c r="S56" i="24"/>
  <c r="S69" i="24" s="1"/>
  <c r="AB140" i="24"/>
  <c r="AB141" i="24" s="1"/>
  <c r="AB73" i="24" s="1"/>
  <c r="AB85" i="24" s="1"/>
  <c r="AB99" i="24" s="1"/>
  <c r="AB108" i="24"/>
  <c r="AC109" i="24"/>
  <c r="Z74" i="24"/>
  <c r="AA58" i="24"/>
  <c r="Z52" i="24"/>
  <c r="Z47" i="24"/>
  <c r="Z61" i="24" s="1"/>
  <c r="Z60" i="24" s="1"/>
  <c r="Z66" i="24" s="1"/>
  <c r="Z68" i="24" s="1"/>
  <c r="Z76" i="24"/>
  <c r="AA67" i="24"/>
  <c r="AH136" i="24"/>
  <c r="AG48" i="24"/>
  <c r="R71" i="24"/>
  <c r="R78" i="24" s="1"/>
  <c r="R83" i="24" s="1"/>
  <c r="Q72" i="24"/>
  <c r="T53" i="24"/>
  <c r="AA141" i="24"/>
  <c r="AA73" i="24" s="1"/>
  <c r="AA85" i="24" s="1"/>
  <c r="AA99" i="24" s="1"/>
  <c r="AA50" i="24"/>
  <c r="AA59" i="24" s="1"/>
  <c r="Y79" i="24"/>
  <c r="R86" i="24" l="1"/>
  <c r="R87" i="24" s="1"/>
  <c r="R90" i="24" s="1"/>
  <c r="R88" i="24"/>
  <c r="R84" i="24"/>
  <c r="R89" i="24" s="1"/>
  <c r="AA80" i="24"/>
  <c r="T55" i="24"/>
  <c r="Z75" i="24"/>
  <c r="AC137" i="24"/>
  <c r="AB49" i="24"/>
  <c r="AB50" i="24" s="1"/>
  <c r="AB59" i="24" s="1"/>
  <c r="R72" i="24"/>
  <c r="AI136" i="24"/>
  <c r="AH48" i="24"/>
  <c r="AB67" i="24"/>
  <c r="AA76" i="24"/>
  <c r="AQ67" i="24"/>
  <c r="AB58" i="24"/>
  <c r="AA52" i="24"/>
  <c r="AA47" i="24"/>
  <c r="AA61" i="24" s="1"/>
  <c r="AA60" i="24" s="1"/>
  <c r="AA66" i="24" s="1"/>
  <c r="AA68" i="24" s="1"/>
  <c r="AA74" i="24"/>
  <c r="AD109" i="24"/>
  <c r="AC108" i="24"/>
  <c r="AC140" i="24"/>
  <c r="S77" i="24"/>
  <c r="S70" i="24"/>
  <c r="Z79" i="24"/>
  <c r="AA75" i="24" l="1"/>
  <c r="AB80" i="24"/>
  <c r="AD140" i="24"/>
  <c r="AD141" i="24" s="1"/>
  <c r="AD73" i="24" s="1"/>
  <c r="AD85" i="24" s="1"/>
  <c r="AD99" i="24" s="1"/>
  <c r="AD108" i="24"/>
  <c r="AE109" i="24"/>
  <c r="AB74" i="24"/>
  <c r="AC58" i="24"/>
  <c r="AB52" i="24"/>
  <c r="AB47" i="24"/>
  <c r="AB61" i="24" s="1"/>
  <c r="AB60" i="24" s="1"/>
  <c r="AB66" i="24" s="1"/>
  <c r="AB68" i="24" s="1"/>
  <c r="AD137" i="24"/>
  <c r="AC49" i="24"/>
  <c r="T56" i="24"/>
  <c r="T69" i="24" s="1"/>
  <c r="T82" i="24"/>
  <c r="AA79" i="24"/>
  <c r="S71" i="24"/>
  <c r="S78" i="24" s="1"/>
  <c r="S83" i="24" s="1"/>
  <c r="AC141" i="24"/>
  <c r="AC73" i="24" s="1"/>
  <c r="AC85" i="24" s="1"/>
  <c r="AC99" i="24" s="1"/>
  <c r="AC50" i="24"/>
  <c r="AC59" i="24" s="1"/>
  <c r="AB76" i="24"/>
  <c r="AC67" i="24"/>
  <c r="AJ136" i="24"/>
  <c r="AI48" i="24"/>
  <c r="U53" i="24"/>
  <c r="S72" i="24" l="1"/>
  <c r="AB79" i="24"/>
  <c r="S86" i="24"/>
  <c r="S87" i="24" s="1"/>
  <c r="S90" i="24" s="1"/>
  <c r="S88" i="24"/>
  <c r="S84" i="24"/>
  <c r="S89" i="24" s="1"/>
  <c r="AB75" i="24"/>
  <c r="U55" i="24"/>
  <c r="AD67" i="24"/>
  <c r="AC76" i="24"/>
  <c r="AC80" i="24"/>
  <c r="T77" i="24"/>
  <c r="T70" i="24"/>
  <c r="AE137" i="24"/>
  <c r="AD49" i="24"/>
  <c r="AD50" i="24" s="1"/>
  <c r="AD59" i="24" s="1"/>
  <c r="AK136" i="24"/>
  <c r="AJ48" i="24"/>
  <c r="AD58" i="24"/>
  <c r="AC52" i="24"/>
  <c r="AC47" i="24"/>
  <c r="AC61" i="24" s="1"/>
  <c r="AC60" i="24" s="1"/>
  <c r="AC66" i="24" s="1"/>
  <c r="AC68" i="24" s="1"/>
  <c r="AC74" i="24"/>
  <c r="AF109" i="24"/>
  <c r="AE108" i="24"/>
  <c r="AE140" i="24"/>
  <c r="AE141" i="24"/>
  <c r="AE73" i="24" s="1"/>
  <c r="AE85" i="24" s="1"/>
  <c r="AE99" i="24" s="1"/>
  <c r="AC79" i="24" l="1"/>
  <c r="AC75" i="24"/>
  <c r="AD80" i="24"/>
  <c r="T71" i="24"/>
  <c r="T78" i="24" s="1"/>
  <c r="T83" i="24" s="1"/>
  <c r="AD76" i="24"/>
  <c r="AE67" i="24"/>
  <c r="U82" i="24"/>
  <c r="U56" i="24"/>
  <c r="U69" i="24" s="1"/>
  <c r="AF140" i="24"/>
  <c r="AF141" i="24" s="1"/>
  <c r="AF73" i="24" s="1"/>
  <c r="AF85" i="24" s="1"/>
  <c r="AF99" i="24" s="1"/>
  <c r="AF108" i="24"/>
  <c r="AG109" i="24"/>
  <c r="AD74" i="24"/>
  <c r="AE58" i="24"/>
  <c r="AD52" i="24"/>
  <c r="AD47" i="24"/>
  <c r="AD61" i="24" s="1"/>
  <c r="AD60" i="24" s="1"/>
  <c r="AD66" i="24" s="1"/>
  <c r="AD68" i="24" s="1"/>
  <c r="AL136" i="24"/>
  <c r="AK48" i="24"/>
  <c r="AF137" i="24"/>
  <c r="AE49" i="24"/>
  <c r="AE50" i="24" s="1"/>
  <c r="AE59" i="24" s="1"/>
  <c r="V53" i="24"/>
  <c r="AD79" i="24" l="1"/>
  <c r="T72" i="24"/>
  <c r="AE80" i="24"/>
  <c r="AD75" i="24"/>
  <c r="T86" i="24"/>
  <c r="T87" i="24" s="1"/>
  <c r="T90" i="24" s="1"/>
  <c r="T84" i="24"/>
  <c r="T89" i="24" s="1"/>
  <c r="T88" i="24"/>
  <c r="AG137" i="24"/>
  <c r="AF49" i="24"/>
  <c r="AF50" i="24" s="1"/>
  <c r="AF59" i="24" s="1"/>
  <c r="AM136" i="24"/>
  <c r="AL48" i="24"/>
  <c r="V55" i="24"/>
  <c r="W53" i="24" s="1"/>
  <c r="AF58" i="24"/>
  <c r="AE52" i="24"/>
  <c r="AE47" i="24"/>
  <c r="AE61" i="24" s="1"/>
  <c r="AE60" i="24" s="1"/>
  <c r="AE66" i="24" s="1"/>
  <c r="AE68" i="24" s="1"/>
  <c r="AE74" i="24"/>
  <c r="AH109" i="24"/>
  <c r="AG108" i="24"/>
  <c r="AG140" i="24"/>
  <c r="U77" i="24"/>
  <c r="U70" i="24"/>
  <c r="AF67" i="24"/>
  <c r="AE76" i="24"/>
  <c r="AE75" i="24" l="1"/>
  <c r="AF80" i="24"/>
  <c r="AF76" i="24"/>
  <c r="AG67" i="24"/>
  <c r="AR67" i="24"/>
  <c r="AH140" i="24"/>
  <c r="AH141" i="24" s="1"/>
  <c r="AH73" i="24" s="1"/>
  <c r="AH85" i="24" s="1"/>
  <c r="AH99" i="24" s="1"/>
  <c r="AH108" i="24"/>
  <c r="AI109" i="24"/>
  <c r="AF74" i="24"/>
  <c r="AG58" i="24"/>
  <c r="AF52" i="24"/>
  <c r="AF47" i="24"/>
  <c r="AF61" i="24" s="1"/>
  <c r="AF60" i="24" s="1"/>
  <c r="AF66" i="24" s="1"/>
  <c r="AF68" i="24" s="1"/>
  <c r="W55" i="24"/>
  <c r="X53" i="24" s="1"/>
  <c r="U71" i="24"/>
  <c r="U78" i="24" s="1"/>
  <c r="U83" i="24" s="1"/>
  <c r="AG141" i="24"/>
  <c r="AG73" i="24" s="1"/>
  <c r="AG85" i="24" s="1"/>
  <c r="AG99" i="24" s="1"/>
  <c r="V82" i="24"/>
  <c r="V56" i="24"/>
  <c r="V69" i="24" s="1"/>
  <c r="AN136" i="24"/>
  <c r="AM48" i="24"/>
  <c r="AH137" i="24"/>
  <c r="AG49" i="24"/>
  <c r="AG50" i="24" s="1"/>
  <c r="AG59" i="24" s="1"/>
  <c r="AE79" i="24"/>
  <c r="AG80" i="24" l="1"/>
  <c r="AF75" i="24"/>
  <c r="U86" i="24"/>
  <c r="U87" i="24" s="1"/>
  <c r="U90" i="24" s="1"/>
  <c r="U84" i="24"/>
  <c r="U89" i="24" s="1"/>
  <c r="U88" i="24"/>
  <c r="AI137" i="24"/>
  <c r="AH49" i="24"/>
  <c r="AH50" i="24" s="1"/>
  <c r="AH59" i="24" s="1"/>
  <c r="AN48" i="24"/>
  <c r="AO136" i="24"/>
  <c r="W82" i="24"/>
  <c r="W56" i="24"/>
  <c r="W69" i="24" s="1"/>
  <c r="V77" i="24"/>
  <c r="V70" i="24"/>
  <c r="U72" i="24"/>
  <c r="X55" i="24"/>
  <c r="AH58" i="24"/>
  <c r="AG52" i="24"/>
  <c r="AG47" i="24"/>
  <c r="AG61" i="24" s="1"/>
  <c r="AG60" i="24" s="1"/>
  <c r="AG66" i="24" s="1"/>
  <c r="AG68" i="24" s="1"/>
  <c r="AG74" i="24"/>
  <c r="AJ109" i="24"/>
  <c r="AI108" i="24"/>
  <c r="AI140" i="24"/>
  <c r="AI141" i="24"/>
  <c r="AI73" i="24" s="1"/>
  <c r="AI85" i="24" s="1"/>
  <c r="AI99" i="24" s="1"/>
  <c r="AH67" i="24"/>
  <c r="AG76" i="24"/>
  <c r="AF79" i="24"/>
  <c r="AG75" i="24" l="1"/>
  <c r="AH80" i="24"/>
  <c r="X56" i="24"/>
  <c r="X69" i="24" s="1"/>
  <c r="X82" i="24"/>
  <c r="W77" i="24"/>
  <c r="W70" i="24"/>
  <c r="AP136" i="24"/>
  <c r="AO48" i="24"/>
  <c r="AH76" i="24"/>
  <c r="AI67" i="24"/>
  <c r="AJ141" i="24"/>
  <c r="AJ73" i="24" s="1"/>
  <c r="AJ85" i="24" s="1"/>
  <c r="AJ99" i="24" s="1"/>
  <c r="AJ140" i="24"/>
  <c r="AJ108" i="24"/>
  <c r="AK109" i="24"/>
  <c r="AH74" i="24"/>
  <c r="AI58" i="24"/>
  <c r="AH52" i="24"/>
  <c r="AH47" i="24"/>
  <c r="AH61" i="24" s="1"/>
  <c r="AH60" i="24" s="1"/>
  <c r="AH66" i="24" s="1"/>
  <c r="AH68" i="24" s="1"/>
  <c r="Y53" i="24"/>
  <c r="V71" i="24"/>
  <c r="V78" i="24" s="1"/>
  <c r="V83" i="24" s="1"/>
  <c r="AJ137" i="24"/>
  <c r="AI49" i="24"/>
  <c r="AI50" i="24" s="1"/>
  <c r="AI59" i="24" s="1"/>
  <c r="AG79" i="24"/>
  <c r="V86" i="24" l="1"/>
  <c r="V87" i="24" s="1"/>
  <c r="V90" i="24" s="1"/>
  <c r="V88" i="24"/>
  <c r="V84" i="24"/>
  <c r="V89" i="24" s="1"/>
  <c r="AI80" i="24"/>
  <c r="Y55" i="24"/>
  <c r="Z53" i="24"/>
  <c r="AQ136" i="24"/>
  <c r="AR136" i="24" s="1"/>
  <c r="AS136" i="24" s="1"/>
  <c r="AT136" i="24" s="1"/>
  <c r="AU136" i="24" s="1"/>
  <c r="AV136" i="24" s="1"/>
  <c r="AW136" i="24" s="1"/>
  <c r="AX136" i="24" s="1"/>
  <c r="AY136" i="24" s="1"/>
  <c r="AP48" i="24"/>
  <c r="AH75" i="24"/>
  <c r="AK137" i="24"/>
  <c r="AJ49" i="24"/>
  <c r="AJ50" i="24" s="1"/>
  <c r="AJ59" i="24" s="1"/>
  <c r="V72" i="24"/>
  <c r="AJ58" i="24"/>
  <c r="AI52" i="24"/>
  <c r="AI47" i="24"/>
  <c r="AI61" i="24" s="1"/>
  <c r="AI60" i="24" s="1"/>
  <c r="AI66" i="24" s="1"/>
  <c r="AI68" i="24" s="1"/>
  <c r="AI74" i="24"/>
  <c r="AL109" i="24"/>
  <c r="AK108" i="24"/>
  <c r="AK140" i="24"/>
  <c r="AJ67" i="24"/>
  <c r="AI76" i="24"/>
  <c r="W71" i="24"/>
  <c r="W78" i="24" s="1"/>
  <c r="W83" i="24" s="1"/>
  <c r="X77" i="24"/>
  <c r="X70" i="24"/>
  <c r="AH79" i="24"/>
  <c r="W86" i="24" l="1"/>
  <c r="W87" i="24" s="1"/>
  <c r="W90" i="24" s="1"/>
  <c r="W84" i="24"/>
  <c r="W89" i="24" s="1"/>
  <c r="W88" i="24"/>
  <c r="AI75" i="24"/>
  <c r="AJ80" i="24"/>
  <c r="AJ76" i="24"/>
  <c r="AK67" i="24"/>
  <c r="AL140" i="24"/>
  <c r="AL108" i="24"/>
  <c r="AM109" i="24"/>
  <c r="AJ74" i="24"/>
  <c r="AK58" i="24"/>
  <c r="AJ52" i="24"/>
  <c r="AJ47" i="24"/>
  <c r="AJ61" i="24" s="1"/>
  <c r="AJ60" i="24" s="1"/>
  <c r="AJ66" i="24" s="1"/>
  <c r="AJ68" i="24" s="1"/>
  <c r="AA53" i="24"/>
  <c r="Z55" i="24"/>
  <c r="AI79" i="24"/>
  <c r="X71" i="24"/>
  <c r="X78" i="24" s="1"/>
  <c r="X83" i="24" s="1"/>
  <c r="W72" i="24"/>
  <c r="AK141" i="24"/>
  <c r="AK73" i="24" s="1"/>
  <c r="AK85" i="24" s="1"/>
  <c r="AK99" i="24" s="1"/>
  <c r="AL137" i="24"/>
  <c r="AK49" i="24"/>
  <c r="AK50" i="24" s="1"/>
  <c r="AK59" i="24" s="1"/>
  <c r="Y82" i="24"/>
  <c r="Y56" i="24"/>
  <c r="Y69" i="24" s="1"/>
  <c r="AK80" i="24" l="1"/>
  <c r="X86" i="24"/>
  <c r="X87" i="24" s="1"/>
  <c r="X90" i="24" s="1"/>
  <c r="X88" i="24"/>
  <c r="X84" i="24"/>
  <c r="X89" i="24" s="1"/>
  <c r="AJ75" i="24"/>
  <c r="AM137" i="24"/>
  <c r="AL49" i="24"/>
  <c r="AA55" i="24"/>
  <c r="AL58" i="24"/>
  <c r="AK52" i="24"/>
  <c r="AK47" i="24"/>
  <c r="AK61" i="24" s="1"/>
  <c r="AK60" i="24" s="1"/>
  <c r="AK66" i="24" s="1"/>
  <c r="AK68" i="24" s="1"/>
  <c r="AK74" i="24"/>
  <c r="AN109" i="24"/>
  <c r="AM108" i="24"/>
  <c r="AM140" i="24"/>
  <c r="AL67" i="24"/>
  <c r="AK76" i="24"/>
  <c r="Y77" i="24"/>
  <c r="Y70" i="24"/>
  <c r="X72" i="24"/>
  <c r="Z82" i="24"/>
  <c r="Z56" i="24"/>
  <c r="Z69" i="24" s="1"/>
  <c r="AL50" i="24"/>
  <c r="AL59" i="24" s="1"/>
  <c r="AL141" i="24"/>
  <c r="AL73" i="24" s="1"/>
  <c r="AL85" i="24" s="1"/>
  <c r="AL99" i="24" s="1"/>
  <c r="AJ79" i="24"/>
  <c r="AK75" i="24" l="1"/>
  <c r="Z77" i="24"/>
  <c r="Z70" i="24"/>
  <c r="AL76" i="24"/>
  <c r="AM67" i="24"/>
  <c r="AN140" i="24"/>
  <c r="AN141" i="24" s="1"/>
  <c r="AN73" i="24" s="1"/>
  <c r="AN85" i="24" s="1"/>
  <c r="AN99" i="24" s="1"/>
  <c r="AN108" i="24"/>
  <c r="AO109" i="24"/>
  <c r="AL74" i="24"/>
  <c r="AM58" i="24"/>
  <c r="AL52" i="24"/>
  <c r="AL47" i="24"/>
  <c r="AL61" i="24" s="1"/>
  <c r="AL60" i="24" s="1"/>
  <c r="AA82" i="24"/>
  <c r="AA56" i="24"/>
  <c r="AA69" i="24" s="1"/>
  <c r="AN137" i="24"/>
  <c r="AM49" i="24"/>
  <c r="AM50" i="24" s="1"/>
  <c r="AM59" i="24" s="1"/>
  <c r="AL80" i="24"/>
  <c r="AL66" i="24"/>
  <c r="AL68" i="24" s="1"/>
  <c r="Y71" i="24"/>
  <c r="Y78" i="24" s="1"/>
  <c r="Y83" i="24" s="1"/>
  <c r="AM141" i="24"/>
  <c r="AM73" i="24" s="1"/>
  <c r="AM85" i="24" s="1"/>
  <c r="AM99" i="24" s="1"/>
  <c r="AB53" i="24"/>
  <c r="AK79" i="24"/>
  <c r="AL79" i="24" s="1"/>
  <c r="Y72" i="24" l="1"/>
  <c r="Y86" i="24"/>
  <c r="Y87" i="24" s="1"/>
  <c r="Y90" i="24" s="1"/>
  <c r="Y84" i="24"/>
  <c r="Y89" i="24" s="1"/>
  <c r="Y88" i="24"/>
  <c r="AB55" i="24"/>
  <c r="AM80" i="24"/>
  <c r="AO137" i="24"/>
  <c r="AN49" i="24"/>
  <c r="AN50" i="24" s="1"/>
  <c r="AN59" i="24" s="1"/>
  <c r="Z71" i="24"/>
  <c r="Z78" i="24" s="1"/>
  <c r="Z83" i="24" s="1"/>
  <c r="AL75" i="24"/>
  <c r="AA77" i="24"/>
  <c r="AA70" i="24"/>
  <c r="AN58" i="24"/>
  <c r="AM52" i="24"/>
  <c r="AM47" i="24"/>
  <c r="AM61" i="24" s="1"/>
  <c r="AM60" i="24" s="1"/>
  <c r="AM66" i="24" s="1"/>
  <c r="AM68" i="24" s="1"/>
  <c r="AM74" i="24"/>
  <c r="AP109" i="24"/>
  <c r="AP108" i="24" s="1"/>
  <c r="AO108" i="24"/>
  <c r="AO140" i="24"/>
  <c r="AO141" i="24" s="1"/>
  <c r="AO73" i="24" s="1"/>
  <c r="AO85" i="24" s="1"/>
  <c r="AO99" i="24" s="1"/>
  <c r="AN67" i="24"/>
  <c r="AM76" i="24"/>
  <c r="Z86" i="24" l="1"/>
  <c r="Z87" i="24" s="1"/>
  <c r="Z90" i="24" s="1"/>
  <c r="Z88" i="24"/>
  <c r="Z84" i="24"/>
  <c r="Z89" i="24" s="1"/>
  <c r="AA71" i="24"/>
  <c r="AA78" i="24" s="1"/>
  <c r="AA83" i="24" s="1"/>
  <c r="AN80" i="24"/>
  <c r="AP137" i="24"/>
  <c r="AO49" i="24"/>
  <c r="AO50" i="24" s="1"/>
  <c r="AO59" i="24" s="1"/>
  <c r="AM75" i="24"/>
  <c r="AB56" i="24"/>
  <c r="AB69" i="24" s="1"/>
  <c r="AB82" i="24"/>
  <c r="AN76" i="24"/>
  <c r="AO67" i="24"/>
  <c r="AP140" i="24"/>
  <c r="AN74" i="24"/>
  <c r="AO58" i="24"/>
  <c r="AN52" i="24"/>
  <c r="AN47" i="24"/>
  <c r="AN61" i="24" s="1"/>
  <c r="AN60" i="24" s="1"/>
  <c r="AN66" i="24" s="1"/>
  <c r="AN68" i="24" s="1"/>
  <c r="Z72" i="24"/>
  <c r="AM79" i="24"/>
  <c r="AN79" i="24" s="1"/>
  <c r="AC53" i="24"/>
  <c r="AA72" i="24" l="1"/>
  <c r="AN75" i="24"/>
  <c r="AO80" i="24"/>
  <c r="AA86" i="24"/>
  <c r="AA87" i="24" s="1"/>
  <c r="AA90" i="24" s="1"/>
  <c r="AA88" i="24"/>
  <c r="AA84" i="24"/>
  <c r="AA89" i="24" s="1"/>
  <c r="AQ140" i="24"/>
  <c r="AQ141" i="24" s="1"/>
  <c r="AP67" i="24"/>
  <c r="AO76" i="24"/>
  <c r="AC55" i="24"/>
  <c r="AD53" i="24" s="1"/>
  <c r="AP58" i="24"/>
  <c r="AO52" i="24"/>
  <c r="AO47" i="24"/>
  <c r="AO61" i="24" s="1"/>
  <c r="AO60" i="24" s="1"/>
  <c r="AO66" i="24" s="1"/>
  <c r="AO68" i="24" s="1"/>
  <c r="AO74" i="24"/>
  <c r="AP141" i="24"/>
  <c r="AP73" i="24" s="1"/>
  <c r="AP85" i="24" s="1"/>
  <c r="AP99" i="24" s="1"/>
  <c r="AQ99" i="24" s="1"/>
  <c r="A100" i="24" s="1"/>
  <c r="AB77" i="24"/>
  <c r="AB70" i="24"/>
  <c r="AQ137" i="24"/>
  <c r="AR137" i="24" s="1"/>
  <c r="AS137" i="24" s="1"/>
  <c r="AT137" i="24" s="1"/>
  <c r="AU137" i="24" s="1"/>
  <c r="AV137" i="24" s="1"/>
  <c r="AW137" i="24" s="1"/>
  <c r="AX137" i="24" s="1"/>
  <c r="AY137" i="24" s="1"/>
  <c r="AP49" i="24"/>
  <c r="AP50" i="24" s="1"/>
  <c r="AP59" i="24" s="1"/>
  <c r="AO75" i="24" l="1"/>
  <c r="AD55" i="24"/>
  <c r="AP80" i="24"/>
  <c r="AB71" i="24"/>
  <c r="AB78" i="24" s="1"/>
  <c r="AB83" i="24" s="1"/>
  <c r="AP74" i="24"/>
  <c r="AP52" i="24"/>
  <c r="AP47" i="24"/>
  <c r="AP61" i="24" s="1"/>
  <c r="AP60" i="24" s="1"/>
  <c r="AP66" i="24" s="1"/>
  <c r="AP68" i="24" s="1"/>
  <c r="AC82" i="24"/>
  <c r="AC56" i="24"/>
  <c r="AC69" i="24" s="1"/>
  <c r="AP76" i="24"/>
  <c r="AS67" i="24"/>
  <c r="AR140" i="24"/>
  <c r="AO79" i="24"/>
  <c r="AB72" i="24" l="1"/>
  <c r="AP75" i="24"/>
  <c r="AS140" i="24"/>
  <c r="AS141" i="24"/>
  <c r="AC77" i="24"/>
  <c r="AC70" i="24"/>
  <c r="AB86" i="24"/>
  <c r="AB87" i="24" s="1"/>
  <c r="AB90" i="24" s="1"/>
  <c r="AB88" i="24"/>
  <c r="AB84" i="24"/>
  <c r="AB89" i="24" s="1"/>
  <c r="AD82" i="24"/>
  <c r="AD56" i="24"/>
  <c r="AD69" i="24" s="1"/>
  <c r="AR141" i="24"/>
  <c r="AP79" i="24"/>
  <c r="AE53" i="24"/>
  <c r="AE55" i="24" l="1"/>
  <c r="AF53" i="24" s="1"/>
  <c r="AC71" i="24"/>
  <c r="AC78" i="24" s="1"/>
  <c r="AC83" i="24" s="1"/>
  <c r="AD77" i="24"/>
  <c r="AD70" i="24"/>
  <c r="AT140" i="24"/>
  <c r="AC72" i="24" l="1"/>
  <c r="AU140" i="24"/>
  <c r="AU141" i="24"/>
  <c r="AC86" i="24"/>
  <c r="AC87" i="24" s="1"/>
  <c r="AC90" i="24" s="1"/>
  <c r="AC84" i="24"/>
  <c r="AC89" i="24" s="1"/>
  <c r="AC88" i="24"/>
  <c r="AF55" i="24"/>
  <c r="AG53" i="24" s="1"/>
  <c r="AT141" i="24"/>
  <c r="AD71" i="24"/>
  <c r="AD78" i="24" s="1"/>
  <c r="AD83" i="24" s="1"/>
  <c r="AE82" i="24"/>
  <c r="AE56" i="24"/>
  <c r="AE69" i="24" s="1"/>
  <c r="AD86" i="24" l="1"/>
  <c r="AD87" i="24" s="1"/>
  <c r="AD90" i="24" s="1"/>
  <c r="AD84" i="24"/>
  <c r="AD89" i="24" s="1"/>
  <c r="AD88" i="24"/>
  <c r="AE77" i="24"/>
  <c r="AE70" i="24"/>
  <c r="AG55" i="24"/>
  <c r="AD72" i="24"/>
  <c r="AF56" i="24"/>
  <c r="AF69" i="24" s="1"/>
  <c r="AF82" i="24"/>
  <c r="AV140" i="24"/>
  <c r="AW140" i="24" l="1"/>
  <c r="AW141" i="24"/>
  <c r="AG82" i="24"/>
  <c r="AG56" i="24"/>
  <c r="AG69" i="24" s="1"/>
  <c r="AV141" i="24"/>
  <c r="AF77" i="24"/>
  <c r="AF70" i="24"/>
  <c r="AH53" i="24"/>
  <c r="AE71" i="24"/>
  <c r="AE78" i="24" s="1"/>
  <c r="AE83" i="24" s="1"/>
  <c r="AE86" i="24" l="1"/>
  <c r="AE87" i="24" s="1"/>
  <c r="AE90" i="24" s="1"/>
  <c r="AE84" i="24"/>
  <c r="AE89" i="24" s="1"/>
  <c r="AE88" i="24"/>
  <c r="AF71" i="24"/>
  <c r="AF78" i="24" s="1"/>
  <c r="AF83" i="24" s="1"/>
  <c r="AG77" i="24"/>
  <c r="AG70" i="24"/>
  <c r="AE72" i="24"/>
  <c r="AH55" i="24"/>
  <c r="AX141" i="24"/>
  <c r="AX140" i="24"/>
  <c r="AF72" i="24" l="1"/>
  <c r="AH82" i="24"/>
  <c r="AH56" i="24"/>
  <c r="AH69" i="24" s="1"/>
  <c r="AY140" i="24"/>
  <c r="AY141" i="24"/>
  <c r="AF86" i="24"/>
  <c r="AF87" i="24" s="1"/>
  <c r="AF90" i="24" s="1"/>
  <c r="AF88" i="24"/>
  <c r="AF84" i="24"/>
  <c r="AF89" i="24" s="1"/>
  <c r="AI53" i="24"/>
  <c r="AG71" i="24"/>
  <c r="AG78" i="24" s="1"/>
  <c r="AG83" i="24" s="1"/>
  <c r="AG72" i="24"/>
  <c r="AI55" i="24" l="1"/>
  <c r="AG86" i="24"/>
  <c r="AG87" i="24" s="1"/>
  <c r="AG90" i="24" s="1"/>
  <c r="AG88" i="24"/>
  <c r="AG84" i="24"/>
  <c r="AG89" i="24" s="1"/>
  <c r="AH77" i="24"/>
  <c r="AH70" i="24"/>
  <c r="AH71" i="24" l="1"/>
  <c r="AH78" i="24" s="1"/>
  <c r="AH83" i="24" s="1"/>
  <c r="AI82" i="24"/>
  <c r="AI56" i="24"/>
  <c r="AI69" i="24" s="1"/>
  <c r="AJ53" i="24"/>
  <c r="AH72" i="24" l="1"/>
  <c r="AH86" i="24"/>
  <c r="AH87" i="24" s="1"/>
  <c r="AH90" i="24" s="1"/>
  <c r="AH84" i="24"/>
  <c r="AH89" i="24" s="1"/>
  <c r="AH88" i="24"/>
  <c r="AJ55" i="24"/>
  <c r="AI77" i="24"/>
  <c r="AI70" i="24"/>
  <c r="AI71" i="24" l="1"/>
  <c r="AI78" i="24" s="1"/>
  <c r="AI83" i="24" s="1"/>
  <c r="AJ56" i="24"/>
  <c r="AJ69" i="24" s="1"/>
  <c r="AJ82" i="24"/>
  <c r="AK53" i="24"/>
  <c r="AI86" i="24" l="1"/>
  <c r="AI87" i="24" s="1"/>
  <c r="AI90" i="24" s="1"/>
  <c r="AI88" i="24"/>
  <c r="AI84" i="24"/>
  <c r="AI89" i="24" s="1"/>
  <c r="AJ77" i="24"/>
  <c r="AJ70" i="24"/>
  <c r="AK55" i="24"/>
  <c r="AL53" i="24" s="1"/>
  <c r="AI72" i="24"/>
  <c r="AL55" i="24" l="1"/>
  <c r="AM53" i="24" s="1"/>
  <c r="AJ71" i="24"/>
  <c r="AJ78" i="24" s="1"/>
  <c r="AJ83" i="24" s="1"/>
  <c r="AK82" i="24"/>
  <c r="AK56" i="24"/>
  <c r="AK69" i="24" s="1"/>
  <c r="AJ72" i="24" l="1"/>
  <c r="AJ86" i="24"/>
  <c r="AJ87" i="24" s="1"/>
  <c r="AJ90" i="24" s="1"/>
  <c r="AJ88" i="24"/>
  <c r="AJ84" i="24"/>
  <c r="AJ89" i="24" s="1"/>
  <c r="AM55" i="24"/>
  <c r="AN53" i="24" s="1"/>
  <c r="AK77" i="24"/>
  <c r="AK70" i="24"/>
  <c r="AL82" i="24"/>
  <c r="AL56" i="24"/>
  <c r="AL69" i="24" s="1"/>
  <c r="AL77" i="24" l="1"/>
  <c r="AL70" i="24"/>
  <c r="AK71" i="24"/>
  <c r="AK78" i="24" s="1"/>
  <c r="AK83" i="24" s="1"/>
  <c r="AN55" i="24"/>
  <c r="AO53" i="24" s="1"/>
  <c r="AM82" i="24"/>
  <c r="AM56" i="24"/>
  <c r="AM69" i="24" s="1"/>
  <c r="AM77" i="24" l="1"/>
  <c r="AM70" i="24"/>
  <c r="AK86" i="24"/>
  <c r="AK87" i="24" s="1"/>
  <c r="AK90" i="24" s="1"/>
  <c r="AK88" i="24"/>
  <c r="AK84" i="24"/>
  <c r="AK89" i="24" s="1"/>
  <c r="AO55" i="24"/>
  <c r="AP53" i="24" s="1"/>
  <c r="AP55" i="24" s="1"/>
  <c r="AN56" i="24"/>
  <c r="AN69" i="24" s="1"/>
  <c r="AN82" i="24"/>
  <c r="AK72" i="24"/>
  <c r="AL71" i="24"/>
  <c r="AL78" i="24" s="1"/>
  <c r="AL83" i="24" s="1"/>
  <c r="AL86" i="24" l="1"/>
  <c r="AL87" i="24" s="1"/>
  <c r="AL90" i="24" s="1"/>
  <c r="AL84" i="24"/>
  <c r="AL89" i="24" s="1"/>
  <c r="AL88" i="24"/>
  <c r="AN77" i="24"/>
  <c r="AN70" i="24"/>
  <c r="AP82" i="24"/>
  <c r="AP56" i="24"/>
  <c r="AP69" i="24" s="1"/>
  <c r="AL72" i="24"/>
  <c r="AO82" i="24"/>
  <c r="AO56" i="24"/>
  <c r="AO69" i="24" s="1"/>
  <c r="AM71" i="24"/>
  <c r="AM78" i="24" s="1"/>
  <c r="AM83" i="24" s="1"/>
  <c r="AM72" i="24" l="1"/>
  <c r="AM86" i="24"/>
  <c r="AM87" i="24" s="1"/>
  <c r="AM90" i="24" s="1"/>
  <c r="AM84" i="24"/>
  <c r="AM89" i="24" s="1"/>
  <c r="AM88" i="24"/>
  <c r="AO77" i="24"/>
  <c r="AO70" i="24"/>
  <c r="AP77" i="24"/>
  <c r="AP70" i="24"/>
  <c r="AN71" i="24"/>
  <c r="AN78" i="24" s="1"/>
  <c r="AN83" i="24" s="1"/>
  <c r="AN86" i="24" l="1"/>
  <c r="AN87" i="24" s="1"/>
  <c r="AN90" i="24" s="1"/>
  <c r="AN84" i="24"/>
  <c r="AN89" i="24" s="1"/>
  <c r="AN88" i="24"/>
  <c r="AP71" i="24"/>
  <c r="AO71" i="24"/>
  <c r="AO78" i="24" s="1"/>
  <c r="AO83" i="24" s="1"/>
  <c r="AN72" i="24"/>
  <c r="AO72" i="24" l="1"/>
  <c r="AP78" i="24"/>
  <c r="AP83" i="24" s="1"/>
  <c r="AP86" i="24" s="1"/>
  <c r="AO86" i="24"/>
  <c r="AO87" i="24" s="1"/>
  <c r="AO90" i="24" s="1"/>
  <c r="AO84" i="24"/>
  <c r="AO89" i="24" s="1"/>
  <c r="AO88" i="24"/>
  <c r="AP72" i="24"/>
  <c r="AP87" i="24" l="1"/>
  <c r="AP88" i="24"/>
  <c r="AP84" i="24"/>
  <c r="AP89" i="24" s="1"/>
  <c r="A101" i="24"/>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R30" i="23"/>
  <c r="Q30" i="23"/>
  <c r="P30" i="23"/>
  <c r="O30" i="23"/>
  <c r="N30" i="23"/>
  <c r="M30" i="23"/>
  <c r="L30" i="23"/>
  <c r="K30" i="23"/>
  <c r="AB30" i="23"/>
  <c r="G30" i="23"/>
  <c r="F30" i="23"/>
  <c r="C30" i="23"/>
  <c r="AB29" i="23"/>
  <c r="E29" i="23"/>
  <c r="AB28" i="23"/>
  <c r="E28" i="23"/>
  <c r="AB27" i="23"/>
  <c r="E27" i="23"/>
  <c r="AB26" i="23"/>
  <c r="E26" i="23"/>
  <c r="AB25" i="23"/>
  <c r="E25" i="23"/>
  <c r="AB24" i="23"/>
  <c r="AA24" i="23"/>
  <c r="Z24" i="23"/>
  <c r="Y24" i="23"/>
  <c r="X24" i="23"/>
  <c r="W24" i="23"/>
  <c r="V24" i="23"/>
  <c r="U24" i="23"/>
  <c r="T24" i="23"/>
  <c r="S24" i="23"/>
  <c r="R24" i="23"/>
  <c r="Q24" i="23"/>
  <c r="P24" i="23"/>
  <c r="O24" i="23"/>
  <c r="N24" i="23"/>
  <c r="M24" i="23"/>
  <c r="L24" i="23"/>
  <c r="K24" i="23"/>
  <c r="H24" i="23"/>
  <c r="I24" i="23"/>
  <c r="G24" i="23"/>
  <c r="F24" i="23"/>
  <c r="E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E30" i="23" l="1"/>
  <c r="C52" i="23"/>
  <c r="C28" i="23"/>
  <c r="C29" i="23"/>
  <c r="S23" i="12"/>
  <c r="J23" i="12"/>
  <c r="H23" i="12"/>
  <c r="C24" i="23" l="1"/>
  <c r="B27" i="25"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B68" i="25" l="1"/>
  <c r="B60" i="25"/>
  <c r="B55" i="25"/>
  <c r="B47" i="25"/>
  <c r="B34" i="25"/>
  <c r="B72" i="25"/>
  <c r="B64" i="25"/>
  <c r="B51" i="25"/>
  <c r="B43" i="25"/>
  <c r="B38" i="25"/>
  <c r="B82" i="25"/>
  <c r="B80"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<sst xmlns="http://schemas.openxmlformats.org/spreadsheetml/2006/main" count="956" uniqueCount="652">
  <si>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</si>
  <si>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</si>
  <si>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</si>
  <si>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</si>
  <si>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</si>
  <si>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</si>
  <si>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</si>
  <si>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</si>
  <si>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</si>
  <si>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</si>
  <si>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</si>
  <si>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</si>
  <si>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</si>
  <si>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</si>
  <si>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</si>
  <si>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</si>
  <si>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</si>
  <si>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</si>
  <si>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</si>
  <si>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</si>
  <si>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</si>
  <si>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</si>
  <si>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</si>
  <si>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</si>
  <si>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</si>
  <si>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</si>
  <si>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</si>
  <si>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</si>
  <si>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</si>
  <si>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</si>
  <si>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</si>
  <si>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</si>
  <si>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</si>
  <si>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</si>
  <si>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</si>
  <si>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</si>
  <si>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</si>
  <si>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</si>
  <si>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</si>
  <si>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</si>
  <si>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</si>
  <si>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</si>
  <si>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</si>
  <si>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</si>
  <si>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</si>
  <si>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</si>
  <si>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</si>
  <si>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</si>
  <si>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</si>
  <si>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</si>
  <si>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</si>
  <si>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</si>
  <si>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</si>
  <si>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</si>
  <si>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</si>
  <si>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</si>
  <si>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</si>
  <si>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</si>
  <si>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</si>
  <si>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</si>
  <si>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</si>
  <si>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</si>
  <si>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</si>
  <si>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</si>
  <si>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</si>
  <si>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</si>
  <si>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</si>
  <si>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</si>
  <si>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</si>
  <si>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</si>
  <si>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</si>
  <si>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</si>
  <si>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</si>
  <si>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</si>
  <si>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</si>
  <si>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</si>
  <si>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</si>
  <si>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</si>
  <si>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</si>
  <si>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</si>
  <si>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</si>
  <si>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</si>
  <si>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</si>
  <si>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</si>
  <si>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</si>
  <si>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</si>
  <si>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</si>
  <si>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</si>
  <si>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</si>
  <si>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</si>
  <si>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</si>
  <si>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</si>
  <si>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</si>
  <si>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</si>
  <si>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</si>
  <si>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</si>
  <si>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</si>
  <si>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</si>
  <si>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</si>
  <si>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</si>
  <si>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</si>
  <si>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</si>
  <si>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</si>
  <si>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</si>
  <si>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</si>
  <si>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</si>
  <si>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</si>
  <si>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</si>
  <si>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</si>
  <si>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</si>
  <si>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</si>
  <si>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</si>
  <si>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</si>
  <si>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</si>
  <si>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</si>
  <si>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</si>
  <si>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</si>
  <si>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</si>
  <si>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</si>
  <si>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</si>
  <si>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</si>
  <si>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</si>
  <si>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</si>
  <si>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</si>
  <si>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</si>
  <si>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</si>
  <si>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</si>
  <si>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</si>
  <si>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</si>
  <si>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</si>
  <si>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</si>
  <si>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</si>
  <si>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</si>
  <si>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</si>
  <si>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</si>
  <si>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</si>
  <si>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</si>
  <si>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</si>
  <si>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</si>
  <si>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</si>
  <si>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</si>
  <si>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</si>
  <si>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</si>
  <si>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</si>
  <si>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</si>
  <si>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</si>
  <si>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</si>
  <si>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</si>
  <si>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</si>
  <si>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</si>
  <si>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</si>
  <si>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</si>
  <si>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</si>
  <si>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</si>
  <si>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</si>
  <si>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</si>
  <si>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</si>
  <si>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</si>
  <si>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</si>
  <si>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</si>
  <si>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</si>
  <si>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</si>
  <si>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</si>
  <si>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</si>
  <si>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</si>
  <si>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</si>
  <si>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</si>
  <si>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</si>
  <si>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</si>
  <si>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</si>
  <si>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</si>
  <si>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</si>
  <si>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</si>
  <si>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</si>
  <si>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</si>
  <si>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</si>
  <si>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</si>
  <si>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</si>
  <si>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</si>
  <si>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</si>
  <si>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</si>
  <si>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</si>
  <si>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</si>
  <si>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</si>
  <si>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</si>
  <si>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</si>
  <si>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</si>
  <si>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</si>
  <si>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</si>
  <si>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</si>
  <si>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</si>
  <si>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</si>
  <si>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</si>
  <si>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</si>
  <si>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</si>
  <si>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</si>
  <si>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</si>
  <si>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</si>
  <si>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</si>
  <si>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</si>
  <si>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</si>
  <si>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</si>
  <si>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</si>
  <si>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</si>
  <si>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</si>
  <si>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</si>
  <si>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</si>
  <si>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</si>
  <si>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</si>
  <si>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</si>
  <si>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</si>
  <si>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</si>
  <si>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</si>
  <si>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</si>
  <si>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</si>
  <si>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</si>
  <si>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</si>
  <si>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</si>
  <si>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</si>
  <si>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</si>
  <si>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</si>
  <si>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</si>
  <si>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</si>
  <si>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</si>
  <si>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</si>
  <si>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</si>
  <si>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</si>
  <si>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</si>
  <si>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</si>
  <si>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</si>
  <si>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</si>
  <si>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</si>
  <si>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</si>
  <si>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</si>
  <si>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</si>
  <si>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</si>
  <si>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</si>
  <si>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</si>
  <si>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</si>
  <si>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</si>
  <si>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</si>
  <si>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</si>
  <si>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</si>
  <si>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</si>
  <si>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</si>
  <si>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</si>
  <si>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</si>
  <si>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</si>
  <si>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</si>
  <si>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</si>
  <si>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</si>
  <si>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</si>
  <si>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</si>
  <si>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</si>
  <si>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</si>
  <si>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</si>
  <si>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</si>
  <si>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</si>
  <si>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</si>
  <si>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</si>
  <si>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</si>
  <si>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</si>
  <si>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</si>
  <si>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</si>
  <si>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</si>
  <si>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</si>
  <si>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</si>
  <si>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</si>
  <si>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</si>
  <si>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</si>
  <si>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</si>
  <si>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</si>
  <si>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</si>
  <si>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</si>
  <si>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</si>
  <si>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</si>
  <si>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</si>
  <si>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</si>
  <si>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</si>
  <si>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</si>
  <si>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</si>
  <si>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</si>
  <si>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</si>
  <si>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</si>
  <si>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</si>
  <si>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</si>
  <si>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</si>
  <si>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</si>
  <si>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</si>
  <si>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</si>
  <si>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</si>
  <si>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</si>
  <si>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</si>
  <si>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</si>
  <si>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</si>
  <si>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</si>
  <si>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</si>
  <si>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</si>
  <si>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</si>
  <si>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</si>
  <si>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</si>
  <si>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</si>
  <si>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</si>
  <si>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</si>
  <si>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</si>
  <si>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</si>
  <si>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</si>
  <si>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</si>
  <si>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</si>
  <si>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</si>
  <si>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</si>
  <si>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</si>
  <si>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</si>
  <si>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</si>
  <si>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</si>
  <si>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</si>
  <si>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</si>
  <si>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</si>
  <si>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</si>
  <si>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</si>
  <si>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</si>
  <si>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</si>
  <si>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</si>
  <si>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</si>
  <si>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</si>
  <si>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</si>
  <si>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</si>
  <si>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</si>
  <si>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</si>
  <si>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</si>
  <si>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</si>
  <si>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</si>
  <si>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</si>
  <si>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</si>
  <si>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</si>
  <si>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</si>
  <si>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</si>
  <si>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</si>
  <si>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</si>
  <si>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</si>
  <si>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</si>
  <si>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</si>
  <si>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</si>
  <si>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</si>
  <si>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</si>
  <si>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</si>
  <si>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</si>
  <si>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</si>
  <si>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</si>
  <si>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</si>
  <si>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</si>
  <si>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</si>
  <si>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</si>
  <si>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</si>
  <si>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</si>
  <si>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</si>
  <si>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</si>
  <si>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</si>
  <si>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</si>
  <si>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</si>
  <si>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</si>
  <si>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</si>
  <si>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</si>
  <si>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</si>
  <si>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</si>
  <si>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</si>
  <si>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</si>
  <si>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</si>
  <si>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</si>
  <si>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</si>
  <si>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</si>
  <si>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</si>
  <si>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</si>
  <si>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</si>
  <si>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</si>
  <si>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</si>
  <si>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</si>
  <si>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</si>
  <si>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</si>
  <si>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</si>
  <si>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</si>
  <si>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</si>
  <si>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</si>
  <si>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</si>
  <si>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</si>
  <si>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</si>
  <si>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</si>
  <si>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</si>
  <si>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</si>
  <si>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</si>
  <si>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</si>
  <si>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</si>
  <si>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</si>
  <si>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</si>
  <si>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</si>
  <si>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</si>
  <si>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</si>
  <si>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</si>
  <si>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</si>
  <si>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</si>
  <si>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</si>
  <si>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</si>
  <si>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</si>
  <si>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</si>
  <si>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</si>
  <si>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</si>
  <si>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</si>
  <si>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</si>
  <si>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</si>
  <si>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</si>
  <si>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</si>
  <si>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</si>
  <si>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</si>
  <si>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</si>
  <si>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</si>
  <si>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</si>
  <si>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</si>
  <si>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</si>
  <si>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</si>
  <si>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</si>
  <si>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</si>
  <si>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</si>
  <si>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</si>
  <si>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</si>
  <si>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</si>
  <si>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</si>
  <si>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</si>
  <si>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</si>
  <si>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</si>
  <si>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</si>
  <si>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</si>
  <si>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</si>
  <si>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</si>
  <si>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</si>
  <si>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</si>
  <si>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</si>
  <si>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</si>
  <si>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</si>
  <si>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</si>
  <si>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</si>
  <si>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</si>
  <si>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</si>
  <si>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</si>
  <si>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</si>
  <si>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</si>
  <si>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</si>
  <si>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</si>
  <si>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</si>
  <si>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</si>
  <si>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</si>
  <si>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</si>
  <si>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</si>
  <si>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</si>
  <si>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</si>
  <si>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</si>
  <si>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</si>
  <si>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</si>
  <si>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</si>
  <si>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</si>
  <si>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</si>
  <si>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</si>
  <si>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</si>
  <si>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</si>
  <si>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</si>
  <si>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</si>
  <si>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</si>
  <si>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</si>
  <si>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</si>
  <si>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</si>
  <si>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</si>
  <si>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</si>
  <si>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</si>
  <si>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</si>
  <si>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</si>
  <si>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</si>
  <si>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</si>
  <si>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</si>
  <si>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</si>
  <si>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</si>
  <si>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</si>
  <si>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</si>
  <si>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</si>
  <si>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</si>
  <si>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</si>
  <si>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</si>
  <si>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</si>
  <si>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</si>
  <si>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</si>
  <si>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</si>
  <si>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</si>
  <si>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</si>
  <si>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</si>
  <si>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</si>
  <si>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</si>
  <si>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</si>
  <si>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</si>
  <si>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</si>
  <si>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</si>
  <si>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</si>
  <si>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</si>
  <si>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</si>
  <si>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</si>
  <si>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</si>
  <si>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</si>
  <si>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</si>
  <si>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</si>
  <si>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</si>
  <si>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</si>
  <si>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</si>
  <si>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</si>
  <si>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</si>
  <si>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</si>
  <si>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</si>
  <si>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</si>
  <si>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</si>
  <si>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</si>
  <si>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</si>
  <si>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</si>
  <si>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</si>
  <si>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</si>
  <si>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</si>
  <si>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</si>
  <si>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</si>
  <si>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</si>
  <si>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</si>
  <si>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</si>
  <si>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</si>
  <si>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</si>
  <si>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</si>
  <si>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</si>
  <si>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</si>
  <si>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</si>
  <si>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</si>
  <si>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</si>
  <si>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</si>
  <si>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</si>
  <si>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</si>
  <si>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</si>
  <si>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</si>
  <si>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</si>
  <si>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</si>
  <si>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</si>
  <si>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</si>
  <si>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ВЛЗ 15 кВ от ВЛ 15 кВ № 15-482, 15-487 в г.Черняховск</t>
  </si>
  <si>
    <t>Дог № 1045/11/12 от 17.12.2012</t>
  </si>
  <si>
    <t>Закрыт договор</t>
  </si>
  <si>
    <t>г.Черняховск, ул.Калининградская</t>
  </si>
  <si>
    <t>общегородские канализационно-очистные сооружения</t>
  </si>
  <si>
    <t>Снятие сетевых ограничений на возможность присоединения к электрическим сетям.</t>
  </si>
  <si>
    <t>АО "Янтарьэнерго"</t>
  </si>
  <si>
    <t>Калининградская область</t>
  </si>
  <si>
    <t>г. Черняховск</t>
  </si>
  <si>
    <t>Не требуется</t>
  </si>
  <si>
    <t>Да</t>
  </si>
  <si>
    <t>7.17 млн. руб.</t>
  </si>
  <si>
    <t>0.38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</si>
  <si>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</si>
  <si>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</si>
  <si>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</si>
  <si>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</si>
  <si>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</si>
  <si>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Трансформатор силовой</t>
  </si>
  <si>
    <t>15/0.4кВ</t>
  </si>
  <si>
    <t>2шт. ТМГ 1000кВА 15/0.4 кВ</t>
  </si>
  <si>
    <t>2.000 МВА</t>
  </si>
  <si>
    <t>КЛ</t>
  </si>
  <si>
    <t>15 кВ</t>
  </si>
  <si>
    <t>ВЛ</t>
  </si>
  <si>
    <t>0.185 км</t>
  </si>
  <si>
    <t>3.765 км</t>
  </si>
  <si>
    <t>новое строительство</t>
  </si>
  <si>
    <t>2.000 МВА (2.000 МВА) / 3.950 км (3.950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</si>
  <si>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</si>
  <si>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</si>
  <si>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</si>
  <si>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</si>
  <si>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</si>
  <si>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</si>
  <si>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</si>
  <si>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</si>
  <si>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</si>
  <si>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</si>
  <si>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</si>
  <si>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</si>
  <si>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</si>
  <si>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</si>
  <si>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</si>
  <si>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</si>
  <si>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</si>
  <si>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</si>
  <si>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</si>
  <si>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</si>
  <si>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</si>
  <si>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</si>
  <si>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</si>
  <si>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</si>
  <si>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</si>
  <si>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</si>
  <si>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</si>
  <si>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</si>
  <si>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</si>
  <si>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</si>
  <si>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</si>
  <si>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</si>
  <si>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</si>
  <si>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</si>
  <si>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</si>
  <si>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</si>
  <si>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</si>
  <si>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</si>
  <si>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</si>
  <si>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</si>
  <si>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</si>
  <si>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</si>
  <si>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</si>
  <si>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</si>
  <si>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</si>
  <si>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</si>
  <si>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</si>
  <si>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</si>
  <si>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</si>
  <si>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</si>
  <si>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</si>
  <si>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</si>
  <si>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СМР</t>
  </si>
  <si>
    <t>СМР по объекту: «Строительство ТП 15/0,4 кВ, ВЛЗ 15 кВ от ВЛ 15 кВ №15-482,15-487 в г. Черняховске»; - Временная подъездная дорога; - Строительство КЛ 15 кВ.</t>
  </si>
  <si>
    <t>ПСД</t>
  </si>
  <si>
    <t>ОЗП</t>
  </si>
  <si>
    <t>Янтарьэнергосервис АО</t>
  </si>
  <si>
    <t>31503069284</t>
  </si>
  <si>
    <t>etp.rosseti.ru</t>
  </si>
  <si>
    <t>10.12.2015</t>
  </si>
  <si>
    <t>26.01.2016</t>
  </si>
  <si>
    <t>08.02.2016 (факт)</t>
  </si>
  <si>
    <t>Янтарьэнергосервис АО/ ЭССП АО</t>
  </si>
  <si>
    <t>1367/1367.38</t>
  </si>
  <si>
    <t>УСР</t>
  </si>
  <si>
    <t>Янтарьэнергосервис   договор  № 161  от  26/02/16-   в ценах 2016 года с НДС, млн. руб.</t>
  </si>
  <si>
    <t>КалининградПромСтройПроект         договор  № 671  от  16/09/2013-   в ценах 2013 года с НДС, млн. руб.</t>
  </si>
  <si>
    <t>Калмыков Анатолий Иванович ИП      договор  № 493  от  11/12/14-   в ценах 2014 года с НДС, млн. руб.</t>
  </si>
  <si>
    <t>Профи-Строй (Калининград)            договор  № 147  от  30/09/2013-   в ценах 2013 года с НДС, млн. руб.</t>
  </si>
  <si>
    <t>ЭнергоКомплект (Гурьевский р-он)           договор  № 117/2015/ЭК        от  29/07/15-   в ценах 2015 года с НДС, млн. руб.</t>
  </si>
  <si>
    <t>Янтарьэнергосервис    договор  № 70 (заказ 1229 от 06/05/2015)  от  30/12/14-   в ценах 2014 года с НДС, млн. руб.</t>
  </si>
  <si>
    <t>7.1. Контакты зажимов провода на опоре  ВЛ 15 кВ № 15-482  (№ опоры уточнить при проектировании).</t>
  </si>
  <si>
    <t>На границе земельного участка объекта выполнить строительство двухсекционной новой трансформаторной подстанции 15/0.4 кВ с  трансформаторами 15/0.4 кВ, тип ТП (или КТП), оборудования, количество и мощность трансформаторов определить на стадии разработки проектной документации...</t>
  </si>
  <si>
    <t>F_prj_111001_3354</t>
  </si>
  <si>
    <t>1С, 2З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</si>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</sst>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49"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66" fontId="37" fillId="0" borderId="1" xfId="49" applyNumberFormat="1" applyFont="1" applyFill="1" applyBorder="1" applyAlignment="1">
      <alignment horizontal="center" vertical="center"/>
    </xf>
    <xf numFmtId="0" fontId="37" fillId="0" borderId="0" xfId="49" applyFont="1" applyFill="1"/>
    <xf numFmtId="49" fontId="85" fillId="0" borderId="1" xfId="49" applyNumberFormat="1" applyFont="1" applyFill="1" applyBorder="1" applyAlignment="1">
      <alignment horizontal="center" vertical="center"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Alignment="1">
      <alignment horizontal="right" vertical="center"/>
    </xf>
    <xf numFmtId="0" fontId="47"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4290584"/>
        <c:axId val="824290976"/>
      </c:lineChart>
      <c:catAx>
        <c:axId val="824290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290976"/>
        <c:crosses val="autoZero"/>
        <c:auto val="1"/>
        <c:lblAlgn val="ctr"/>
        <c:lblOffset val="100"/>
        <c:noMultiLvlLbl val="0"/>
      </c:catAx>
      <c:valAx>
        <c:axId val="824290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2905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542</v>
      </c>
      <c r="B5" s="366"/>
      <c r="C5" s="366"/>
      <c r="D5" s="167"/>
      <c r="E5" s="167"/>
      <c r="F5" s="167"/>
      <c r="G5" s="167"/>
      <c r="H5" s="167"/>
      <c r="I5" s="167"/>
      <c r="J5" s="167"/>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541</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645</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543</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523</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355</v>
      </c>
      <c r="C22" s="38" t="s">
        <v>647</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548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3"/>
      <c r="B24" s="364"/>
      <c r="C24" s="365"/>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4" t="s">
        <v>472</v>
      </c>
      <c r="C25" s="36" t="s">
        <v>549</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4" t="s">
        <v>76</v>
      </c>
      <c r="C26" s="36" t="s">
        <v>550</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4" t="s">
        <v>75</v>
      </c>
      <c r="C27" s="36" t="s">
        <v>551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4" t="s">
        <v>473</v>
      </c>
      <c r="C28" s="36"/>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4" t="s">
        <v>474</v>
      </c>
      <c r="C29" s="36"/>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4" t="s">
        <v>475</v>
      </c>
      <c r="C30" s="36"/>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476</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477</v>
      </c>
      <c r="C32" s="36"/>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478</v>
      </c>
      <c r="C33" s="158"/>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492</v>
      </c>
      <c r="B34" s="41" t="s">
        <v>479</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482</v>
      </c>
      <c r="B35" s="41" t="s">
        <v>73</v>
      </c>
      <c r="C35" s="25"/>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493</v>
      </c>
      <c r="B36" s="41" t="s">
        <v>480</v>
      </c>
      <c r="C36" s="25" t="s">
        <v>552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483</v>
      </c>
      <c r="B37" s="41" t="s">
        <v>481</v>
      </c>
      <c r="C37" s="25" t="s">
        <v>553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494</v>
      </c>
      <c r="B38" s="41" t="s">
        <v>236</v>
      </c>
      <c r="C38" s="25" t="s">
        <v>552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3"/>
      <c r="B39" s="364"/>
      <c r="C39" s="365"/>
      <c r="D39" s="23"/>
      <c r="E39" s="23"/>
      <c r="F39" s="23"/>
      <c r="G39" s="23"/>
      <c r="H39" s="23"/>
      <c r="I39" s="23"/>
      <c r="J39" s="23"/>
      <c r="K39" s="23"/>
      <c r="L39" s="23"/>
      <c r="M39" s="23"/>
      <c r="N39" s="23"/>
      <c r="O39" s="23"/>
      <c r="P39" s="23"/>
      <c r="Q39" s="23"/>
      <c r="R39" s="23"/>
      <c r="S39" s="23"/>
      <c r="T39" s="23"/>
      <c r="U39" s="23"/>
      <c r="V39" s="23"/>
    </row>
    <row r="40" spans="1:22" ht="63" x14ac:dyDescent="0.25">
      <c r="A40" s="24" t="s">
        <v>484</v>
      </c>
      <c r="B40" s="41" t="s">
        <v>536</v>
      </c>
      <c r="C40" s="2" t="s">
        <v>650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495</v>
      </c>
      <c r="B41" s="41" t="s">
        <v>518</v>
      </c>
      <c r="C41" s="2" t="s">
        <v>650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485</v>
      </c>
      <c r="B42" s="41" t="s">
        <v>533</v>
      </c>
      <c r="C42" s="2" t="s">
        <v>650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498</v>
      </c>
      <c r="B43" s="41" t="s">
        <v>499</v>
      </c>
      <c r="C43" s="2" t="s">
        <v>650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486</v>
      </c>
      <c r="B44" s="41" t="s">
        <v>524</v>
      </c>
      <c r="C44" s="2" t="s">
        <v>650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519</v>
      </c>
      <c r="B45" s="41" t="s">
        <v>525</v>
      </c>
      <c r="C45" s="2" t="s">
        <v>650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487</v>
      </c>
      <c r="B46" s="41" t="s">
        <v>526</v>
      </c>
      <c r="C46" s="2" t="s">
        <v>650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3"/>
      <c r="B47" s="364"/>
      <c r="C47" s="36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520</v>
      </c>
      <c r="B48" s="41" t="s">
        <v>534</v>
      </c>
      <c r="C48" s="25" t="s">
        <v>554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488</v>
      </c>
      <c r="B49" s="41" t="s">
        <v>535</v>
      </c>
      <c r="C49" s="25" t="s">
        <v>555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9" sqref="J29"/>
    </sheetView>
  </sheetViews>
  <sheetFormatPr defaultColWidth="9.140625" defaultRowHeight="15.75" x14ac:dyDescent="0.25"/>
  <cols>
    <col min="1" max="1" width="9.140625" style="64"/>
    <col min="2" max="2" width="57.85546875" style="64" customWidth="1"/>
    <col min="3" max="3" width="13" style="64" customWidth="1"/>
    <col min="4" max="4" width="17.85546875" style="357" customWidth="1"/>
    <col min="5" max="5" width="20.42578125" style="64" customWidth="1"/>
    <col min="6" max="6" width="18.7109375" style="64" customWidth="1"/>
    <col min="7" max="7" width="12.85546875" style="65" customWidth="1"/>
    <col min="8" max="8" width="9.285156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27" width="6.140625" style="64" customWidth="1"/>
    <col min="28" max="28" width="13.140625" style="64" customWidth="1"/>
    <col min="29" max="29" width="24.85546875" style="357" customWidth="1"/>
    <col min="30" max="16384" width="9.140625" style="64"/>
  </cols>
  <sheetData>
    <row r="1" spans="1:29" ht="18.75" x14ac:dyDescent="0.25">
      <c r="A1" s="65"/>
      <c r="B1" s="65"/>
      <c r="C1" s="65"/>
      <c r="D1" s="358"/>
      <c r="E1" s="65"/>
      <c r="F1" s="65"/>
      <c r="L1" s="65"/>
      <c r="M1" s="65"/>
      <c r="AC1" s="355" t="s">
        <v>70</v>
      </c>
    </row>
    <row r="2" spans="1:29" ht="18.75" x14ac:dyDescent="0.3">
      <c r="A2" s="65"/>
      <c r="B2" s="65"/>
      <c r="C2" s="65"/>
      <c r="D2" s="358"/>
      <c r="E2" s="65"/>
      <c r="F2" s="65"/>
      <c r="L2" s="65"/>
      <c r="M2" s="65"/>
      <c r="AC2" s="356" t="s">
        <v>11</v>
      </c>
    </row>
    <row r="3" spans="1:29" ht="18.75" x14ac:dyDescent="0.3">
      <c r="A3" s="65"/>
      <c r="B3" s="65"/>
      <c r="C3" s="65"/>
      <c r="D3" s="358"/>
      <c r="E3" s="65"/>
      <c r="F3" s="65"/>
      <c r="L3" s="65"/>
      <c r="M3" s="65"/>
      <c r="AC3" s="356" t="s">
        <v>69</v>
      </c>
    </row>
    <row r="4" spans="1:29" ht="18.75" customHeight="1" x14ac:dyDescent="0.25">
      <c r="A4" s="438" t="str">
        <f>'[3]1.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65"/>
      <c r="B5" s="65"/>
      <c r="C5" s="65"/>
      <c r="D5" s="358"/>
      <c r="E5" s="65"/>
      <c r="F5" s="65"/>
      <c r="L5" s="65"/>
      <c r="M5" s="65"/>
      <c r="AC5" s="356"/>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0"/>
      <c r="B7" s="160"/>
      <c r="C7" s="160"/>
      <c r="D7" s="160"/>
      <c r="E7" s="160"/>
      <c r="F7" s="160"/>
      <c r="G7" s="160"/>
      <c r="H7" s="160"/>
      <c r="I7" s="160"/>
      <c r="J7" s="79"/>
      <c r="K7" s="79"/>
      <c r="L7" s="79"/>
      <c r="M7" s="79"/>
      <c r="N7" s="79"/>
      <c r="O7" s="79"/>
      <c r="P7" s="79"/>
      <c r="Q7" s="79"/>
      <c r="R7" s="79"/>
      <c r="S7" s="79"/>
      <c r="T7" s="79"/>
      <c r="U7" s="79"/>
      <c r="V7" s="79"/>
      <c r="W7" s="79"/>
      <c r="X7" s="79"/>
      <c r="Y7" s="79"/>
      <c r="Z7" s="79"/>
      <c r="AA7" s="79"/>
      <c r="AB7" s="79"/>
      <c r="AC7" s="79"/>
    </row>
    <row r="8" spans="1:29" x14ac:dyDescent="0.25">
      <c r="A8" s="439" t="str">
        <f>'1. паспорт местоположение'!A9:C9</f>
        <v xml:space="preserve">                         АО "Янтарьэнерго"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0"/>
      <c r="B10" s="160"/>
      <c r="C10" s="160"/>
      <c r="D10" s="160"/>
      <c r="E10" s="160"/>
      <c r="F10" s="160"/>
      <c r="G10" s="160"/>
      <c r="H10" s="160"/>
      <c r="I10" s="160"/>
      <c r="J10" s="79"/>
      <c r="K10" s="79"/>
      <c r="L10" s="79"/>
      <c r="M10" s="79"/>
      <c r="N10" s="79"/>
      <c r="O10" s="79"/>
      <c r="P10" s="79"/>
      <c r="Q10" s="79"/>
      <c r="R10" s="79"/>
      <c r="S10" s="79"/>
      <c r="T10" s="79"/>
      <c r="U10" s="79"/>
      <c r="V10" s="79"/>
      <c r="W10" s="79"/>
      <c r="X10" s="79"/>
      <c r="Y10" s="79"/>
      <c r="Z10" s="79"/>
      <c r="AA10" s="79"/>
      <c r="AB10" s="79"/>
      <c r="AC10" s="79"/>
    </row>
    <row r="11" spans="1:29" x14ac:dyDescent="0.25">
      <c r="A11" s="439" t="str">
        <f>'1. паспорт местоположение'!A12:C12</f>
        <v>F_prj_111001_3354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9"/>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40" t="str">
        <f>'1. паспорт местоположение'!A15:C15</f>
        <v>Строительство ТП 15/0.4 кВ, ВЛЗ 15 кВ от ВЛ 15 кВ № 15-482, 15-487 в г.Черняховск</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42" t="s">
        <v>508</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65"/>
      <c r="B19" s="65"/>
      <c r="C19" s="65"/>
      <c r="D19" s="358"/>
      <c r="E19" s="65"/>
      <c r="F19" s="65"/>
      <c r="L19" s="65"/>
      <c r="M19" s="65"/>
      <c r="N19" s="65"/>
      <c r="O19" s="65"/>
      <c r="P19" s="65"/>
      <c r="Q19" s="65"/>
      <c r="R19" s="65"/>
      <c r="S19" s="65"/>
      <c r="T19" s="65"/>
      <c r="U19" s="65"/>
      <c r="V19" s="65"/>
      <c r="W19" s="65"/>
      <c r="X19" s="65"/>
      <c r="Y19" s="65"/>
      <c r="Z19" s="65"/>
      <c r="AA19" s="65"/>
      <c r="AB19" s="65"/>
    </row>
    <row r="20" spans="1:32" ht="33" customHeight="1" x14ac:dyDescent="0.25">
      <c r="A20" s="443" t="s">
        <v>191</v>
      </c>
      <c r="B20" s="443" t="s">
        <v>190</v>
      </c>
      <c r="C20" s="427" t="s">
        <v>189</v>
      </c>
      <c r="D20" s="427"/>
      <c r="E20" s="445" t="s">
        <v>188</v>
      </c>
      <c r="F20" s="445"/>
      <c r="G20" s="446" t="s">
        <v>572</v>
      </c>
      <c r="H20" s="449" t="s">
        <v>573</v>
      </c>
      <c r="I20" s="450"/>
      <c r="J20" s="450"/>
      <c r="K20" s="450"/>
      <c r="L20" s="449" t="s">
        <v>574</v>
      </c>
      <c r="M20" s="450"/>
      <c r="N20" s="450"/>
      <c r="O20" s="450"/>
      <c r="P20" s="449" t="s">
        <v>575</v>
      </c>
      <c r="Q20" s="450"/>
      <c r="R20" s="450"/>
      <c r="S20" s="450"/>
      <c r="T20" s="449" t="s">
        <v>576</v>
      </c>
      <c r="U20" s="450"/>
      <c r="V20" s="450"/>
      <c r="W20" s="450"/>
      <c r="X20" s="449" t="s">
        <v>577</v>
      </c>
      <c r="Y20" s="450"/>
      <c r="Z20" s="450"/>
      <c r="AA20" s="450"/>
      <c r="AB20" s="451" t="s">
        <v>187</v>
      </c>
      <c r="AC20" s="452"/>
      <c r="AD20" s="77"/>
      <c r="AE20" s="77"/>
      <c r="AF20" s="77"/>
    </row>
    <row r="21" spans="1:32" ht="99.75" customHeight="1" x14ac:dyDescent="0.25">
      <c r="A21" s="444"/>
      <c r="B21" s="444"/>
      <c r="C21" s="427"/>
      <c r="D21" s="427"/>
      <c r="E21" s="445"/>
      <c r="F21" s="445"/>
      <c r="G21" s="447"/>
      <c r="H21" s="455" t="s">
        <v>3</v>
      </c>
      <c r="I21" s="455"/>
      <c r="J21" s="455" t="s">
        <v>651</v>
      </c>
      <c r="K21" s="455"/>
      <c r="L21" s="455" t="s">
        <v>3</v>
      </c>
      <c r="M21" s="455"/>
      <c r="N21" s="455" t="s">
        <v>186</v>
      </c>
      <c r="O21" s="455"/>
      <c r="P21" s="455" t="s">
        <v>3</v>
      </c>
      <c r="Q21" s="455"/>
      <c r="R21" s="455" t="s">
        <v>186</v>
      </c>
      <c r="S21" s="455"/>
      <c r="T21" s="455" t="s">
        <v>3</v>
      </c>
      <c r="U21" s="455"/>
      <c r="V21" s="455" t="s">
        <v>186</v>
      </c>
      <c r="W21" s="455"/>
      <c r="X21" s="455" t="s">
        <v>3</v>
      </c>
      <c r="Y21" s="455"/>
      <c r="Z21" s="455" t="s">
        <v>186</v>
      </c>
      <c r="AA21" s="455"/>
      <c r="AB21" s="453"/>
      <c r="AC21" s="454"/>
    </row>
    <row r="22" spans="1:32" ht="89.25" customHeight="1" x14ac:dyDescent="0.25">
      <c r="A22" s="434"/>
      <c r="B22" s="434"/>
      <c r="C22" s="178" t="s">
        <v>3</v>
      </c>
      <c r="D22" s="348" t="s">
        <v>183</v>
      </c>
      <c r="E22" s="194" t="s">
        <v>578</v>
      </c>
      <c r="F22" s="76" t="s">
        <v>185</v>
      </c>
      <c r="G22" s="448"/>
      <c r="H22" s="195" t="s">
        <v>489</v>
      </c>
      <c r="I22" s="195" t="s">
        <v>490</v>
      </c>
      <c r="J22" s="195" t="s">
        <v>489</v>
      </c>
      <c r="K22" s="195" t="s">
        <v>490</v>
      </c>
      <c r="L22" s="195" t="s">
        <v>489</v>
      </c>
      <c r="M22" s="195" t="s">
        <v>490</v>
      </c>
      <c r="N22" s="195" t="s">
        <v>489</v>
      </c>
      <c r="O22" s="195" t="s">
        <v>490</v>
      </c>
      <c r="P22" s="195" t="s">
        <v>489</v>
      </c>
      <c r="Q22" s="195" t="s">
        <v>490</v>
      </c>
      <c r="R22" s="195" t="s">
        <v>489</v>
      </c>
      <c r="S22" s="195" t="s">
        <v>490</v>
      </c>
      <c r="T22" s="195" t="s">
        <v>489</v>
      </c>
      <c r="U22" s="195" t="s">
        <v>490</v>
      </c>
      <c r="V22" s="195" t="s">
        <v>489</v>
      </c>
      <c r="W22" s="195" t="s">
        <v>490</v>
      </c>
      <c r="X22" s="195" t="s">
        <v>489</v>
      </c>
      <c r="Y22" s="195" t="s">
        <v>490</v>
      </c>
      <c r="Z22" s="195" t="s">
        <v>489</v>
      </c>
      <c r="AA22" s="195" t="s">
        <v>490</v>
      </c>
      <c r="AB22" s="178" t="s">
        <v>184</v>
      </c>
      <c r="AC22" s="348" t="s">
        <v>183</v>
      </c>
    </row>
    <row r="23" spans="1:32" ht="19.5" customHeight="1" x14ac:dyDescent="0.25">
      <c r="A23" s="177">
        <v>1</v>
      </c>
      <c r="B23" s="177">
        <f>A23+1</f>
        <v>2</v>
      </c>
      <c r="C23" s="177">
        <f t="shared" ref="C23:AC23" si="0">B23+1</f>
        <v>3</v>
      </c>
      <c r="D23" s="347">
        <f t="shared" si="0"/>
        <v>4</v>
      </c>
      <c r="E23" s="177">
        <f t="shared" si="0"/>
        <v>5</v>
      </c>
      <c r="F23" s="177">
        <f t="shared" si="0"/>
        <v>6</v>
      </c>
      <c r="G23" s="177">
        <f t="shared" si="0"/>
        <v>7</v>
      </c>
      <c r="H23" s="177">
        <f t="shared" si="0"/>
        <v>8</v>
      </c>
      <c r="I23" s="177">
        <f t="shared" si="0"/>
        <v>9</v>
      </c>
      <c r="J23" s="177">
        <f t="shared" si="0"/>
        <v>10</v>
      </c>
      <c r="K23" s="177">
        <f t="shared" si="0"/>
        <v>11</v>
      </c>
      <c r="L23" s="177">
        <f t="shared" si="0"/>
        <v>12</v>
      </c>
      <c r="M23" s="177">
        <f t="shared" si="0"/>
        <v>13</v>
      </c>
      <c r="N23" s="177">
        <f t="shared" si="0"/>
        <v>14</v>
      </c>
      <c r="O23" s="177">
        <f t="shared" si="0"/>
        <v>15</v>
      </c>
      <c r="P23" s="177">
        <f t="shared" si="0"/>
        <v>16</v>
      </c>
      <c r="Q23" s="177">
        <f t="shared" si="0"/>
        <v>17</v>
      </c>
      <c r="R23" s="177">
        <f t="shared" si="0"/>
        <v>18</v>
      </c>
      <c r="S23" s="177">
        <f t="shared" si="0"/>
        <v>19</v>
      </c>
      <c r="T23" s="177">
        <f t="shared" si="0"/>
        <v>20</v>
      </c>
      <c r="U23" s="177">
        <f t="shared" si="0"/>
        <v>21</v>
      </c>
      <c r="V23" s="177">
        <f t="shared" si="0"/>
        <v>22</v>
      </c>
      <c r="W23" s="177">
        <f t="shared" si="0"/>
        <v>23</v>
      </c>
      <c r="X23" s="177">
        <f t="shared" si="0"/>
        <v>24</v>
      </c>
      <c r="Y23" s="177">
        <f t="shared" si="0"/>
        <v>25</v>
      </c>
      <c r="Z23" s="177">
        <f t="shared" si="0"/>
        <v>26</v>
      </c>
      <c r="AA23" s="177">
        <f t="shared" si="0"/>
        <v>27</v>
      </c>
      <c r="AB23" s="177">
        <f>AA23+1</f>
        <v>28</v>
      </c>
      <c r="AC23" s="347">
        <f t="shared" si="0"/>
        <v>29</v>
      </c>
    </row>
    <row r="24" spans="1:32" s="357" customFormat="1" ht="47.25" customHeight="1" x14ac:dyDescent="0.25">
      <c r="A24" s="75">
        <v>1</v>
      </c>
      <c r="B24" s="349" t="s">
        <v>182</v>
      </c>
      <c r="C24" s="491">
        <f>SUM(C25:C29)</f>
        <v>12.167949665</v>
      </c>
      <c r="D24" s="491"/>
      <c r="E24" s="491">
        <f t="shared" ref="E24:AC24" si="1">SUM(E25:E29)</f>
        <v>11.015700000999999</v>
      </c>
      <c r="F24" s="491">
        <f t="shared" si="1"/>
        <v>0</v>
      </c>
      <c r="G24" s="491">
        <f t="shared" si="1"/>
        <v>3.8429602688000002</v>
      </c>
      <c r="H24" s="491">
        <f>SUM(H25:H29)</f>
        <v>7.1727397321999993</v>
      </c>
      <c r="I24" s="491">
        <f t="shared" si="1"/>
        <v>0</v>
      </c>
      <c r="J24" s="491">
        <f t="shared" si="1"/>
        <v>6.7440626722000001</v>
      </c>
      <c r="K24" s="491">
        <f t="shared" si="1"/>
        <v>0</v>
      </c>
      <c r="L24" s="491">
        <f t="shared" si="1"/>
        <v>0</v>
      </c>
      <c r="M24" s="491">
        <f t="shared" si="1"/>
        <v>0</v>
      </c>
      <c r="N24" s="491">
        <f t="shared" si="1"/>
        <v>0</v>
      </c>
      <c r="O24" s="491">
        <f t="shared" si="1"/>
        <v>0</v>
      </c>
      <c r="P24" s="491">
        <f t="shared" si="1"/>
        <v>0</v>
      </c>
      <c r="Q24" s="491">
        <f t="shared" si="1"/>
        <v>0</v>
      </c>
      <c r="R24" s="491">
        <f t="shared" si="1"/>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7.1727397321999993</v>
      </c>
      <c r="AC24" s="491"/>
    </row>
    <row r="25" spans="1:32" ht="24" customHeight="1" x14ac:dyDescent="0.25">
      <c r="A25" s="74" t="s">
        <v>181</v>
      </c>
      <c r="B25" s="350" t="s">
        <v>180</v>
      </c>
      <c r="C25" s="491">
        <v>0</v>
      </c>
      <c r="D25" s="491"/>
      <c r="E25" s="493">
        <f>G25+H25+N25+R25+V25+Z25</f>
        <v>0</v>
      </c>
      <c r="F25" s="493">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2" x14ac:dyDescent="0.25">
      <c r="A26" s="74" t="s">
        <v>179</v>
      </c>
      <c r="B26" s="350" t="s">
        <v>178</v>
      </c>
      <c r="C26" s="491">
        <v>0</v>
      </c>
      <c r="D26" s="491"/>
      <c r="E26" s="493">
        <f>G26+H26+N26+R26+V26+Z26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2" ht="31.5" x14ac:dyDescent="0.25">
      <c r="A27" s="74" t="s">
        <v>177</v>
      </c>
      <c r="B27" s="350" t="s">
        <v>445</v>
      </c>
      <c r="C27" s="491">
        <v>0</v>
      </c>
      <c r="D27" s="491"/>
      <c r="E27" s="493">
        <f>G27+H27+N27+R27+V27+Z27</f>
        <v>0</v>
      </c>
      <c r="F27" s="492">
        <v>0</v>
      </c>
      <c r="G27" s="492">
        <v>0</v>
      </c>
      <c r="H27" s="492">
        <v>0</v>
      </c>
      <c r="I27" s="492">
        <v>0</v>
      </c>
      <c r="J27" s="492"/>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v>
      </c>
      <c r="AC27" s="491"/>
    </row>
    <row r="28" spans="1:32" x14ac:dyDescent="0.25">
      <c r="A28" s="74" t="s">
        <v>176</v>
      </c>
      <c r="B28" s="350" t="s">
        <v>579</v>
      </c>
      <c r="C28" s="491">
        <f>C30</f>
        <v>10.31182175</v>
      </c>
      <c r="D28" s="491"/>
      <c r="E28" s="493">
        <f>G28+H28+N28+R28+V28+Z28</f>
        <v>9.3353389838983052</v>
      </c>
      <c r="F28" s="492">
        <v>0</v>
      </c>
      <c r="G28" s="492">
        <f>3.8429602688/1.18</f>
        <v>3.2567459905084748</v>
      </c>
      <c r="H28" s="492">
        <v>6.0785929933898304</v>
      </c>
      <c r="I28" s="492">
        <v>0</v>
      </c>
      <c r="J28" s="492">
        <v>5.7166656933898299</v>
      </c>
      <c r="K28" s="492"/>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1">
        <f>H28+N28+R28+V28+Z28</f>
        <v>6.0785929933898304</v>
      </c>
      <c r="AC28" s="491"/>
    </row>
    <row r="29" spans="1:32" x14ac:dyDescent="0.25">
      <c r="A29" s="74" t="s">
        <v>175</v>
      </c>
      <c r="B29" s="351" t="s">
        <v>174</v>
      </c>
      <c r="C29" s="491">
        <f>12.167949665-C30</f>
        <v>1.8561279150000001</v>
      </c>
      <c r="D29" s="491"/>
      <c r="E29" s="493">
        <f>G29+H29+N29+R29+V29+Z29</f>
        <v>1.6803610171016943</v>
      </c>
      <c r="F29" s="492">
        <v>0</v>
      </c>
      <c r="G29" s="492">
        <f>3.8429602688/1.18*0.18</f>
        <v>0.58621427829152539</v>
      </c>
      <c r="H29" s="492">
        <v>1.0941467388101689</v>
      </c>
      <c r="I29" s="492">
        <v>0</v>
      </c>
      <c r="J29" s="492">
        <v>1.02739697881017</v>
      </c>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1">
        <f>H29+N29+R29+V29+Z29</f>
        <v>1.0941467388101689</v>
      </c>
      <c r="AC29" s="491"/>
    </row>
    <row r="30" spans="1:32" s="357" customFormat="1" ht="47.25" x14ac:dyDescent="0.25">
      <c r="A30" s="75" t="s">
        <v>64</v>
      </c>
      <c r="B30" s="349" t="s">
        <v>173</v>
      </c>
      <c r="C30" s="491">
        <f>SUM(C31:C34)</f>
        <v>10.31182175</v>
      </c>
      <c r="D30" s="491"/>
      <c r="E30" s="494">
        <f>G30+H30+N30+R30+V30+Z30</f>
        <v>8.890216950000001</v>
      </c>
      <c r="F30" s="491">
        <f t="shared" ref="F30:AB30" si="2">SUM(F31:F34)</f>
        <v>0</v>
      </c>
      <c r="G30" s="491">
        <f t="shared" si="2"/>
        <v>8.5092169500000008</v>
      </c>
      <c r="H30" s="491">
        <f t="shared" si="2"/>
        <v>0.38100000000000023</v>
      </c>
      <c r="I30" s="491">
        <f t="shared" si="2"/>
        <v>0</v>
      </c>
      <c r="J30" s="491">
        <f t="shared" si="2"/>
        <v>1.3864609299999999</v>
      </c>
      <c r="K30" s="491">
        <f t="shared" si="2"/>
        <v>0</v>
      </c>
      <c r="L30" s="491">
        <f t="shared" si="2"/>
        <v>0</v>
      </c>
      <c r="M30" s="491">
        <f t="shared" si="2"/>
        <v>0</v>
      </c>
      <c r="N30" s="491">
        <f t="shared" si="2"/>
        <v>0</v>
      </c>
      <c r="O30" s="491">
        <f t="shared" si="2"/>
        <v>0</v>
      </c>
      <c r="P30" s="491">
        <f t="shared" si="2"/>
        <v>0</v>
      </c>
      <c r="Q30" s="491">
        <f t="shared" si="2"/>
        <v>0</v>
      </c>
      <c r="R30" s="491">
        <f t="shared" si="2"/>
        <v>0</v>
      </c>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H30+N30+R30+V30+Z30</f>
        <v>0.38100000000000023</v>
      </c>
      <c r="AC30" s="491"/>
    </row>
    <row r="31" spans="1:32" x14ac:dyDescent="0.25">
      <c r="A31" s="75" t="s">
        <v>172</v>
      </c>
      <c r="B31" s="350" t="s">
        <v>171</v>
      </c>
      <c r="C31" s="491">
        <v>0.53900000000000003</v>
      </c>
      <c r="D31" s="491"/>
      <c r="E31" s="492">
        <v>0</v>
      </c>
      <c r="F31" s="492">
        <v>0</v>
      </c>
      <c r="G31" s="492">
        <v>0</v>
      </c>
      <c r="H31" s="492">
        <v>0</v>
      </c>
      <c r="I31" s="492">
        <v>0</v>
      </c>
      <c r="J31" s="492"/>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1">
        <f t="shared" ref="AB31:AB32" si="3">H31+N31+R31+V31+Z31</f>
        <v>0</v>
      </c>
      <c r="AC31" s="494"/>
    </row>
    <row r="32" spans="1:32" ht="31.5" x14ac:dyDescent="0.25">
      <c r="A32" s="75" t="s">
        <v>170</v>
      </c>
      <c r="B32" s="350" t="s">
        <v>169</v>
      </c>
      <c r="C32" s="491">
        <v>4.282</v>
      </c>
      <c r="D32" s="491"/>
      <c r="E32" s="492">
        <v>0</v>
      </c>
      <c r="F32" s="492">
        <v>0</v>
      </c>
      <c r="G32" s="492">
        <v>4.2817348300000004</v>
      </c>
      <c r="H32" s="492">
        <v>0.38100000000000023</v>
      </c>
      <c r="I32" s="492">
        <v>0</v>
      </c>
      <c r="J32" s="492">
        <v>1.33409552</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1">
        <f t="shared" si="3"/>
        <v>0.38100000000000023</v>
      </c>
      <c r="AC32" s="494"/>
    </row>
    <row r="33" spans="1:29" x14ac:dyDescent="0.25">
      <c r="A33" s="75" t="s">
        <v>168</v>
      </c>
      <c r="B33" s="350" t="s">
        <v>167</v>
      </c>
      <c r="C33" s="491">
        <v>4.5869999999999997</v>
      </c>
      <c r="D33" s="491"/>
      <c r="E33" s="492">
        <v>0</v>
      </c>
      <c r="F33" s="492">
        <v>0</v>
      </c>
      <c r="G33" s="492">
        <v>3.7047121900000004</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4">
        <v>0</v>
      </c>
      <c r="AC33" s="494"/>
    </row>
    <row r="34" spans="1:29" x14ac:dyDescent="0.25">
      <c r="A34" s="75" t="s">
        <v>166</v>
      </c>
      <c r="B34" s="350" t="s">
        <v>165</v>
      </c>
      <c r="C34" s="491">
        <v>0.90382175000000053</v>
      </c>
      <c r="D34" s="491"/>
      <c r="E34" s="492">
        <v>0</v>
      </c>
      <c r="F34" s="492">
        <v>0</v>
      </c>
      <c r="G34" s="492">
        <v>0.52276992999999994</v>
      </c>
      <c r="H34" s="492">
        <v>0</v>
      </c>
      <c r="I34" s="492">
        <v>0</v>
      </c>
      <c r="J34" s="492">
        <v>5.2365410000000001E-2</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4">
        <v>0</v>
      </c>
      <c r="AC34" s="494"/>
    </row>
    <row r="35" spans="1:29" s="357" customFormat="1" ht="31.5" x14ac:dyDescent="0.25">
      <c r="A35" s="75" t="s">
        <v>63</v>
      </c>
      <c r="B35" s="349" t="s">
        <v>164</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v>0</v>
      </c>
      <c r="AC35" s="494">
        <v>0</v>
      </c>
    </row>
    <row r="36" spans="1:29" ht="31.5" x14ac:dyDescent="0.25">
      <c r="A36" s="74" t="s">
        <v>163</v>
      </c>
      <c r="B36" s="352" t="s">
        <v>162</v>
      </c>
      <c r="C36" s="495">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4">J36+N36+R36+V36+Z36</f>
        <v>0</v>
      </c>
    </row>
    <row r="37" spans="1:29" x14ac:dyDescent="0.25">
      <c r="A37" s="74" t="s">
        <v>161</v>
      </c>
      <c r="B37" s="352" t="s">
        <v>151</v>
      </c>
      <c r="C37" s="491">
        <v>2</v>
      </c>
      <c r="D37" s="491"/>
      <c r="E37" s="492">
        <f>G37+H37+N37+R37+V37+Z37</f>
        <v>2</v>
      </c>
      <c r="F37" s="492">
        <v>0</v>
      </c>
      <c r="G37" s="492">
        <v>0</v>
      </c>
      <c r="H37" s="492">
        <v>2</v>
      </c>
      <c r="I37" s="492">
        <v>0</v>
      </c>
      <c r="J37" s="492">
        <v>2</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1">
        <f>H37+N37+R37+V37+Z37</f>
        <v>2</v>
      </c>
      <c r="AC37" s="491"/>
    </row>
    <row r="38" spans="1:29" x14ac:dyDescent="0.25">
      <c r="A38" s="74" t="s">
        <v>160</v>
      </c>
      <c r="B38" s="352" t="s">
        <v>149</v>
      </c>
      <c r="C38" s="491">
        <v>0</v>
      </c>
      <c r="D38" s="491"/>
      <c r="E38" s="492">
        <v>0</v>
      </c>
      <c r="F38" s="492">
        <v>0</v>
      </c>
      <c r="G38" s="492">
        <v>0</v>
      </c>
      <c r="H38" s="492">
        <v>0</v>
      </c>
      <c r="I38" s="492">
        <v>0</v>
      </c>
      <c r="J38" s="492"/>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1">
        <f>H38+N38+R38+V38+Z38</f>
        <v>0</v>
      </c>
      <c r="AC38" s="491"/>
    </row>
    <row r="39" spans="1:29" ht="31.5" x14ac:dyDescent="0.25">
      <c r="A39" s="74" t="s">
        <v>159</v>
      </c>
      <c r="B39" s="350" t="s">
        <v>147</v>
      </c>
      <c r="C39" s="491">
        <v>3.7650000000000001</v>
      </c>
      <c r="D39" s="491"/>
      <c r="E39" s="492">
        <f>G39+H39+N39+R39+V39+Z39</f>
        <v>3.7650000000000001</v>
      </c>
      <c r="F39" s="492">
        <v>0</v>
      </c>
      <c r="G39" s="492">
        <v>0</v>
      </c>
      <c r="H39" s="492">
        <v>3.7650000000000001</v>
      </c>
      <c r="I39" s="492">
        <v>0</v>
      </c>
      <c r="J39" s="492">
        <v>3.7385000000000002</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1">
        <f>H39+N39+R39+V39+Z39</f>
        <v>3.7650000000000001</v>
      </c>
      <c r="AC39" s="491"/>
    </row>
    <row r="40" spans="1:29" ht="31.5" x14ac:dyDescent="0.25">
      <c r="A40" s="74" t="s">
        <v>158</v>
      </c>
      <c r="B40" s="350" t="s">
        <v>145</v>
      </c>
      <c r="C40" s="491">
        <v>0</v>
      </c>
      <c r="D40" s="491"/>
      <c r="E40" s="492">
        <v>0</v>
      </c>
      <c r="F40" s="492">
        <v>0</v>
      </c>
      <c r="G40" s="492">
        <v>0</v>
      </c>
      <c r="H40" s="492">
        <v>0</v>
      </c>
      <c r="I40" s="492">
        <v>0</v>
      </c>
      <c r="J40" s="492"/>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1">
        <f>H40+N40+R40+V40+Z40</f>
        <v>0</v>
      </c>
      <c r="AC40" s="491"/>
    </row>
    <row r="41" spans="1:29" x14ac:dyDescent="0.25">
      <c r="A41" s="74" t="s">
        <v>157</v>
      </c>
      <c r="B41" s="350" t="s">
        <v>143</v>
      </c>
      <c r="C41" s="491">
        <v>0.185</v>
      </c>
      <c r="D41" s="491"/>
      <c r="E41" s="492">
        <f>G41+H41+N41+R41+V41+Z41</f>
        <v>0.185</v>
      </c>
      <c r="F41" s="492">
        <v>0</v>
      </c>
      <c r="G41" s="492">
        <v>0</v>
      </c>
      <c r="H41" s="492">
        <v>0.185</v>
      </c>
      <c r="I41" s="492">
        <v>0</v>
      </c>
      <c r="J41" s="492">
        <v>0.85000000000000009</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1">
        <f>H41+N41+R41+V41+Z41</f>
        <v>0.185</v>
      </c>
      <c r="AC41" s="491"/>
    </row>
    <row r="42" spans="1:29" ht="18.75" x14ac:dyDescent="0.25">
      <c r="A42" s="74" t="s">
        <v>156</v>
      </c>
      <c r="B42" s="352" t="s">
        <v>648</v>
      </c>
      <c r="C42" s="491">
        <v>0</v>
      </c>
      <c r="D42" s="491"/>
      <c r="E42" s="492">
        <v>0</v>
      </c>
      <c r="F42" s="492">
        <v>0</v>
      </c>
      <c r="G42" s="492">
        <v>0</v>
      </c>
      <c r="H42" s="492">
        <v>0</v>
      </c>
      <c r="I42" s="492">
        <v>0</v>
      </c>
      <c r="J42" s="492"/>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1">
        <f>H42+N42+R42+V42+Z42</f>
        <v>0</v>
      </c>
      <c r="AC42" s="491"/>
    </row>
    <row r="43" spans="1:29" s="357" customFormat="1" x14ac:dyDescent="0.25">
      <c r="A43" s="75" t="s">
        <v>62</v>
      </c>
      <c r="B43" s="349" t="s">
        <v>155</v>
      </c>
      <c r="C43" s="491">
        <v>0</v>
      </c>
      <c r="D43" s="491"/>
      <c r="E43" s="491">
        <v>0</v>
      </c>
      <c r="F43" s="491">
        <v>0</v>
      </c>
      <c r="G43" s="491">
        <v>0</v>
      </c>
      <c r="H43" s="491">
        <v>0</v>
      </c>
      <c r="I43" s="491">
        <v>0</v>
      </c>
      <c r="J43" s="491"/>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4">
        <v>0</v>
      </c>
      <c r="AC43" s="494"/>
    </row>
    <row r="44" spans="1:29" x14ac:dyDescent="0.25">
      <c r="A44" s="74" t="s">
        <v>154</v>
      </c>
      <c r="B44" s="350" t="s">
        <v>153</v>
      </c>
      <c r="C44" s="491">
        <v>0</v>
      </c>
      <c r="D44" s="491"/>
      <c r="E44" s="492">
        <v>0</v>
      </c>
      <c r="F44" s="492">
        <v>0</v>
      </c>
      <c r="G44" s="492">
        <v>0</v>
      </c>
      <c r="H44" s="492">
        <v>0</v>
      </c>
      <c r="I44" s="492">
        <v>0</v>
      </c>
      <c r="J44" s="492"/>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1">
        <f>H44+N44+R44+V44+Z44</f>
        <v>0</v>
      </c>
      <c r="AC44" s="491"/>
    </row>
    <row r="45" spans="1:29" x14ac:dyDescent="0.25">
      <c r="A45" s="74" t="s">
        <v>152</v>
      </c>
      <c r="B45" s="350" t="s">
        <v>151</v>
      </c>
      <c r="C45" s="491">
        <v>2</v>
      </c>
      <c r="D45" s="491"/>
      <c r="E45" s="492">
        <f>G45+H45+N45+R45+V45+Z45</f>
        <v>2</v>
      </c>
      <c r="F45" s="492">
        <v>0</v>
      </c>
      <c r="G45" s="492">
        <v>0</v>
      </c>
      <c r="H45" s="492">
        <v>2</v>
      </c>
      <c r="I45" s="492">
        <v>0</v>
      </c>
      <c r="J45" s="492">
        <v>2</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1">
        <f>H45+N45+R45+V45+Z45</f>
        <v>2</v>
      </c>
      <c r="AC45" s="491"/>
    </row>
    <row r="46" spans="1:29" x14ac:dyDescent="0.25">
      <c r="A46" s="74" t="s">
        <v>150</v>
      </c>
      <c r="B46" s="350" t="s">
        <v>149</v>
      </c>
      <c r="C46" s="491">
        <v>0</v>
      </c>
      <c r="D46" s="491"/>
      <c r="E46" s="492">
        <v>0</v>
      </c>
      <c r="F46" s="492">
        <v>0</v>
      </c>
      <c r="G46" s="492">
        <v>0</v>
      </c>
      <c r="H46" s="492">
        <v>0</v>
      </c>
      <c r="I46" s="492">
        <v>0</v>
      </c>
      <c r="J46" s="492"/>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1">
        <f>H46+N46+R46+V46+Z46</f>
        <v>0</v>
      </c>
      <c r="AC46" s="491"/>
    </row>
    <row r="47" spans="1:29" ht="31.5" x14ac:dyDescent="0.25">
      <c r="A47" s="74" t="s">
        <v>148</v>
      </c>
      <c r="B47" s="350" t="s">
        <v>147</v>
      </c>
      <c r="C47" s="491">
        <v>3.7650000000000001</v>
      </c>
      <c r="D47" s="491"/>
      <c r="E47" s="492">
        <f>G47+H47+N47+R47+V47+Z47</f>
        <v>3.7650000000000001</v>
      </c>
      <c r="F47" s="492">
        <v>0</v>
      </c>
      <c r="G47" s="492">
        <v>0</v>
      </c>
      <c r="H47" s="492">
        <v>3.7650000000000001</v>
      </c>
      <c r="I47" s="492">
        <v>0</v>
      </c>
      <c r="J47" s="492">
        <v>3.7385000000000002</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1">
        <f>H47+N47+R47+V47+Z47</f>
        <v>3.7650000000000001</v>
      </c>
      <c r="AC47" s="491"/>
    </row>
    <row r="48" spans="1:29" ht="31.5" x14ac:dyDescent="0.25">
      <c r="A48" s="74" t="s">
        <v>146</v>
      </c>
      <c r="B48" s="350" t="s">
        <v>145</v>
      </c>
      <c r="C48" s="491">
        <v>0</v>
      </c>
      <c r="D48" s="491"/>
      <c r="E48" s="492">
        <v>0</v>
      </c>
      <c r="F48" s="492">
        <v>0</v>
      </c>
      <c r="G48" s="492">
        <v>0</v>
      </c>
      <c r="H48" s="492">
        <v>0</v>
      </c>
      <c r="I48" s="492">
        <v>0</v>
      </c>
      <c r="J48" s="492"/>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1">
        <f>H48+N48+R48+V48+Z48</f>
        <v>0</v>
      </c>
      <c r="AC48" s="491"/>
    </row>
    <row r="49" spans="1:29" x14ac:dyDescent="0.25">
      <c r="A49" s="74" t="s">
        <v>144</v>
      </c>
      <c r="B49" s="350" t="s">
        <v>143</v>
      </c>
      <c r="C49" s="491">
        <v>0.185</v>
      </c>
      <c r="D49" s="491"/>
      <c r="E49" s="492">
        <f>G49+H49+N49+R49+V49+Z49</f>
        <v>0.185</v>
      </c>
      <c r="F49" s="492">
        <v>0</v>
      </c>
      <c r="G49" s="492">
        <v>0</v>
      </c>
      <c r="H49" s="492">
        <v>0.185</v>
      </c>
      <c r="I49" s="492">
        <v>0</v>
      </c>
      <c r="J49" s="492">
        <v>0.85000000000000009</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1">
        <f>H49+N49+R49+V49+Z49</f>
        <v>0.185</v>
      </c>
      <c r="AC49" s="491"/>
    </row>
    <row r="50" spans="1:29" ht="18.75" x14ac:dyDescent="0.25">
      <c r="A50" s="74" t="s">
        <v>142</v>
      </c>
      <c r="B50" s="352" t="s">
        <v>648</v>
      </c>
      <c r="C50" s="491">
        <v>0</v>
      </c>
      <c r="D50" s="491"/>
      <c r="E50" s="492">
        <v>0</v>
      </c>
      <c r="F50" s="492">
        <v>0</v>
      </c>
      <c r="G50" s="492">
        <v>0</v>
      </c>
      <c r="H50" s="492">
        <v>0</v>
      </c>
      <c r="I50" s="492">
        <v>0</v>
      </c>
      <c r="J50" s="492"/>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1">
        <f>H50+N50+R50+V50+Z50</f>
        <v>0</v>
      </c>
      <c r="AC50" s="491"/>
    </row>
    <row r="51" spans="1:29" s="357" customFormat="1" ht="35.25" customHeight="1" x14ac:dyDescent="0.25">
      <c r="A51" s="75" t="s">
        <v>60</v>
      </c>
      <c r="B51" s="349" t="s">
        <v>141</v>
      </c>
      <c r="C51" s="491">
        <v>0</v>
      </c>
      <c r="D51" s="491"/>
      <c r="E51" s="491">
        <v>0</v>
      </c>
      <c r="F51" s="491">
        <v>0</v>
      </c>
      <c r="G51" s="491">
        <v>0</v>
      </c>
      <c r="H51" s="491">
        <v>0</v>
      </c>
      <c r="I51" s="491">
        <v>0</v>
      </c>
      <c r="J51" s="491"/>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4">
        <v>0</v>
      </c>
      <c r="AC51" s="494"/>
    </row>
    <row r="52" spans="1:29" x14ac:dyDescent="0.25">
      <c r="A52" s="74" t="s">
        <v>140</v>
      </c>
      <c r="B52" s="350" t="s">
        <v>139</v>
      </c>
      <c r="C52" s="491">
        <f>C30</f>
        <v>10.31182175</v>
      </c>
      <c r="D52" s="491"/>
      <c r="E52" s="492">
        <f>G52+H52+N52+R52+V52+Z52</f>
        <v>10.31182175</v>
      </c>
      <c r="F52" s="492">
        <v>0</v>
      </c>
      <c r="G52" s="492">
        <v>0</v>
      </c>
      <c r="H52" s="492">
        <v>10.31182175</v>
      </c>
      <c r="I52" s="492">
        <v>0</v>
      </c>
      <c r="J52" s="492">
        <v>11.31728268</v>
      </c>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1">
        <f>H52+N52+R52+V52+Z52</f>
        <v>10.31182175</v>
      </c>
      <c r="AC52" s="491"/>
    </row>
    <row r="53" spans="1:29" x14ac:dyDescent="0.25">
      <c r="A53" s="74" t="s">
        <v>138</v>
      </c>
      <c r="B53" s="350" t="s">
        <v>132</v>
      </c>
      <c r="C53" s="491">
        <v>0</v>
      </c>
      <c r="D53" s="491"/>
      <c r="E53" s="492">
        <v>0</v>
      </c>
      <c r="F53" s="492">
        <v>0</v>
      </c>
      <c r="G53" s="492">
        <v>0</v>
      </c>
      <c r="H53" s="492">
        <v>0</v>
      </c>
      <c r="I53" s="492">
        <v>0</v>
      </c>
      <c r="J53" s="492"/>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1">
        <f>H53+N53+R53+V53+Z53</f>
        <v>0</v>
      </c>
      <c r="AC53" s="491"/>
    </row>
    <row r="54" spans="1:29" x14ac:dyDescent="0.25">
      <c r="A54" s="74" t="s">
        <v>137</v>
      </c>
      <c r="B54" s="352" t="s">
        <v>131</v>
      </c>
      <c r="C54" s="491">
        <v>2</v>
      </c>
      <c r="D54" s="491"/>
      <c r="E54" s="492">
        <f>G54+H54+N54+R54+V54+Z54</f>
        <v>2</v>
      </c>
      <c r="F54" s="492">
        <v>0</v>
      </c>
      <c r="G54" s="492">
        <v>0</v>
      </c>
      <c r="H54" s="492">
        <v>2</v>
      </c>
      <c r="I54" s="492">
        <v>0</v>
      </c>
      <c r="J54" s="492">
        <v>2</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1">
        <f>H54+N54+R54+V54+Z54</f>
        <v>2</v>
      </c>
      <c r="AC54" s="491"/>
    </row>
    <row r="55" spans="1:29" x14ac:dyDescent="0.25">
      <c r="A55" s="74" t="s">
        <v>136</v>
      </c>
      <c r="B55" s="352" t="s">
        <v>130</v>
      </c>
      <c r="C55" s="491">
        <v>0</v>
      </c>
      <c r="D55" s="491"/>
      <c r="E55" s="492">
        <v>0</v>
      </c>
      <c r="F55" s="492">
        <v>0</v>
      </c>
      <c r="G55" s="492">
        <v>0</v>
      </c>
      <c r="H55" s="492">
        <v>0</v>
      </c>
      <c r="I55" s="492">
        <v>0</v>
      </c>
      <c r="J55" s="492"/>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1">
        <f>H55+N55+R55+V55+Z55</f>
        <v>0</v>
      </c>
      <c r="AC55" s="491"/>
    </row>
    <row r="56" spans="1:29" x14ac:dyDescent="0.25">
      <c r="A56" s="74" t="s">
        <v>135</v>
      </c>
      <c r="B56" s="352" t="s">
        <v>129</v>
      </c>
      <c r="C56" s="491">
        <v>3.95</v>
      </c>
      <c r="D56" s="491"/>
      <c r="E56" s="492">
        <f>G56+H56+N56+R56+V56+Z56</f>
        <v>3.95</v>
      </c>
      <c r="F56" s="492">
        <v>0</v>
      </c>
      <c r="G56" s="492">
        <v>0</v>
      </c>
      <c r="H56" s="492">
        <v>3.95</v>
      </c>
      <c r="I56" s="492">
        <v>0</v>
      </c>
      <c r="J56" s="492">
        <v>4.5884999999999998</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1">
        <f>H56+N56+R56+V56+Z56</f>
        <v>3.95</v>
      </c>
      <c r="AC56" s="491"/>
    </row>
    <row r="57" spans="1:29" ht="18.75" x14ac:dyDescent="0.25">
      <c r="A57" s="74" t="s">
        <v>134</v>
      </c>
      <c r="B57" s="352" t="s">
        <v>649</v>
      </c>
      <c r="C57" s="495">
        <v>0</v>
      </c>
      <c r="D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ref="AC52:AC57" si="5">J57+N57+R57+V57+Z57</f>
        <v>0</v>
      </c>
    </row>
    <row r="58" spans="1:29" s="357" customFormat="1" ht="36.75" customHeight="1" x14ac:dyDescent="0.25">
      <c r="A58" s="75" t="s">
        <v>59</v>
      </c>
      <c r="B58" s="353" t="s">
        <v>233</v>
      </c>
      <c r="C58" s="496">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v>0</v>
      </c>
      <c r="AC58" s="494">
        <v>0</v>
      </c>
    </row>
    <row r="59" spans="1:29" s="357" customFormat="1" x14ac:dyDescent="0.25">
      <c r="A59" s="75" t="s">
        <v>57</v>
      </c>
      <c r="B59" s="349" t="s">
        <v>133</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v>0</v>
      </c>
      <c r="AC59" s="494">
        <v>0</v>
      </c>
    </row>
    <row r="60" spans="1:29" x14ac:dyDescent="0.25">
      <c r="A60" s="74" t="s">
        <v>227</v>
      </c>
      <c r="B60" s="354" t="s">
        <v>153</v>
      </c>
      <c r="C60" s="497">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6">J60+N60+R60+V60+Z60</f>
        <v>0</v>
      </c>
    </row>
    <row r="61" spans="1:29" x14ac:dyDescent="0.25">
      <c r="A61" s="74" t="s">
        <v>228</v>
      </c>
      <c r="B61" s="354" t="s">
        <v>151</v>
      </c>
      <c r="C61" s="497">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6"/>
        <v>0</v>
      </c>
    </row>
    <row r="62" spans="1:29" x14ac:dyDescent="0.25">
      <c r="A62" s="74" t="s">
        <v>229</v>
      </c>
      <c r="B62" s="354" t="s">
        <v>149</v>
      </c>
      <c r="C62" s="497">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6"/>
        <v>0</v>
      </c>
    </row>
    <row r="63" spans="1:29" x14ac:dyDescent="0.25">
      <c r="A63" s="74" t="s">
        <v>230</v>
      </c>
      <c r="B63" s="354" t="s">
        <v>232</v>
      </c>
      <c r="C63" s="497">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6"/>
        <v>0</v>
      </c>
    </row>
    <row r="64" spans="1:29" ht="18.75" x14ac:dyDescent="0.25">
      <c r="A64" s="74" t="s">
        <v>231</v>
      </c>
      <c r="B64" s="352" t="s">
        <v>649</v>
      </c>
      <c r="C64" s="495">
        <v>0</v>
      </c>
      <c r="D64" s="49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6"/>
        <v>0</v>
      </c>
    </row>
    <row r="65" spans="1:28" x14ac:dyDescent="0.25">
      <c r="A65" s="71"/>
      <c r="B65" s="72"/>
      <c r="C65" s="72"/>
      <c r="D65" s="360"/>
      <c r="E65" s="72"/>
      <c r="F65" s="72"/>
      <c r="G65" s="72"/>
      <c r="H65" s="72"/>
      <c r="I65" s="72"/>
      <c r="J65" s="72"/>
      <c r="K65" s="72"/>
      <c r="L65" s="71"/>
      <c r="M65" s="71"/>
      <c r="N65" s="65"/>
      <c r="O65" s="65"/>
      <c r="P65" s="65"/>
      <c r="Q65" s="65"/>
      <c r="R65" s="65"/>
      <c r="S65" s="65"/>
      <c r="T65" s="65"/>
      <c r="U65" s="65"/>
      <c r="V65" s="65"/>
      <c r="W65" s="65"/>
      <c r="X65" s="65"/>
      <c r="Y65" s="65"/>
      <c r="Z65" s="65"/>
      <c r="AA65" s="65"/>
      <c r="AB65" s="65"/>
    </row>
    <row r="66" spans="1:28" ht="54" customHeight="1" x14ac:dyDescent="0.25">
      <c r="A66" s="65"/>
      <c r="B66" s="456"/>
      <c r="C66" s="456"/>
      <c r="D66" s="456"/>
      <c r="E66" s="456"/>
      <c r="F66" s="456"/>
      <c r="G66" s="456"/>
      <c r="H66" s="456"/>
      <c r="I66" s="456"/>
      <c r="J66" s="181"/>
      <c r="K66" s="181"/>
      <c r="L66" s="70"/>
      <c r="M66" s="70"/>
      <c r="N66" s="70"/>
      <c r="O66" s="70"/>
      <c r="P66" s="70"/>
      <c r="Q66" s="70"/>
      <c r="R66" s="70"/>
      <c r="S66" s="70"/>
      <c r="T66" s="70"/>
      <c r="U66" s="70"/>
      <c r="V66" s="70"/>
      <c r="W66" s="70"/>
      <c r="X66" s="70"/>
      <c r="Y66" s="70"/>
      <c r="Z66" s="70"/>
      <c r="AA66" s="70"/>
      <c r="AB66" s="70"/>
    </row>
    <row r="67" spans="1:28" x14ac:dyDescent="0.25">
      <c r="A67" s="65"/>
      <c r="B67" s="65"/>
      <c r="C67" s="65"/>
      <c r="D67" s="358"/>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58"/>
      <c r="C68" s="458"/>
      <c r="D68" s="458"/>
      <c r="E68" s="458"/>
      <c r="F68" s="458"/>
      <c r="G68" s="458"/>
      <c r="H68" s="458"/>
      <c r="I68" s="458"/>
      <c r="J68" s="182"/>
      <c r="K68" s="182"/>
      <c r="L68" s="65"/>
      <c r="M68" s="65"/>
      <c r="N68" s="65"/>
      <c r="O68" s="65"/>
      <c r="P68" s="65"/>
      <c r="Q68" s="65"/>
      <c r="R68" s="65"/>
      <c r="S68" s="65"/>
      <c r="T68" s="65"/>
      <c r="U68" s="65"/>
      <c r="V68" s="65"/>
      <c r="W68" s="65"/>
      <c r="X68" s="65"/>
      <c r="Y68" s="65"/>
      <c r="Z68" s="65"/>
      <c r="AA68" s="65"/>
      <c r="AB68" s="65"/>
    </row>
    <row r="69" spans="1:28" x14ac:dyDescent="0.25">
      <c r="A69" s="65"/>
      <c r="B69" s="65"/>
      <c r="C69" s="65"/>
      <c r="D69" s="358"/>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56"/>
      <c r="C70" s="456"/>
      <c r="D70" s="456"/>
      <c r="E70" s="456"/>
      <c r="F70" s="456"/>
      <c r="G70" s="456"/>
      <c r="H70" s="456"/>
      <c r="I70" s="456"/>
      <c r="J70" s="181"/>
      <c r="K70" s="181"/>
      <c r="L70" s="65"/>
      <c r="M70" s="65"/>
      <c r="N70" s="65"/>
      <c r="O70" s="65"/>
      <c r="P70" s="65"/>
      <c r="Q70" s="65"/>
      <c r="R70" s="65"/>
      <c r="S70" s="65"/>
      <c r="T70" s="65"/>
      <c r="U70" s="65"/>
      <c r="V70" s="65"/>
      <c r="W70" s="65"/>
      <c r="X70" s="65"/>
      <c r="Y70" s="65"/>
      <c r="Z70" s="65"/>
      <c r="AA70" s="65"/>
      <c r="AB70" s="65"/>
    </row>
    <row r="71" spans="1:28" x14ac:dyDescent="0.25">
      <c r="A71" s="65"/>
      <c r="B71" s="69"/>
      <c r="C71" s="69"/>
      <c r="D71" s="361"/>
      <c r="E71" s="69"/>
      <c r="F71" s="69"/>
      <c r="L71" s="65"/>
      <c r="M71" s="65"/>
      <c r="N71" s="68"/>
      <c r="O71" s="65"/>
      <c r="P71" s="65"/>
      <c r="Q71" s="65"/>
      <c r="R71" s="65"/>
      <c r="S71" s="65"/>
      <c r="T71" s="65"/>
      <c r="U71" s="65"/>
      <c r="V71" s="65"/>
      <c r="W71" s="65"/>
      <c r="X71" s="65"/>
      <c r="Y71" s="65"/>
      <c r="Z71" s="65"/>
      <c r="AA71" s="65"/>
      <c r="AB71" s="65"/>
    </row>
    <row r="72" spans="1:28" ht="51" customHeight="1" x14ac:dyDescent="0.25">
      <c r="A72" s="65"/>
      <c r="B72" s="456"/>
      <c r="C72" s="456"/>
      <c r="D72" s="456"/>
      <c r="E72" s="456"/>
      <c r="F72" s="456"/>
      <c r="G72" s="456"/>
      <c r="H72" s="456"/>
      <c r="I72" s="456"/>
      <c r="J72" s="181"/>
      <c r="K72" s="181"/>
      <c r="L72" s="65"/>
      <c r="M72" s="65"/>
      <c r="N72" s="68"/>
      <c r="O72" s="65"/>
      <c r="P72" s="65"/>
      <c r="Q72" s="65"/>
      <c r="R72" s="65"/>
      <c r="S72" s="65"/>
      <c r="T72" s="65"/>
      <c r="U72" s="65"/>
      <c r="V72" s="65"/>
      <c r="W72" s="65"/>
      <c r="X72" s="65"/>
      <c r="Y72" s="65"/>
      <c r="Z72" s="65"/>
      <c r="AA72" s="65"/>
      <c r="AB72" s="65"/>
    </row>
    <row r="73" spans="1:28" ht="32.25" customHeight="1" x14ac:dyDescent="0.25">
      <c r="A73" s="65"/>
      <c r="B73" s="458"/>
      <c r="C73" s="458"/>
      <c r="D73" s="458"/>
      <c r="E73" s="458"/>
      <c r="F73" s="458"/>
      <c r="G73" s="458"/>
      <c r="H73" s="458"/>
      <c r="I73" s="458"/>
      <c r="J73" s="182"/>
      <c r="K73" s="182"/>
      <c r="L73" s="65"/>
      <c r="M73" s="65"/>
      <c r="N73" s="65"/>
      <c r="O73" s="65"/>
      <c r="P73" s="65"/>
      <c r="Q73" s="65"/>
      <c r="R73" s="65"/>
      <c r="S73" s="65"/>
      <c r="T73" s="65"/>
      <c r="U73" s="65"/>
      <c r="V73" s="65"/>
      <c r="W73" s="65"/>
      <c r="X73" s="65"/>
      <c r="Y73" s="65"/>
      <c r="Z73" s="65"/>
      <c r="AA73" s="65"/>
      <c r="AB73" s="65"/>
    </row>
    <row r="74" spans="1:28" ht="51.75" customHeight="1" x14ac:dyDescent="0.25">
      <c r="A74" s="65"/>
      <c r="B74" s="456"/>
      <c r="C74" s="456"/>
      <c r="D74" s="456"/>
      <c r="E74" s="456"/>
      <c r="F74" s="456"/>
      <c r="G74" s="456"/>
      <c r="H74" s="456"/>
      <c r="I74" s="456"/>
      <c r="J74" s="181"/>
      <c r="K74" s="181"/>
      <c r="L74" s="65"/>
      <c r="M74" s="65"/>
      <c r="N74" s="65"/>
      <c r="O74" s="65"/>
      <c r="P74" s="65"/>
      <c r="Q74" s="65"/>
      <c r="R74" s="65"/>
      <c r="S74" s="65"/>
      <c r="T74" s="65"/>
      <c r="U74" s="65"/>
      <c r="V74" s="65"/>
      <c r="W74" s="65"/>
      <c r="X74" s="65"/>
      <c r="Y74" s="65"/>
      <c r="Z74" s="65"/>
      <c r="AA74" s="65"/>
      <c r="AB74" s="65"/>
    </row>
    <row r="75" spans="1:28" ht="21.75" customHeight="1" x14ac:dyDescent="0.25">
      <c r="A75" s="65"/>
      <c r="B75" s="459"/>
      <c r="C75" s="459"/>
      <c r="D75" s="459"/>
      <c r="E75" s="459"/>
      <c r="F75" s="459"/>
      <c r="G75" s="459"/>
      <c r="H75" s="459"/>
      <c r="I75" s="459"/>
      <c r="J75" s="179"/>
      <c r="K75" s="179"/>
      <c r="L75" s="66"/>
      <c r="M75" s="66"/>
      <c r="N75" s="65"/>
      <c r="O75" s="65"/>
      <c r="P75" s="65"/>
      <c r="Q75" s="65"/>
      <c r="R75" s="65"/>
      <c r="S75" s="65"/>
      <c r="T75" s="65"/>
      <c r="U75" s="65"/>
      <c r="V75" s="65"/>
      <c r="W75" s="65"/>
      <c r="X75" s="65"/>
      <c r="Y75" s="65"/>
      <c r="Z75" s="65"/>
      <c r="AA75" s="65"/>
      <c r="AB75" s="65"/>
    </row>
    <row r="76" spans="1:28" ht="23.25" customHeight="1" x14ac:dyDescent="0.25">
      <c r="A76" s="65"/>
      <c r="B76" s="66"/>
      <c r="C76" s="66"/>
      <c r="D76" s="362"/>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457"/>
      <c r="C77" s="457"/>
      <c r="D77" s="457"/>
      <c r="E77" s="457"/>
      <c r="F77" s="457"/>
      <c r="G77" s="457"/>
      <c r="H77" s="457"/>
      <c r="I77" s="457"/>
      <c r="J77" s="180"/>
      <c r="K77" s="180"/>
      <c r="L77" s="65"/>
      <c r="M77" s="65"/>
      <c r="N77" s="65"/>
      <c r="O77" s="65"/>
      <c r="P77" s="65"/>
      <c r="Q77" s="65"/>
      <c r="R77" s="65"/>
      <c r="S77" s="65"/>
      <c r="T77" s="65"/>
      <c r="U77" s="65"/>
      <c r="V77" s="65"/>
      <c r="W77" s="65"/>
      <c r="X77" s="65"/>
      <c r="Y77" s="65"/>
      <c r="Z77" s="65"/>
      <c r="AA77" s="65"/>
      <c r="AB77" s="65"/>
    </row>
    <row r="78" spans="1:28" x14ac:dyDescent="0.25">
      <c r="A78" s="65"/>
      <c r="B78" s="65"/>
      <c r="C78" s="65"/>
      <c r="D78" s="358"/>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358"/>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7" zoomScale="85" zoomScaleSheetLayoutView="85" workbookViewId="0">
      <selection activeCell="AK26" sqref="A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2" t="str">
        <f>'1. паспорт местоположение'!A12:C12</f>
        <v>F_prj_111001_3354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7" t="str">
        <f>'1. паспорт местоположение'!A15:C15</f>
        <v>Строительство ТП 15/0.4 кВ, ВЛЗ 15 кВ от ВЛ 15 кВ № 15-482, 15-487 в г.Черняховск</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2"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2" customFormat="1" x14ac:dyDescent="0.25">
      <c r="A21" s="474" t="s">
        <v>521</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2" customFormat="1" ht="58.5" customHeight="1" x14ac:dyDescent="0.25">
      <c r="A22" s="465" t="s">
        <v>53</v>
      </c>
      <c r="B22" s="476" t="s">
        <v>25</v>
      </c>
      <c r="C22" s="465" t="s">
        <v>52</v>
      </c>
      <c r="D22" s="465" t="s">
        <v>51</v>
      </c>
      <c r="E22" s="479" t="s">
        <v>532</v>
      </c>
      <c r="F22" s="480"/>
      <c r="G22" s="480"/>
      <c r="H22" s="480"/>
      <c r="I22" s="480"/>
      <c r="J22" s="480"/>
      <c r="K22" s="480"/>
      <c r="L22" s="481"/>
      <c r="M22" s="465" t="s">
        <v>50</v>
      </c>
      <c r="N22" s="465" t="s">
        <v>49</v>
      </c>
      <c r="O22" s="465" t="s">
        <v>48</v>
      </c>
      <c r="P22" s="460" t="s">
        <v>263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2" customFormat="1" ht="64.5" customHeight="1" x14ac:dyDescent="0.25">
      <c r="A23" s="475"/>
      <c r="B23" s="477"/>
      <c r="C23" s="475"/>
      <c r="D23" s="475"/>
      <c r="E23" s="470" t="s">
        <v>24</v>
      </c>
      <c r="F23" s="461" t="s">
        <v>132</v>
      </c>
      <c r="G23" s="461" t="s">
        <v>131</v>
      </c>
      <c r="H23" s="461" t="s">
        <v>130</v>
      </c>
      <c r="I23" s="463" t="s">
        <v>442</v>
      </c>
      <c r="J23" s="463" t="s">
        <v>443</v>
      </c>
      <c r="K23" s="463" t="s">
        <v>444</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2" customFormat="1" ht="129.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55" t="s">
        <v>14</v>
      </c>
      <c r="AG24" s="155" t="s">
        <v>13</v>
      </c>
      <c r="AH24" s="156" t="s">
        <v>3</v>
      </c>
      <c r="AI24" s="156" t="s">
        <v>12</v>
      </c>
      <c r="AJ24" s="466"/>
      <c r="AK24" s="466"/>
      <c r="AL24" s="466"/>
      <c r="AM24" s="466"/>
      <c r="AN24" s="466"/>
      <c r="AO24" s="466"/>
      <c r="AP24" s="466"/>
      <c r="AQ24" s="484"/>
      <c r="AR24" s="460"/>
      <c r="AS24" s="460"/>
      <c r="AT24" s="460"/>
      <c r="AU24" s="460"/>
      <c r="AV24" s="46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37" customFormat="1" ht="157.5" x14ac:dyDescent="0.2">
      <c r="A26" s="334">
        <v>1</v>
      </c>
      <c r="B26" s="332" t="s">
        <v>549</v>
      </c>
      <c r="C26" s="332" t="s">
        <v>66</v>
      </c>
      <c r="D26" s="334" t="s">
        <v>558</v>
      </c>
      <c r="E26" s="334"/>
      <c r="F26" s="334"/>
      <c r="G26" s="334" t="s">
        <v>564</v>
      </c>
      <c r="H26" s="334"/>
      <c r="I26" s="334" t="s">
        <v>569</v>
      </c>
      <c r="J26" s="334"/>
      <c r="K26" s="334" t="s">
        <v>568</v>
      </c>
      <c r="L26" s="334"/>
      <c r="M26" s="332" t="s">
        <v>624</v>
      </c>
      <c r="N26" s="335" t="s">
        <v>625</v>
      </c>
      <c r="O26" s="335" t="s">
        <v>549</v>
      </c>
      <c r="P26" s="335">
        <v>1514.201</v>
      </c>
      <c r="Q26" s="335" t="s">
        <v>626</v>
      </c>
      <c r="R26" s="335">
        <v>1367.3879999999999</v>
      </c>
      <c r="S26" s="335" t="s">
        <v>627</v>
      </c>
      <c r="T26" s="335" t="s">
        <v>627</v>
      </c>
      <c r="U26" s="335">
        <v>2</v>
      </c>
      <c r="V26" s="335">
        <v>2</v>
      </c>
      <c r="W26" s="335" t="s">
        <v>634</v>
      </c>
      <c r="X26" s="335" t="s">
        <v>635</v>
      </c>
      <c r="Y26" s="332"/>
      <c r="Z26" s="335" t="s">
        <v>66</v>
      </c>
      <c r="AA26" s="335" t="s">
        <v>635</v>
      </c>
      <c r="AB26" s="335">
        <v>1367</v>
      </c>
      <c r="AC26" s="335" t="s">
        <v>628</v>
      </c>
      <c r="AD26" s="336">
        <f>AB26*1.18</f>
        <v>1613.06</v>
      </c>
      <c r="AE26" s="336">
        <f>AD26</f>
        <v>1613.06</v>
      </c>
      <c r="AF26" s="335" t="s">
        <v>629</v>
      </c>
      <c r="AG26" s="335" t="s">
        <v>630</v>
      </c>
      <c r="AH26" s="335" t="s">
        <v>631</v>
      </c>
      <c r="AI26" s="335" t="s">
        <v>631</v>
      </c>
      <c r="AJ26" s="335" t="s">
        <v>632</v>
      </c>
      <c r="AK26" s="338" t="s">
        <v>633</v>
      </c>
      <c r="AL26" s="332"/>
      <c r="AM26" s="332"/>
      <c r="AN26" s="333"/>
      <c r="AO26" s="332"/>
      <c r="AP26" s="333"/>
      <c r="AQ26" s="333"/>
      <c r="AR26" s="333"/>
      <c r="AS26" s="333"/>
      <c r="AT26" s="333"/>
      <c r="AU26" s="332"/>
      <c r="AV26" s="33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A31" sqref="A31"/>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40" t="s">
        <v>70</v>
      </c>
    </row>
    <row r="2" spans="1:8" ht="18.75" x14ac:dyDescent="0.3">
      <c r="B2" s="15" t="s">
        <v>11</v>
      </c>
    </row>
    <row r="3" spans="1:8" ht="18.75" x14ac:dyDescent="0.3">
      <c r="B3" s="15" t="s">
        <v>540</v>
      </c>
    </row>
    <row r="4" spans="1:8" x14ac:dyDescent="0.25">
      <c r="B4" s="45"/>
    </row>
    <row r="5" spans="1:8" ht="18.75" x14ac:dyDescent="0.3">
      <c r="A5" s="485" t="str">
        <f>'[4]1. паспорт местоположение'!A5:C5</f>
        <v>Год раскрытия информации: 2016 год</v>
      </c>
      <c r="B5" s="485"/>
      <c r="C5" s="80"/>
      <c r="D5" s="80"/>
      <c r="E5" s="80"/>
      <c r="F5" s="80"/>
      <c r="G5" s="80"/>
      <c r="H5" s="80"/>
    </row>
    <row r="6" spans="1:8" ht="18.75" x14ac:dyDescent="0.3">
      <c r="A6" s="330"/>
      <c r="B6" s="330"/>
      <c r="C6" s="330"/>
      <c r="D6" s="330"/>
      <c r="E6" s="330"/>
      <c r="F6" s="330"/>
      <c r="G6" s="330"/>
      <c r="H6" s="330"/>
    </row>
    <row r="7" spans="1:8" ht="18.75" x14ac:dyDescent="0.25">
      <c r="A7" s="370" t="s">
        <v>10</v>
      </c>
      <c r="B7" s="370"/>
      <c r="C7" s="160"/>
      <c r="D7" s="160"/>
      <c r="E7" s="160"/>
      <c r="F7" s="160"/>
      <c r="G7" s="160"/>
      <c r="H7" s="160"/>
    </row>
    <row r="8" spans="1:8" ht="18.75" x14ac:dyDescent="0.25">
      <c r="A8" s="160"/>
      <c r="B8" s="160"/>
      <c r="C8" s="160"/>
      <c r="D8" s="160"/>
      <c r="E8" s="160"/>
      <c r="F8" s="160"/>
      <c r="G8" s="160"/>
      <c r="H8" s="160"/>
    </row>
    <row r="9" spans="1:8" x14ac:dyDescent="0.25">
      <c r="A9" s="372" t="str">
        <f>'1. паспорт местоположение'!A9:C9</f>
        <v xml:space="preserve">                         АО "Янтарьэнерго"                         </v>
      </c>
      <c r="B9" s="372"/>
      <c r="C9" s="161"/>
      <c r="D9" s="161"/>
      <c r="E9" s="161"/>
      <c r="F9" s="161"/>
      <c r="G9" s="161"/>
      <c r="H9" s="161"/>
    </row>
    <row r="10" spans="1:8" x14ac:dyDescent="0.25">
      <c r="A10" s="367" t="s">
        <v>9</v>
      </c>
      <c r="B10" s="367"/>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372" t="str">
        <f>'1. паспорт местоположение'!A12:C12</f>
        <v>F_prj_111001_3354</v>
      </c>
      <c r="B12" s="372"/>
      <c r="C12" s="161"/>
      <c r="D12" s="161"/>
      <c r="E12" s="161"/>
      <c r="F12" s="161"/>
      <c r="G12" s="161"/>
      <c r="H12" s="161"/>
    </row>
    <row r="13" spans="1:8" x14ac:dyDescent="0.25">
      <c r="A13" s="367" t="s">
        <v>8</v>
      </c>
      <c r="B13" s="367"/>
      <c r="C13" s="162"/>
      <c r="D13" s="162"/>
      <c r="E13" s="162"/>
      <c r="F13" s="162"/>
      <c r="G13" s="162"/>
      <c r="H13" s="162"/>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ТП 15/0.4 кВ, ВЛЗ 15 кВ от ВЛ 15 кВ № 15-482, 15-487 в г.Черняховск</v>
      </c>
      <c r="B15" s="377"/>
      <c r="C15" s="161"/>
      <c r="D15" s="161"/>
      <c r="E15" s="161"/>
      <c r="F15" s="161"/>
      <c r="G15" s="161"/>
      <c r="H15" s="161"/>
    </row>
    <row r="16" spans="1:8" x14ac:dyDescent="0.25">
      <c r="A16" s="367" t="s">
        <v>7</v>
      </c>
      <c r="B16" s="367"/>
      <c r="C16" s="162"/>
      <c r="D16" s="162"/>
      <c r="E16" s="162"/>
      <c r="F16" s="162"/>
      <c r="G16" s="162"/>
      <c r="H16" s="162"/>
    </row>
    <row r="17" spans="1:2" x14ac:dyDescent="0.25">
      <c r="B17" s="127"/>
    </row>
    <row r="18" spans="1:2" ht="33.75" customHeight="1" x14ac:dyDescent="0.25">
      <c r="A18" s="486" t="s">
        <v>522</v>
      </c>
      <c r="B18" s="487"/>
    </row>
    <row r="19" spans="1:2" x14ac:dyDescent="0.25">
      <c r="B19" s="45"/>
    </row>
    <row r="20" spans="1:2" ht="16.5" thickBot="1" x14ac:dyDescent="0.3">
      <c r="B20" s="128"/>
    </row>
    <row r="21" spans="1:2" ht="29.45" customHeight="1" thickBot="1" x14ac:dyDescent="0.3">
      <c r="A21" s="129" t="s">
        <v>388</v>
      </c>
      <c r="B21" s="130" t="str">
        <f>A15</f>
        <v>Строительство ТП 15/0.4 кВ, ВЛЗ 15 кВ от ВЛ 15 кВ № 15-482, 15-487 в г.Черняховск</v>
      </c>
    </row>
    <row r="22" spans="1:2" ht="16.5" thickBot="1" x14ac:dyDescent="0.3">
      <c r="A22" s="129" t="s">
        <v>389</v>
      </c>
      <c r="B22" s="130" t="s">
        <v>551</v>
      </c>
    </row>
    <row r="23" spans="1:2" ht="16.5" thickBot="1" x14ac:dyDescent="0.3">
      <c r="A23" s="129" t="s">
        <v>354</v>
      </c>
      <c r="B23" s="131" t="s">
        <v>570</v>
      </c>
    </row>
    <row r="24" spans="1:2" ht="16.5" thickBot="1" x14ac:dyDescent="0.3">
      <c r="A24" s="129" t="s">
        <v>390</v>
      </c>
      <c r="B24" s="131" t="s">
        <v>571</v>
      </c>
    </row>
    <row r="25" spans="1:2" ht="16.5" thickBot="1" x14ac:dyDescent="0.3">
      <c r="A25" s="132" t="s">
        <v>391</v>
      </c>
      <c r="B25" s="130" t="s">
        <v>558</v>
      </c>
    </row>
    <row r="26" spans="1:2" ht="16.5" thickBot="1" x14ac:dyDescent="0.3">
      <c r="A26" s="133" t="s">
        <v>392</v>
      </c>
      <c r="B26" s="135" t="s">
        <v>559</v>
      </c>
    </row>
    <row r="27" spans="1:2" ht="29.25" thickBot="1" x14ac:dyDescent="0.3">
      <c r="A27" s="140" t="s">
        <v>393</v>
      </c>
      <c r="B27" s="344">
        <f>'6.2. Паспорт фин осв ввод'!C24</f>
        <v>12.167949665</v>
      </c>
    </row>
    <row r="28" spans="1:2" ht="16.5" thickBot="1" x14ac:dyDescent="0.3">
      <c r="A28" s="135" t="s">
        <v>394</v>
      </c>
      <c r="B28" s="135" t="s">
        <v>636</v>
      </c>
    </row>
    <row r="29" spans="1:2" ht="29.25" thickBot="1" x14ac:dyDescent="0.3">
      <c r="A29" s="141" t="s">
        <v>395</v>
      </c>
      <c r="B29" s="135"/>
    </row>
    <row r="30" spans="1:2" ht="29.25" thickBot="1" x14ac:dyDescent="0.3">
      <c r="A30" s="141" t="s">
        <v>396</v>
      </c>
      <c r="B30" s="344">
        <f>B32+B41+B58</f>
        <v>16.182718110000003</v>
      </c>
    </row>
    <row r="31" spans="1:2" ht="16.5" thickBot="1" x14ac:dyDescent="0.3">
      <c r="A31" s="135" t="s">
        <v>397</v>
      </c>
      <c r="B31" s="135"/>
    </row>
    <row r="32" spans="1:2" ht="29.25" thickBot="1" x14ac:dyDescent="0.3">
      <c r="A32" s="141" t="s">
        <v>398</v>
      </c>
      <c r="B32" s="344">
        <f>B33+B37</f>
        <v>7.4415381100000006</v>
      </c>
    </row>
    <row r="33" spans="1:3" s="340" customFormat="1" ht="30.75" thickBot="1" x14ac:dyDescent="0.3">
      <c r="A33" s="339" t="s">
        <v>637</v>
      </c>
      <c r="B33" s="345">
        <v>1.6135181100000002</v>
      </c>
    </row>
    <row r="34" spans="1:3" ht="16.5" thickBot="1" x14ac:dyDescent="0.3">
      <c r="A34" s="135" t="s">
        <v>400</v>
      </c>
      <c r="B34" s="342">
        <f>B33/$B$27</f>
        <v>0.1326039435091631</v>
      </c>
    </row>
    <row r="35" spans="1:3" ht="16.5" thickBot="1" x14ac:dyDescent="0.3">
      <c r="A35" s="135" t="s">
        <v>401</v>
      </c>
      <c r="B35" s="135"/>
      <c r="C35" s="126">
        <v>1</v>
      </c>
    </row>
    <row r="36" spans="1:3" ht="16.5" thickBot="1" x14ac:dyDescent="0.3">
      <c r="A36" s="135" t="s">
        <v>402</v>
      </c>
      <c r="B36" s="344">
        <v>1.6135181100000002</v>
      </c>
      <c r="C36" s="126">
        <v>2</v>
      </c>
    </row>
    <row r="37" spans="1:3" s="340" customFormat="1" ht="30.75" thickBot="1" x14ac:dyDescent="0.3">
      <c r="A37" s="339" t="s">
        <v>642</v>
      </c>
      <c r="B37" s="345">
        <v>5.8280200000000004</v>
      </c>
    </row>
    <row r="38" spans="1:3" ht="16.5" thickBot="1" x14ac:dyDescent="0.3">
      <c r="A38" s="135" t="s">
        <v>400</v>
      </c>
      <c r="B38" s="342">
        <f>B37/$B$27</f>
        <v>0.4789648347053711</v>
      </c>
    </row>
    <row r="39" spans="1:3" ht="16.5" thickBot="1" x14ac:dyDescent="0.3">
      <c r="A39" s="135" t="s">
        <v>401</v>
      </c>
      <c r="B39" s="344">
        <v>5.8280200000000004</v>
      </c>
      <c r="C39" s="126">
        <v>1</v>
      </c>
    </row>
    <row r="40" spans="1:3" ht="16.5" thickBot="1" x14ac:dyDescent="0.3">
      <c r="A40" s="135" t="s">
        <v>402</v>
      </c>
      <c r="B40" s="344">
        <v>5.8280200000000004</v>
      </c>
      <c r="C40" s="126">
        <v>2</v>
      </c>
    </row>
    <row r="41" spans="1:3" ht="29.25" thickBot="1" x14ac:dyDescent="0.3">
      <c r="A41" s="141" t="s">
        <v>403</v>
      </c>
      <c r="B41" s="344">
        <f>B42+B46+B50+B54</f>
        <v>8.2021800000000002</v>
      </c>
    </row>
    <row r="42" spans="1:3" s="340" customFormat="1" ht="30.75" thickBot="1" x14ac:dyDescent="0.3">
      <c r="A42" s="339" t="s">
        <v>639</v>
      </c>
      <c r="B42" s="345">
        <v>1.0336800000000002</v>
      </c>
    </row>
    <row r="43" spans="1:3" ht="16.5" thickBot="1" x14ac:dyDescent="0.3">
      <c r="A43" s="135" t="s">
        <v>400</v>
      </c>
      <c r="B43" s="342">
        <f>B42/$B$27</f>
        <v>8.4951041749727702E-2</v>
      </c>
    </row>
    <row r="44" spans="1:3" ht="16.5" thickBot="1" x14ac:dyDescent="0.3">
      <c r="A44" s="135" t="s">
        <v>401</v>
      </c>
      <c r="B44" s="344">
        <v>1.0336800000000002</v>
      </c>
      <c r="C44" s="126">
        <v>1</v>
      </c>
    </row>
    <row r="45" spans="1:3" ht="16.5" thickBot="1" x14ac:dyDescent="0.3">
      <c r="A45" s="135" t="s">
        <v>402</v>
      </c>
      <c r="B45" s="344">
        <v>1.0336800000000002</v>
      </c>
      <c r="C45" s="126">
        <v>2</v>
      </c>
    </row>
    <row r="46" spans="1:3" s="340" customFormat="1" ht="30.75" thickBot="1" x14ac:dyDescent="0.3">
      <c r="A46" s="339" t="s">
        <v>640</v>
      </c>
      <c r="B46" s="345">
        <v>3.3099000000000003</v>
      </c>
    </row>
    <row r="47" spans="1:3" ht="16.5" thickBot="1" x14ac:dyDescent="0.3">
      <c r="A47" s="135" t="s">
        <v>400</v>
      </c>
      <c r="B47" s="342">
        <f>B46/$B$27</f>
        <v>0.27201789053423081</v>
      </c>
    </row>
    <row r="48" spans="1:3" ht="16.5" thickBot="1" x14ac:dyDescent="0.3">
      <c r="A48" s="135" t="s">
        <v>401</v>
      </c>
      <c r="B48" s="344">
        <v>3.3099000000000003</v>
      </c>
      <c r="C48" s="126">
        <v>1</v>
      </c>
    </row>
    <row r="49" spans="1:3" ht="16.5" thickBot="1" x14ac:dyDescent="0.3">
      <c r="A49" s="135" t="s">
        <v>402</v>
      </c>
      <c r="B49" s="344">
        <v>3.3099000000000003</v>
      </c>
      <c r="C49" s="126">
        <v>2</v>
      </c>
    </row>
    <row r="50" spans="1:3" s="340" customFormat="1" ht="30.75" thickBot="1" x14ac:dyDescent="0.3">
      <c r="A50" s="339" t="s">
        <v>641</v>
      </c>
      <c r="B50" s="345">
        <v>3.8586</v>
      </c>
    </row>
    <row r="51" spans="1:3" ht="16.5" thickBot="1" x14ac:dyDescent="0.3">
      <c r="A51" s="135" t="s">
        <v>400</v>
      </c>
      <c r="B51" s="342">
        <f>B50/$B$27</f>
        <v>0.3171117654356273</v>
      </c>
    </row>
    <row r="52" spans="1:3" ht="16.5" thickBot="1" x14ac:dyDescent="0.3">
      <c r="A52" s="135" t="s">
        <v>401</v>
      </c>
      <c r="B52" s="344">
        <v>3.8586</v>
      </c>
      <c r="C52" s="126">
        <v>1</v>
      </c>
    </row>
    <row r="53" spans="1:3" ht="16.5" thickBot="1" x14ac:dyDescent="0.3">
      <c r="A53" s="135" t="s">
        <v>402</v>
      </c>
      <c r="B53" s="344">
        <v>3.8586</v>
      </c>
      <c r="C53" s="126">
        <v>2</v>
      </c>
    </row>
    <row r="54" spans="1:3" s="340" customFormat="1" ht="16.5" thickBot="1" x14ac:dyDescent="0.3">
      <c r="A54" s="339" t="s">
        <v>399</v>
      </c>
      <c r="B54" s="339"/>
    </row>
    <row r="55" spans="1:3" ht="16.5" thickBot="1" x14ac:dyDescent="0.3">
      <c r="A55" s="135" t="s">
        <v>400</v>
      </c>
      <c r="B55" s="342">
        <f>B54/$B$27</f>
        <v>0</v>
      </c>
    </row>
    <row r="56" spans="1:3" ht="16.5" thickBot="1" x14ac:dyDescent="0.3">
      <c r="A56" s="135" t="s">
        <v>401</v>
      </c>
      <c r="B56" s="135"/>
      <c r="C56" s="126">
        <v>1</v>
      </c>
    </row>
    <row r="57" spans="1:3" ht="16.5" thickBot="1" x14ac:dyDescent="0.3">
      <c r="A57" s="135" t="s">
        <v>402</v>
      </c>
      <c r="B57" s="135"/>
      <c r="C57" s="126">
        <v>2</v>
      </c>
    </row>
    <row r="58" spans="1:3" ht="29.25" thickBot="1" x14ac:dyDescent="0.3">
      <c r="A58" s="141" t="s">
        <v>404</v>
      </c>
      <c r="B58" s="135">
        <f>B59+B63+B67+B71</f>
        <v>0.53900000000000003</v>
      </c>
    </row>
    <row r="59" spans="1:3" s="340" customFormat="1" ht="30.75" thickBot="1" x14ac:dyDescent="0.3">
      <c r="A59" s="339" t="s">
        <v>638</v>
      </c>
      <c r="B59" s="339">
        <v>0.53900000000000003</v>
      </c>
    </row>
    <row r="60" spans="1:3" ht="16.5" thickBot="1" x14ac:dyDescent="0.3">
      <c r="A60" s="135" t="s">
        <v>400</v>
      </c>
      <c r="B60" s="342">
        <f>B59/$B$27</f>
        <v>4.429669869118414E-2</v>
      </c>
    </row>
    <row r="61" spans="1:3" ht="16.5" thickBot="1" x14ac:dyDescent="0.3">
      <c r="A61" s="135" t="s">
        <v>401</v>
      </c>
      <c r="B61" s="135">
        <v>0.53900000000000003</v>
      </c>
      <c r="C61" s="126">
        <v>1</v>
      </c>
    </row>
    <row r="62" spans="1:3" ht="16.5" thickBot="1" x14ac:dyDescent="0.3">
      <c r="A62" s="135" t="s">
        <v>402</v>
      </c>
      <c r="B62" s="135">
        <v>0.53900000000000003</v>
      </c>
      <c r="C62" s="126">
        <v>2</v>
      </c>
    </row>
    <row r="63" spans="1:3" s="340" customFormat="1" ht="16.5" thickBot="1" x14ac:dyDescent="0.3">
      <c r="A63" s="339" t="s">
        <v>399</v>
      </c>
      <c r="B63" s="339"/>
    </row>
    <row r="64" spans="1:3" ht="16.5" thickBot="1" x14ac:dyDescent="0.3">
      <c r="A64" s="135" t="s">
        <v>400</v>
      </c>
      <c r="B64" s="342">
        <f>B63/$B$27</f>
        <v>0</v>
      </c>
    </row>
    <row r="65" spans="1:3" ht="16.5" thickBot="1" x14ac:dyDescent="0.3">
      <c r="A65" s="135" t="s">
        <v>401</v>
      </c>
      <c r="B65" s="135"/>
      <c r="C65" s="126">
        <v>1</v>
      </c>
    </row>
    <row r="66" spans="1:3" ht="16.5" thickBot="1" x14ac:dyDescent="0.3">
      <c r="A66" s="135" t="s">
        <v>402</v>
      </c>
      <c r="B66" s="135"/>
      <c r="C66" s="126">
        <v>2</v>
      </c>
    </row>
    <row r="67" spans="1:3" s="340" customFormat="1" ht="16.5" thickBot="1" x14ac:dyDescent="0.3">
      <c r="A67" s="339" t="s">
        <v>399</v>
      </c>
      <c r="B67" s="339"/>
    </row>
    <row r="68" spans="1:3" ht="16.5" thickBot="1" x14ac:dyDescent="0.3">
      <c r="A68" s="135" t="s">
        <v>400</v>
      </c>
      <c r="B68" s="342">
        <f>B67/$B$27</f>
        <v>0</v>
      </c>
    </row>
    <row r="69" spans="1:3" ht="16.5" thickBot="1" x14ac:dyDescent="0.3">
      <c r="A69" s="135" t="s">
        <v>401</v>
      </c>
      <c r="B69" s="135"/>
      <c r="C69" s="126">
        <v>1</v>
      </c>
    </row>
    <row r="70" spans="1:3" ht="16.5" thickBot="1" x14ac:dyDescent="0.3">
      <c r="A70" s="135" t="s">
        <v>402</v>
      </c>
      <c r="B70" s="135"/>
      <c r="C70" s="126">
        <v>2</v>
      </c>
    </row>
    <row r="71" spans="1:3" s="340" customFormat="1" ht="16.5" thickBot="1" x14ac:dyDescent="0.3">
      <c r="A71" s="339" t="s">
        <v>399</v>
      </c>
      <c r="B71" s="339"/>
    </row>
    <row r="72" spans="1:3" ht="16.5" thickBot="1" x14ac:dyDescent="0.3">
      <c r="A72" s="135" t="s">
        <v>400</v>
      </c>
      <c r="B72" s="342">
        <f>B71/$B$27</f>
        <v>0</v>
      </c>
    </row>
    <row r="73" spans="1:3" ht="16.5" thickBot="1" x14ac:dyDescent="0.3">
      <c r="A73" s="135" t="s">
        <v>401</v>
      </c>
      <c r="B73" s="135"/>
      <c r="C73" s="126">
        <v>1</v>
      </c>
    </row>
    <row r="74" spans="1:3" ht="16.5" thickBot="1" x14ac:dyDescent="0.3">
      <c r="A74" s="135" t="s">
        <v>402</v>
      </c>
      <c r="B74" s="135"/>
      <c r="C74" s="126">
        <v>2</v>
      </c>
    </row>
    <row r="75" spans="1:3" ht="29.25" thickBot="1" x14ac:dyDescent="0.3">
      <c r="A75" s="134" t="s">
        <v>405</v>
      </c>
      <c r="B75" s="142"/>
    </row>
    <row r="76" spans="1:3" ht="16.5" thickBot="1" x14ac:dyDescent="0.3">
      <c r="A76" s="136" t="s">
        <v>397</v>
      </c>
      <c r="B76" s="142"/>
    </row>
    <row r="77" spans="1:3" ht="16.5" thickBot="1" x14ac:dyDescent="0.3">
      <c r="A77" s="136" t="s">
        <v>406</v>
      </c>
      <c r="B77" s="142"/>
    </row>
    <row r="78" spans="1:3" ht="16.5" thickBot="1" x14ac:dyDescent="0.3">
      <c r="A78" s="136" t="s">
        <v>407</v>
      </c>
      <c r="B78" s="142"/>
    </row>
    <row r="79" spans="1:3" ht="16.5" thickBot="1" x14ac:dyDescent="0.3">
      <c r="A79" s="136" t="s">
        <v>408</v>
      </c>
      <c r="B79" s="142"/>
    </row>
    <row r="80" spans="1:3" ht="16.5" thickBot="1" x14ac:dyDescent="0.3">
      <c r="A80" s="132" t="s">
        <v>409</v>
      </c>
      <c r="B80" s="343">
        <f>B81/$B$27</f>
        <v>1.197342231116141</v>
      </c>
    </row>
    <row r="81" spans="1:2" ht="16.5" thickBot="1" x14ac:dyDescent="0.3">
      <c r="A81" s="132" t="s">
        <v>410</v>
      </c>
      <c r="B81" s="341">
        <f xml:space="preserve"> SUMIF(C33:C74, 1,B33:B74)</f>
        <v>14.5692</v>
      </c>
    </row>
    <row r="82" spans="1:2" ht="16.5" thickBot="1" x14ac:dyDescent="0.3">
      <c r="A82" s="132" t="s">
        <v>411</v>
      </c>
      <c r="B82" s="343">
        <f>B83/$B$27</f>
        <v>1.3299461746253043</v>
      </c>
    </row>
    <row r="83" spans="1:2" ht="16.5" thickBot="1" x14ac:dyDescent="0.3">
      <c r="A83" s="133" t="s">
        <v>412</v>
      </c>
      <c r="B83" s="341">
        <f xml:space="preserve"> SUMIF(C35:C76, 2,B35:B76)</f>
        <v>16.182718110000003</v>
      </c>
    </row>
    <row r="84" spans="1:2" x14ac:dyDescent="0.25">
      <c r="A84" s="134" t="s">
        <v>413</v>
      </c>
      <c r="B84" s="488" t="s">
        <v>414</v>
      </c>
    </row>
    <row r="85" spans="1:2" x14ac:dyDescent="0.25">
      <c r="A85" s="138" t="s">
        <v>415</v>
      </c>
      <c r="B85" s="489"/>
    </row>
    <row r="86" spans="1:2" x14ac:dyDescent="0.25">
      <c r="A86" s="138" t="s">
        <v>416</v>
      </c>
      <c r="B86" s="489"/>
    </row>
    <row r="87" spans="1:2" x14ac:dyDescent="0.25">
      <c r="A87" s="138" t="s">
        <v>417</v>
      </c>
      <c r="B87" s="489"/>
    </row>
    <row r="88" spans="1:2" x14ac:dyDescent="0.25">
      <c r="A88" s="138" t="s">
        <v>418</v>
      </c>
      <c r="B88" s="489"/>
    </row>
    <row r="89" spans="1:2" ht="16.5" thickBot="1" x14ac:dyDescent="0.3">
      <c r="A89" s="139" t="s">
        <v>419</v>
      </c>
      <c r="B89" s="490"/>
    </row>
    <row r="90" spans="1:2" ht="30.75" thickBot="1" x14ac:dyDescent="0.3">
      <c r="A90" s="136" t="s">
        <v>420</v>
      </c>
      <c r="B90" s="137"/>
    </row>
    <row r="91" spans="1:2" ht="29.25" thickBot="1" x14ac:dyDescent="0.3">
      <c r="A91" s="132" t="s">
        <v>421</v>
      </c>
      <c r="B91" s="137"/>
    </row>
    <row r="92" spans="1:2" ht="16.5" thickBot="1" x14ac:dyDescent="0.3">
      <c r="A92" s="136" t="s">
        <v>397</v>
      </c>
      <c r="B92" s="144"/>
    </row>
    <row r="93" spans="1:2" ht="16.5" thickBot="1" x14ac:dyDescent="0.3">
      <c r="A93" s="136" t="s">
        <v>422</v>
      </c>
      <c r="B93" s="137"/>
    </row>
    <row r="94" spans="1:2" ht="16.5" thickBot="1" x14ac:dyDescent="0.3">
      <c r="A94" s="136" t="s">
        <v>423</v>
      </c>
      <c r="B94" s="144"/>
    </row>
    <row r="95" spans="1:2" ht="30.75" thickBot="1" x14ac:dyDescent="0.3">
      <c r="A95" s="145" t="s">
        <v>424</v>
      </c>
      <c r="B95" s="331" t="s">
        <v>425</v>
      </c>
    </row>
    <row r="96" spans="1:2" ht="16.5" thickBot="1" x14ac:dyDescent="0.3">
      <c r="A96" s="132" t="s">
        <v>426</v>
      </c>
      <c r="B96" s="143"/>
    </row>
    <row r="97" spans="1:2" ht="16.5" thickBot="1" x14ac:dyDescent="0.3">
      <c r="A97" s="138" t="s">
        <v>427</v>
      </c>
      <c r="B97" s="146"/>
    </row>
    <row r="98" spans="1:2" ht="16.5" thickBot="1" x14ac:dyDescent="0.3">
      <c r="A98" s="138" t="s">
        <v>428</v>
      </c>
      <c r="B98" s="146"/>
    </row>
    <row r="99" spans="1:2" ht="16.5" thickBot="1" x14ac:dyDescent="0.3">
      <c r="A99" s="138" t="s">
        <v>429</v>
      </c>
      <c r="B99" s="146"/>
    </row>
    <row r="100" spans="1:2" ht="45.75" thickBot="1" x14ac:dyDescent="0.3">
      <c r="A100" s="147" t="s">
        <v>430</v>
      </c>
      <c r="B100" s="144" t="s">
        <v>431</v>
      </c>
    </row>
    <row r="101" spans="1:2" ht="28.5" x14ac:dyDescent="0.25">
      <c r="A101" s="134" t="s">
        <v>432</v>
      </c>
      <c r="B101" s="488" t="s">
        <v>433</v>
      </c>
    </row>
    <row r="102" spans="1:2" x14ac:dyDescent="0.25">
      <c r="A102" s="138" t="s">
        <v>434</v>
      </c>
      <c r="B102" s="489"/>
    </row>
    <row r="103" spans="1:2" x14ac:dyDescent="0.25">
      <c r="A103" s="138" t="s">
        <v>435</v>
      </c>
      <c r="B103" s="489"/>
    </row>
    <row r="104" spans="1:2" x14ac:dyDescent="0.25">
      <c r="A104" s="138" t="s">
        <v>436</v>
      </c>
      <c r="B104" s="489"/>
    </row>
    <row r="105" spans="1:2" x14ac:dyDescent="0.25">
      <c r="A105" s="138" t="s">
        <v>437</v>
      </c>
      <c r="B105" s="489"/>
    </row>
    <row r="106" spans="1:2" ht="16.5" thickBot="1" x14ac:dyDescent="0.3">
      <c r="A106" s="148" t="s">
        <v>438</v>
      </c>
      <c r="B106" s="490"/>
    </row>
    <row r="109" spans="1:2" x14ac:dyDescent="0.25">
      <c r="A109" s="149"/>
      <c r="B109" s="150"/>
    </row>
    <row r="110" spans="1:2" x14ac:dyDescent="0.25">
      <c r="B110" s="151"/>
    </row>
    <row r="111" spans="1:2" x14ac:dyDescent="0.25">
      <c r="B111" s="15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F29" sqref="F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F_prj_111001_3354</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5.75" x14ac:dyDescent="0.2">
      <c r="A14" s="377" t="str">
        <f>'1. паспорт местоположение'!A15:C15</f>
        <v>Строительство ТП 15/0.4 кВ, ВЛЗ 15 кВ от ВЛ 15 кВ № 15-482, 15-487 в г.Черняховск</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68" t="s">
        <v>497</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71" t="s">
        <v>6</v>
      </c>
      <c r="B19" s="371" t="s">
        <v>101</v>
      </c>
      <c r="C19" s="373" t="s">
        <v>387</v>
      </c>
      <c r="D19" s="371" t="s">
        <v>386</v>
      </c>
      <c r="E19" s="371" t="s">
        <v>100</v>
      </c>
      <c r="F19" s="371" t="s">
        <v>99</v>
      </c>
      <c r="G19" s="371" t="s">
        <v>382</v>
      </c>
      <c r="H19" s="371" t="s">
        <v>98</v>
      </c>
      <c r="I19" s="371" t="s">
        <v>97</v>
      </c>
      <c r="J19" s="371" t="s">
        <v>96</v>
      </c>
      <c r="K19" s="371" t="s">
        <v>95</v>
      </c>
      <c r="L19" s="371" t="s">
        <v>94</v>
      </c>
      <c r="M19" s="371" t="s">
        <v>93</v>
      </c>
      <c r="N19" s="371" t="s">
        <v>92</v>
      </c>
      <c r="O19" s="371" t="s">
        <v>91</v>
      </c>
      <c r="P19" s="371" t="s">
        <v>90</v>
      </c>
      <c r="Q19" s="371" t="s">
        <v>385</v>
      </c>
      <c r="R19" s="371"/>
      <c r="S19" s="375" t="s">
        <v>491</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3" t="s">
        <v>383</v>
      </c>
      <c r="R20" s="44" t="s">
        <v>384</v>
      </c>
      <c r="S20" s="375"/>
      <c r="T20" s="28"/>
      <c r="U20" s="28"/>
      <c r="V20" s="28"/>
      <c r="W20" s="28"/>
      <c r="X20" s="28"/>
      <c r="Y20" s="28"/>
      <c r="Z20" s="27"/>
      <c r="AA20" s="27"/>
      <c r="AB20" s="27"/>
    </row>
    <row r="21" spans="1:28" s="3" customFormat="1" ht="18.75" x14ac:dyDescent="0.2">
      <c r="A21" s="43">
        <v>1</v>
      </c>
      <c r="B21" s="48">
        <v>2</v>
      </c>
      <c r="C21" s="43">
        <v>3</v>
      </c>
      <c r="D21" s="48">
        <v>4</v>
      </c>
      <c r="E21" s="43">
        <v>5</v>
      </c>
      <c r="F21" s="48">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120" customHeight="1" x14ac:dyDescent="0.2">
      <c r="A22" s="43"/>
      <c r="B22" s="184" t="s">
        <v>544</v>
      </c>
      <c r="C22" s="184"/>
      <c r="D22" s="184" t="s">
        <v>545</v>
      </c>
      <c r="E22" s="184" t="s">
        <v>546</v>
      </c>
      <c r="F22" s="184" t="s">
        <v>547</v>
      </c>
      <c r="G22" s="184" t="s">
        <v>643</v>
      </c>
      <c r="H22" s="185">
        <v>750</v>
      </c>
      <c r="I22" s="185"/>
      <c r="J22" s="185">
        <v>750</v>
      </c>
      <c r="K22" s="184">
        <v>0.4</v>
      </c>
      <c r="L22" s="184">
        <v>2</v>
      </c>
      <c r="M22" s="184">
        <v>2</v>
      </c>
      <c r="N22" s="184">
        <v>2</v>
      </c>
      <c r="O22" s="184"/>
      <c r="P22" s="184"/>
      <c r="Q22" s="184" t="s">
        <v>644</v>
      </c>
      <c r="R22" s="184"/>
      <c r="S22" s="186">
        <v>10.022313240000001</v>
      </c>
      <c r="T22" s="28"/>
      <c r="U22" s="28"/>
      <c r="V22" s="28"/>
      <c r="W22" s="28"/>
      <c r="X22" s="28"/>
      <c r="Y22" s="28"/>
      <c r="Z22" s="27"/>
      <c r="AA22" s="27"/>
      <c r="AB22" s="27"/>
    </row>
    <row r="23" spans="1:28" ht="20.25" customHeight="1" x14ac:dyDescent="0.25">
      <c r="A23" s="123"/>
      <c r="B23" s="48" t="s">
        <v>380</v>
      </c>
      <c r="C23" s="48"/>
      <c r="D23" s="48"/>
      <c r="E23" s="123" t="s">
        <v>381</v>
      </c>
      <c r="F23" s="123" t="s">
        <v>381</v>
      </c>
      <c r="G23" s="123" t="s">
        <v>381</v>
      </c>
      <c r="H23" s="183">
        <f>H22</f>
        <v>750</v>
      </c>
      <c r="I23" s="123"/>
      <c r="J23" s="183">
        <f>J22</f>
        <v>750</v>
      </c>
      <c r="K23" s="123"/>
      <c r="L23" s="123"/>
      <c r="M23" s="123"/>
      <c r="N23" s="123"/>
      <c r="O23" s="123"/>
      <c r="P23" s="123"/>
      <c r="Q23" s="124"/>
      <c r="R23" s="2"/>
      <c r="S23" s="346">
        <f>S22</f>
        <v>10.022313240000001</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L30" sqref="L30"/>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8.140625" style="52" customWidth="1"/>
    <col min="7" max="8" width="8.7109375" style="52" customWidth="1"/>
    <col min="9" max="9" width="7.28515625" style="52" customWidth="1"/>
    <col min="10" max="10" width="9.28515625" style="52" customWidth="1"/>
    <col min="11" max="11" width="10.28515625" style="52" customWidth="1"/>
    <col min="12" max="12" width="8.7109375" style="52" customWidth="1"/>
    <col min="13" max="13" width="10.7109375" style="52" customWidth="1"/>
    <col min="14" max="14" width="8.7109375" style="52" customWidth="1"/>
    <col min="15" max="15" width="13.2851562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F_prj_111001_3354</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x14ac:dyDescent="0.2">
      <c r="A16" s="377" t="str">
        <f>'1. паспорт местоположение'!A15:C15</f>
        <v>Строительство ТП 15/0.4 кВ, ВЛЗ 15 кВ от ВЛ 15 кВ № 15-482, 15-487 в г.Черняховск</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9" t="s">
        <v>502</v>
      </c>
      <c r="B19" s="369"/>
      <c r="C19" s="369"/>
      <c r="D19" s="369"/>
      <c r="E19" s="369"/>
      <c r="F19" s="369"/>
      <c r="G19" s="369"/>
      <c r="H19" s="369"/>
      <c r="I19" s="369"/>
      <c r="J19" s="369"/>
      <c r="K19" s="369"/>
      <c r="L19" s="369"/>
      <c r="M19" s="369"/>
      <c r="N19" s="369"/>
      <c r="O19" s="369"/>
      <c r="P19" s="369"/>
      <c r="Q19" s="369"/>
      <c r="R19" s="369"/>
      <c r="S19" s="369"/>
      <c r="T19" s="369"/>
    </row>
    <row r="20" spans="1:113" s="60"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88" t="s">
        <v>6</v>
      </c>
      <c r="B21" s="381" t="s">
        <v>226</v>
      </c>
      <c r="C21" s="382"/>
      <c r="D21" s="385" t="s">
        <v>123</v>
      </c>
      <c r="E21" s="381" t="s">
        <v>531</v>
      </c>
      <c r="F21" s="382"/>
      <c r="G21" s="381" t="s">
        <v>277</v>
      </c>
      <c r="H21" s="382"/>
      <c r="I21" s="381" t="s">
        <v>122</v>
      </c>
      <c r="J21" s="382"/>
      <c r="K21" s="385" t="s">
        <v>121</v>
      </c>
      <c r="L21" s="381" t="s">
        <v>120</v>
      </c>
      <c r="M21" s="382"/>
      <c r="N21" s="381" t="s">
        <v>527</v>
      </c>
      <c r="O21" s="382"/>
      <c r="P21" s="385" t="s">
        <v>119</v>
      </c>
      <c r="Q21" s="391" t="s">
        <v>118</v>
      </c>
      <c r="R21" s="392"/>
      <c r="S21" s="391" t="s">
        <v>117</v>
      </c>
      <c r="T21" s="393"/>
    </row>
    <row r="22" spans="1:113" ht="204.75" customHeight="1" x14ac:dyDescent="0.25">
      <c r="A22" s="389"/>
      <c r="B22" s="383"/>
      <c r="C22" s="384"/>
      <c r="D22" s="387"/>
      <c r="E22" s="383"/>
      <c r="F22" s="384"/>
      <c r="G22" s="383"/>
      <c r="H22" s="384"/>
      <c r="I22" s="383"/>
      <c r="J22" s="384"/>
      <c r="K22" s="386"/>
      <c r="L22" s="383"/>
      <c r="M22" s="384"/>
      <c r="N22" s="383"/>
      <c r="O22" s="384"/>
      <c r="P22" s="386"/>
      <c r="Q22" s="107" t="s">
        <v>116</v>
      </c>
      <c r="R22" s="107" t="s">
        <v>501</v>
      </c>
      <c r="S22" s="107" t="s">
        <v>115</v>
      </c>
      <c r="T22" s="107" t="s">
        <v>114</v>
      </c>
    </row>
    <row r="23" spans="1:113" ht="51.75" customHeight="1" x14ac:dyDescent="0.25">
      <c r="A23" s="390"/>
      <c r="B23" s="165" t="s">
        <v>112</v>
      </c>
      <c r="C23" s="165" t="s">
        <v>113</v>
      </c>
      <c r="D23" s="386"/>
      <c r="E23" s="165" t="s">
        <v>112</v>
      </c>
      <c r="F23" s="165" t="s">
        <v>113</v>
      </c>
      <c r="G23" s="165" t="s">
        <v>112</v>
      </c>
      <c r="H23" s="165" t="s">
        <v>113</v>
      </c>
      <c r="I23" s="165" t="s">
        <v>112</v>
      </c>
      <c r="J23" s="165" t="s">
        <v>113</v>
      </c>
      <c r="K23" s="165" t="s">
        <v>112</v>
      </c>
      <c r="L23" s="165" t="s">
        <v>112</v>
      </c>
      <c r="M23" s="165" t="s">
        <v>113</v>
      </c>
      <c r="N23" s="165" t="s">
        <v>112</v>
      </c>
      <c r="O23" s="165" t="s">
        <v>113</v>
      </c>
      <c r="P23" s="166" t="s">
        <v>112</v>
      </c>
      <c r="Q23" s="107" t="s">
        <v>112</v>
      </c>
      <c r="R23" s="107" t="s">
        <v>112</v>
      </c>
      <c r="S23" s="107" t="s">
        <v>112</v>
      </c>
      <c r="T23" s="107"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190" customFormat="1" ht="36" customHeight="1" x14ac:dyDescent="0.25">
      <c r="A25" s="62">
        <v>1</v>
      </c>
      <c r="B25" s="187"/>
      <c r="C25" s="187"/>
      <c r="D25" s="187" t="s">
        <v>561</v>
      </c>
      <c r="E25" s="187"/>
      <c r="F25" s="188" t="s">
        <v>563</v>
      </c>
      <c r="G25" s="187"/>
      <c r="H25" s="188"/>
      <c r="I25" s="187"/>
      <c r="J25" s="61"/>
      <c r="K25" s="61"/>
      <c r="L25" s="61"/>
      <c r="M25" s="188" t="s">
        <v>562</v>
      </c>
      <c r="N25" s="62"/>
      <c r="O25" s="62" t="s">
        <v>564</v>
      </c>
      <c r="P25" s="61"/>
      <c r="Q25" s="189"/>
      <c r="R25" s="187"/>
      <c r="S25" s="189"/>
      <c r="T25" s="187"/>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380" t="s">
        <v>537</v>
      </c>
      <c r="C29" s="380"/>
      <c r="D29" s="380"/>
      <c r="E29" s="380"/>
      <c r="F29" s="380"/>
      <c r="G29" s="380"/>
      <c r="H29" s="380"/>
      <c r="I29" s="380"/>
      <c r="J29" s="380"/>
      <c r="K29" s="380"/>
      <c r="L29" s="380"/>
      <c r="M29" s="380"/>
      <c r="N29" s="380"/>
      <c r="O29" s="380"/>
      <c r="P29" s="380"/>
      <c r="Q29" s="380"/>
      <c r="R29" s="380"/>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6" sqref="R2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F_prj_111001_3354</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ТП 15/0.4 кВ, ВЛЗ 15 кВ от ВЛ 15 кВ № 15-482, 15-487 в г.Черняховск</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504</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0" customFormat="1" ht="21" customHeight="1" x14ac:dyDescent="0.25"/>
    <row r="21" spans="1:27" ht="15.75" customHeight="1" x14ac:dyDescent="0.25">
      <c r="A21" s="395" t="s">
        <v>6</v>
      </c>
      <c r="B21" s="398" t="s">
        <v>511</v>
      </c>
      <c r="C21" s="399"/>
      <c r="D21" s="398" t="s">
        <v>513</v>
      </c>
      <c r="E21" s="399"/>
      <c r="F21" s="391" t="s">
        <v>95</v>
      </c>
      <c r="G21" s="393"/>
      <c r="H21" s="393"/>
      <c r="I21" s="392"/>
      <c r="J21" s="395" t="s">
        <v>514</v>
      </c>
      <c r="K21" s="398" t="s">
        <v>515</v>
      </c>
      <c r="L21" s="399"/>
      <c r="M21" s="398" t="s">
        <v>516</v>
      </c>
      <c r="N21" s="399"/>
      <c r="O21" s="398" t="s">
        <v>503</v>
      </c>
      <c r="P21" s="399"/>
      <c r="Q21" s="398" t="s">
        <v>128</v>
      </c>
      <c r="R21" s="399"/>
      <c r="S21" s="395" t="s">
        <v>127</v>
      </c>
      <c r="T21" s="395" t="s">
        <v>517</v>
      </c>
      <c r="U21" s="395" t="s">
        <v>512</v>
      </c>
      <c r="V21" s="398" t="s">
        <v>126</v>
      </c>
      <c r="W21" s="399"/>
      <c r="X21" s="391" t="s">
        <v>118</v>
      </c>
      <c r="Y21" s="393"/>
      <c r="Z21" s="391" t="s">
        <v>117</v>
      </c>
      <c r="AA21" s="393"/>
    </row>
    <row r="22" spans="1:27" ht="216" customHeight="1" x14ac:dyDescent="0.25">
      <c r="A22" s="396"/>
      <c r="B22" s="400"/>
      <c r="C22" s="401"/>
      <c r="D22" s="400"/>
      <c r="E22" s="401"/>
      <c r="F22" s="391" t="s">
        <v>125</v>
      </c>
      <c r="G22" s="392"/>
      <c r="H22" s="391" t="s">
        <v>124</v>
      </c>
      <c r="I22" s="392"/>
      <c r="J22" s="397"/>
      <c r="K22" s="400"/>
      <c r="L22" s="401"/>
      <c r="M22" s="400"/>
      <c r="N22" s="401"/>
      <c r="O22" s="400"/>
      <c r="P22" s="401"/>
      <c r="Q22" s="400"/>
      <c r="R22" s="401"/>
      <c r="S22" s="397"/>
      <c r="T22" s="397"/>
      <c r="U22" s="397"/>
      <c r="V22" s="400"/>
      <c r="W22" s="401"/>
      <c r="X22" s="107" t="s">
        <v>116</v>
      </c>
      <c r="Y22" s="107" t="s">
        <v>501</v>
      </c>
      <c r="Z22" s="107" t="s">
        <v>115</v>
      </c>
      <c r="AA22" s="107" t="s">
        <v>114</v>
      </c>
    </row>
    <row r="23" spans="1:27" ht="60" customHeight="1" x14ac:dyDescent="0.25">
      <c r="A23" s="397"/>
      <c r="B23" s="163" t="s">
        <v>112</v>
      </c>
      <c r="C23" s="163"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x14ac:dyDescent="0.25">
      <c r="A25" s="114">
        <v>1</v>
      </c>
      <c r="B25" s="114"/>
      <c r="C25" s="114"/>
      <c r="D25" s="114"/>
      <c r="E25" s="107"/>
      <c r="F25" s="107"/>
      <c r="G25" s="191" t="s">
        <v>566</v>
      </c>
      <c r="H25" s="191"/>
      <c r="I25" s="191" t="s">
        <v>566</v>
      </c>
      <c r="J25" s="191"/>
      <c r="K25" s="115"/>
      <c r="L25" s="192"/>
      <c r="M25" s="192"/>
      <c r="N25" s="193">
        <v>70</v>
      </c>
      <c r="O25" s="193"/>
      <c r="P25" s="193" t="s">
        <v>567</v>
      </c>
      <c r="Q25" s="193"/>
      <c r="R25" s="191" t="s">
        <v>569</v>
      </c>
      <c r="S25" s="112"/>
      <c r="T25" s="112"/>
      <c r="U25" s="112"/>
      <c r="V25" s="112"/>
      <c r="W25" s="112"/>
      <c r="X25" s="112"/>
      <c r="Y25" s="112"/>
      <c r="Z25" s="112"/>
      <c r="AA25" s="112"/>
    </row>
    <row r="26" spans="1:27" s="60" customFormat="1" ht="24" customHeight="1" x14ac:dyDescent="0.25">
      <c r="A26" s="114">
        <v>2</v>
      </c>
      <c r="B26" s="114"/>
      <c r="C26" s="114"/>
      <c r="D26" s="114"/>
      <c r="E26" s="107"/>
      <c r="F26" s="107"/>
      <c r="G26" s="191" t="s">
        <v>566</v>
      </c>
      <c r="H26" s="191"/>
      <c r="I26" s="191" t="s">
        <v>566</v>
      </c>
      <c r="J26" s="191"/>
      <c r="K26" s="115"/>
      <c r="L26" s="192"/>
      <c r="M26" s="192"/>
      <c r="N26" s="193"/>
      <c r="O26" s="193"/>
      <c r="P26" s="193" t="s">
        <v>565</v>
      </c>
      <c r="Q26" s="193"/>
      <c r="R26" s="191" t="s">
        <v>568</v>
      </c>
      <c r="S26" s="115"/>
      <c r="T26" s="115"/>
      <c r="U26" s="115"/>
      <c r="V26" s="115"/>
      <c r="W26" s="116"/>
      <c r="X26" s="113"/>
      <c r="Y26" s="113"/>
      <c r="Z26" s="113"/>
      <c r="AA26" s="113"/>
    </row>
    <row r="27" spans="1:27" ht="3" customHeight="1" x14ac:dyDescent="0.25">
      <c r="X27" s="109"/>
      <c r="Y27" s="110"/>
      <c r="Z27" s="53"/>
      <c r="AA27" s="53"/>
    </row>
    <row r="28" spans="1:27" s="58" customFormat="1" ht="12.75" x14ac:dyDescent="0.2">
      <c r="A28" s="59"/>
      <c r="B28" s="59"/>
      <c r="C28" s="59"/>
      <c r="E28" s="59"/>
      <c r="X28" s="111"/>
      <c r="Y28" s="111"/>
      <c r="Z28" s="111"/>
      <c r="AA28" s="111"/>
    </row>
    <row r="29" spans="1:27" s="58" customFormat="1" ht="12.75" x14ac:dyDescent="0.2">
      <c r="A29" s="59"/>
      <c r="B29" s="59"/>
      <c r="C29"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F_prj_111001_3354</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ТП 15/0.4 кВ, ВЛЗ 15 кВ от ВЛ 15 кВ № 15-482, 15-487 в г.Черняховск</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8" t="s">
        <v>496</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509</v>
      </c>
      <c r="C22" s="30" t="s">
        <v>556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529</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530</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25"/>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510</v>
      </c>
      <c r="C27" s="25" t="s">
        <v>557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560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558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646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0"/>
      <c r="AB6" s="160"/>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0"/>
      <c r="AB7" s="160"/>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61"/>
      <c r="AB8" s="161"/>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62"/>
      <c r="AB9" s="162"/>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0"/>
      <c r="AB10" s="160"/>
    </row>
    <row r="11" spans="1:28" ht="15.75" x14ac:dyDescent="0.25">
      <c r="A11" s="372" t="str">
        <f>'1. паспорт местоположение'!A12:C12</f>
        <v>F_prj_111001_3354</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61"/>
      <c r="AB11" s="161"/>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62"/>
      <c r="AB12" s="162"/>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ht="15.75" x14ac:dyDescent="0.25">
      <c r="A14" s="377" t="str">
        <f>'1. паспорт местоположение'!A15:C15</f>
        <v>Строительство ТП 15/0.4 кВ, ВЛЗ 15 кВ от ВЛ 15 кВ № 15-482, 15-487 в г.Черняховск</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61"/>
      <c r="AB14" s="161"/>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62"/>
      <c r="AB15" s="162"/>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70"/>
      <c r="AB16" s="170"/>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70"/>
      <c r="AB17" s="170"/>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70"/>
      <c r="AB18" s="170"/>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70"/>
      <c r="AB19" s="170"/>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71"/>
      <c r="AB20" s="171"/>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71"/>
      <c r="AB21" s="171"/>
    </row>
    <row r="22" spans="1:28" x14ac:dyDescent="0.25">
      <c r="A22" s="403" t="s">
        <v>528</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72"/>
      <c r="AB22" s="172"/>
    </row>
    <row r="23" spans="1:28" ht="32.25" customHeight="1" x14ac:dyDescent="0.25">
      <c r="A23" s="405" t="s">
        <v>378</v>
      </c>
      <c r="B23" s="406"/>
      <c r="C23" s="406"/>
      <c r="D23" s="406"/>
      <c r="E23" s="406"/>
      <c r="F23" s="406"/>
      <c r="G23" s="406"/>
      <c r="H23" s="406"/>
      <c r="I23" s="406"/>
      <c r="J23" s="406"/>
      <c r="K23" s="406"/>
      <c r="L23" s="407"/>
      <c r="M23" s="404" t="s">
        <v>379</v>
      </c>
      <c r="N23" s="404"/>
      <c r="O23" s="404"/>
      <c r="P23" s="404"/>
      <c r="Q23" s="404"/>
      <c r="R23" s="404"/>
      <c r="S23" s="404"/>
      <c r="T23" s="404"/>
      <c r="U23" s="404"/>
      <c r="V23" s="404"/>
      <c r="W23" s="404"/>
      <c r="X23" s="404"/>
      <c r="Y23" s="404"/>
      <c r="Z23" s="404"/>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539</v>
      </c>
      <c r="O24" s="104" t="s">
        <v>282</v>
      </c>
      <c r="P24" s="104" t="s">
        <v>283</v>
      </c>
      <c r="Q24" s="104" t="s">
        <v>281</v>
      </c>
      <c r="R24" s="104" t="s">
        <v>239</v>
      </c>
      <c r="S24" s="104" t="s">
        <v>280</v>
      </c>
      <c r="T24" s="104" t="s">
        <v>279</v>
      </c>
      <c r="U24" s="104" t="s">
        <v>371</v>
      </c>
      <c r="V24" s="104" t="s">
        <v>281</v>
      </c>
      <c r="W24" s="117" t="s">
        <v>264</v>
      </c>
      <c r="X24" s="117" t="s">
        <v>296</v>
      </c>
      <c r="Y24" s="117" t="s">
        <v>297</v>
      </c>
      <c r="Z24" s="119" t="s">
        <v>294</v>
      </c>
    </row>
    <row r="25" spans="1:28" ht="16.5" customHeight="1" x14ac:dyDescent="0.25">
      <c r="A25" s="104">
        <v>1</v>
      </c>
      <c r="B25" s="105">
        <v>2</v>
      </c>
      <c r="C25" s="104">
        <v>3</v>
      </c>
      <c r="D25" s="105">
        <v>4</v>
      </c>
      <c r="E25" s="104">
        <v>5</v>
      </c>
      <c r="F25" s="105">
        <v>6</v>
      </c>
      <c r="G25" s="104">
        <v>7</v>
      </c>
      <c r="H25" s="105">
        <v>8</v>
      </c>
      <c r="I25" s="104">
        <v>9</v>
      </c>
      <c r="J25" s="105">
        <v>10</v>
      </c>
      <c r="K25" s="173">
        <v>11</v>
      </c>
      <c r="L25" s="105">
        <v>12</v>
      </c>
      <c r="M25" s="173">
        <v>13</v>
      </c>
      <c r="N25" s="105">
        <v>14</v>
      </c>
      <c r="O25" s="173">
        <v>15</v>
      </c>
      <c r="P25" s="105">
        <v>16</v>
      </c>
      <c r="Q25" s="173">
        <v>17</v>
      </c>
      <c r="R25" s="105">
        <v>18</v>
      </c>
      <c r="S25" s="173">
        <v>19</v>
      </c>
      <c r="T25" s="105">
        <v>20</v>
      </c>
      <c r="U25" s="173">
        <v>21</v>
      </c>
      <c r="V25" s="105">
        <v>22</v>
      </c>
      <c r="W25" s="173">
        <v>23</v>
      </c>
      <c r="X25" s="105">
        <v>24</v>
      </c>
      <c r="Y25" s="173">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F_prj_111001_3354</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5.75" x14ac:dyDescent="0.2">
      <c r="A15" s="372" t="str">
        <f>'1. паспорт местоположение'!A15:C15</f>
        <v>Строительство ТП 15/0.4 кВ, ВЛЗ 15 кВ от ВЛ 15 кВ № 15-482, 15-487 в г.Черняховск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09" t="s">
        <v>505</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10" t="s">
        <v>87</v>
      </c>
      <c r="F19" s="411"/>
      <c r="G19" s="411"/>
      <c r="H19" s="411"/>
      <c r="I19" s="412"/>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3" t="s">
        <v>85</v>
      </c>
      <c r="F20" s="43" t="s">
        <v>84</v>
      </c>
      <c r="G20" s="43" t="s">
        <v>83</v>
      </c>
      <c r="H20" s="43" t="s">
        <v>82</v>
      </c>
      <c r="I20" s="43" t="s">
        <v>81</v>
      </c>
      <c r="J20" s="43" t="s">
        <v>80</v>
      </c>
      <c r="K20" s="43" t="s">
        <v>5</v>
      </c>
      <c r="L20" s="51" t="s">
        <v>4</v>
      </c>
      <c r="M20" s="50" t="s">
        <v>235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4" zoomScaleNormal="100" workbookViewId="0">
      <selection activeCell="A99" sqref="A99:XFD161"/>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13" t="str">
        <f>'[1]1. паспорт местоположение'!A5:C5</f>
        <v>Год раскрытия информации: 2016 год</v>
      </c>
      <c r="B5" s="413"/>
      <c r="C5" s="413"/>
      <c r="D5" s="413"/>
      <c r="E5" s="413"/>
      <c r="F5" s="413"/>
      <c r="G5" s="413"/>
      <c r="H5" s="413"/>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203"/>
      <c r="AR7" s="203"/>
    </row>
    <row r="8" spans="1:44" ht="18.75" x14ac:dyDescent="0.2">
      <c r="A8" s="174"/>
      <c r="B8" s="174"/>
      <c r="C8" s="174"/>
      <c r="D8" s="174"/>
      <c r="E8" s="174"/>
      <c r="F8" s="174"/>
      <c r="G8" s="174"/>
      <c r="H8" s="174"/>
      <c r="I8" s="174"/>
      <c r="J8" s="174"/>
      <c r="K8" s="174"/>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200"/>
      <c r="AR8" s="200"/>
    </row>
    <row r="9" spans="1:44" ht="18.75" x14ac:dyDescent="0.2">
      <c r="A9" s="369" t="str">
        <f>'1. паспорт местоположение'!A9:C9</f>
        <v xml:space="preserve">                         АО "Янтарьэнерго"                         </v>
      </c>
      <c r="B9" s="369"/>
      <c r="C9" s="369"/>
      <c r="D9" s="369"/>
      <c r="E9" s="369"/>
      <c r="F9" s="369"/>
      <c r="G9" s="369"/>
      <c r="H9" s="369"/>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204"/>
      <c r="AR9" s="204"/>
    </row>
    <row r="10" spans="1:44" x14ac:dyDescent="0.2">
      <c r="A10" s="367" t="s">
        <v>9</v>
      </c>
      <c r="B10" s="367"/>
      <c r="C10" s="367"/>
      <c r="D10" s="367"/>
      <c r="E10" s="367"/>
      <c r="F10" s="367"/>
      <c r="G10" s="367"/>
      <c r="H10" s="367"/>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205"/>
      <c r="AR10" s="205"/>
    </row>
    <row r="11" spans="1:44" ht="18.75" x14ac:dyDescent="0.2">
      <c r="A11" s="174"/>
      <c r="B11" s="174"/>
      <c r="C11" s="174"/>
      <c r="D11" s="174"/>
      <c r="E11" s="174"/>
      <c r="F11" s="174"/>
      <c r="G11" s="174"/>
      <c r="H11" s="174"/>
      <c r="I11" s="174"/>
      <c r="J11" s="174"/>
      <c r="K11" s="174"/>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69" t="str">
        <f>'1. паспорт местоположение'!A12:C12</f>
        <v>F_prj_111001_3354</v>
      </c>
      <c r="B12" s="369"/>
      <c r="C12" s="369"/>
      <c r="D12" s="369"/>
      <c r="E12" s="369"/>
      <c r="F12" s="369"/>
      <c r="G12" s="369"/>
      <c r="H12" s="369"/>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204"/>
      <c r="AR12" s="204"/>
    </row>
    <row r="13" spans="1:44" x14ac:dyDescent="0.2">
      <c r="A13" s="367" t="s">
        <v>8</v>
      </c>
      <c r="B13" s="367"/>
      <c r="C13" s="367"/>
      <c r="D13" s="367"/>
      <c r="E13" s="367"/>
      <c r="F13" s="367"/>
      <c r="G13" s="367"/>
      <c r="H13" s="367"/>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205"/>
      <c r="AR13" s="205"/>
    </row>
    <row r="14" spans="1:44" ht="18.75"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9"/>
      <c r="AA14" s="9"/>
      <c r="AB14" s="9"/>
      <c r="AC14" s="9"/>
      <c r="AD14" s="9"/>
      <c r="AE14" s="9"/>
      <c r="AF14" s="9"/>
      <c r="AG14" s="9"/>
      <c r="AH14" s="9"/>
      <c r="AI14" s="9"/>
      <c r="AJ14" s="9"/>
      <c r="AK14" s="9"/>
      <c r="AL14" s="9"/>
      <c r="AM14" s="9"/>
      <c r="AN14" s="9"/>
      <c r="AO14" s="9"/>
      <c r="AP14" s="9"/>
      <c r="AQ14" s="206"/>
      <c r="AR14" s="206"/>
    </row>
    <row r="15" spans="1:44" ht="18.75" x14ac:dyDescent="0.2">
      <c r="A15" s="368" t="str">
        <f>'1. паспорт местоположение'!A15:C15</f>
        <v>Строительство ТП 15/0.4 кВ, ВЛЗ 15 кВ от ВЛ 15 кВ № 15-482, 15-487 в г.Черняховск</v>
      </c>
      <c r="B15" s="368"/>
      <c r="C15" s="368"/>
      <c r="D15" s="368"/>
      <c r="E15" s="368"/>
      <c r="F15" s="368"/>
      <c r="G15" s="368"/>
      <c r="H15" s="368"/>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204"/>
      <c r="AR15" s="204"/>
    </row>
    <row r="16" spans="1:44" x14ac:dyDescent="0.2">
      <c r="A16" s="367" t="s">
        <v>7</v>
      </c>
      <c r="B16" s="367"/>
      <c r="C16" s="367"/>
      <c r="D16" s="367"/>
      <c r="E16" s="367"/>
      <c r="F16" s="367"/>
      <c r="G16" s="367"/>
      <c r="H16" s="367"/>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205"/>
      <c r="AR16" s="205"/>
    </row>
    <row r="17" spans="1:44"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69" t="s">
        <v>506</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352</v>
      </c>
      <c r="B24" s="214" t="s">
        <v>1</v>
      </c>
      <c r="D24" s="215"/>
      <c r="E24" s="216"/>
      <c r="F24" s="216"/>
      <c r="G24" s="216"/>
      <c r="H24" s="216"/>
    </row>
    <row r="25" spans="1:44" x14ac:dyDescent="0.2">
      <c r="A25" s="217" t="s">
        <v>580</v>
      </c>
      <c r="B25" s="218">
        <f>$B$126</f>
        <v>12167949.665000001</v>
      </c>
    </row>
    <row r="26" spans="1:44" x14ac:dyDescent="0.2">
      <c r="A26" s="219" t="s">
        <v>350</v>
      </c>
      <c r="B26" s="220">
        <v>0</v>
      </c>
    </row>
    <row r="27" spans="1:44" x14ac:dyDescent="0.2">
      <c r="A27" s="219" t="s">
        <v>348</v>
      </c>
      <c r="B27" s="220">
        <f>$B$123</f>
        <v>25</v>
      </c>
      <c r="D27" s="212" t="s">
        <v>351</v>
      </c>
    </row>
    <row r="28" spans="1:44" ht="16.149999999999999" customHeight="1" thickBot="1" x14ac:dyDescent="0.25">
      <c r="A28" s="221" t="s">
        <v>346</v>
      </c>
      <c r="B28" s="222">
        <v>1</v>
      </c>
      <c r="D28" s="416" t="s">
        <v>349</v>
      </c>
      <c r="E28" s="417"/>
      <c r="F28" s="418"/>
      <c r="G28" s="419">
        <f>IF(SUM(B89:L89)=0,"не окупается",SUM(B89:L89))</f>
        <v>1.8653139552509452</v>
      </c>
      <c r="H28" s="420"/>
    </row>
    <row r="29" spans="1:44" ht="15.6" customHeight="1" x14ac:dyDescent="0.2">
      <c r="A29" s="217" t="s">
        <v>344</v>
      </c>
      <c r="B29" s="218">
        <f>$B$126*$B$127</f>
        <v>121679.49665000002</v>
      </c>
      <c r="D29" s="416" t="s">
        <v>347</v>
      </c>
      <c r="E29" s="417"/>
      <c r="F29" s="418"/>
      <c r="G29" s="419">
        <f>IF(SUM(B90:L90)=0,"не окупается",SUM(B90:L90))</f>
        <v>2.0244651399014431</v>
      </c>
      <c r="H29" s="420"/>
    </row>
    <row r="30" spans="1:44" ht="27.6" customHeight="1" x14ac:dyDescent="0.2">
      <c r="A30" s="219" t="s">
        <v>581</v>
      </c>
      <c r="B30" s="220">
        <v>1</v>
      </c>
      <c r="D30" s="416" t="s">
        <v>345</v>
      </c>
      <c r="E30" s="417"/>
      <c r="F30" s="418"/>
      <c r="G30" s="421">
        <f>L87</f>
        <v>29446051.204663329</v>
      </c>
      <c r="H30" s="422"/>
    </row>
    <row r="31" spans="1:44" x14ac:dyDescent="0.2">
      <c r="A31" s="219" t="s">
        <v>343</v>
      </c>
      <c r="B31" s="220">
        <v>1</v>
      </c>
      <c r="D31" s="423"/>
      <c r="E31" s="424"/>
      <c r="F31" s="425"/>
      <c r="G31" s="423"/>
      <c r="H31" s="425"/>
    </row>
    <row r="32" spans="1:44" x14ac:dyDescent="0.2">
      <c r="A32" s="219" t="s">
        <v>321</v>
      </c>
      <c r="B32" s="220"/>
    </row>
    <row r="33" spans="1:42" x14ac:dyDescent="0.2">
      <c r="A33" s="219" t="s">
        <v>342</v>
      </c>
      <c r="B33" s="220"/>
    </row>
    <row r="34" spans="1:42" x14ac:dyDescent="0.2">
      <c r="A34" s="219" t="s">
        <v>341</v>
      </c>
      <c r="B34" s="220"/>
    </row>
    <row r="35" spans="1:42" x14ac:dyDescent="0.2">
      <c r="A35" s="223"/>
      <c r="B35" s="220"/>
    </row>
    <row r="36" spans="1:42" ht="16.5" thickBot="1" x14ac:dyDescent="0.25">
      <c r="A36" s="221" t="s">
        <v>313</v>
      </c>
      <c r="B36" s="224">
        <v>0.2</v>
      </c>
    </row>
    <row r="37" spans="1:42" x14ac:dyDescent="0.2">
      <c r="A37" s="217" t="s">
        <v>582</v>
      </c>
      <c r="B37" s="218">
        <v>0</v>
      </c>
    </row>
    <row r="38" spans="1:42" x14ac:dyDescent="0.2">
      <c r="A38" s="219" t="s">
        <v>340</v>
      </c>
      <c r="B38" s="220"/>
    </row>
    <row r="39" spans="1:42" ht="16.5" thickBot="1" x14ac:dyDescent="0.25">
      <c r="A39" s="225" t="s">
        <v>339</v>
      </c>
      <c r="B39" s="226"/>
    </row>
    <row r="40" spans="1:42" x14ac:dyDescent="0.2">
      <c r="A40" s="227" t="s">
        <v>583</v>
      </c>
      <c r="B40" s="228">
        <v>1</v>
      </c>
    </row>
    <row r="41" spans="1:42" x14ac:dyDescent="0.2">
      <c r="A41" s="229" t="s">
        <v>338</v>
      </c>
      <c r="B41" s="230"/>
    </row>
    <row r="42" spans="1:42" x14ac:dyDescent="0.2">
      <c r="A42" s="229" t="s">
        <v>337</v>
      </c>
      <c r="B42" s="231"/>
    </row>
    <row r="43" spans="1:42" x14ac:dyDescent="0.2">
      <c r="A43" s="229" t="s">
        <v>336</v>
      </c>
      <c r="B43" s="231">
        <v>0</v>
      </c>
    </row>
    <row r="44" spans="1:42" x14ac:dyDescent="0.2">
      <c r="A44" s="229" t="s">
        <v>335</v>
      </c>
      <c r="B44" s="231">
        <f>B129</f>
        <v>0.20499999999999999</v>
      </c>
    </row>
    <row r="45" spans="1:42" x14ac:dyDescent="0.2">
      <c r="A45" s="229" t="s">
        <v>334</v>
      </c>
      <c r="B45" s="231">
        <f>1-B43</f>
        <v>1</v>
      </c>
    </row>
    <row r="46" spans="1:42" ht="16.5" thickBot="1" x14ac:dyDescent="0.25">
      <c r="A46" s="232" t="s">
        <v>333</v>
      </c>
      <c r="B46" s="233">
        <f>B45*B44+B43*B42*(1-B36)</f>
        <v>0.20499999999999999</v>
      </c>
      <c r="C46" s="234"/>
    </row>
    <row r="47" spans="1:42" s="237" customFormat="1" x14ac:dyDescent="0.2">
      <c r="A47" s="235" t="s">
        <v>332</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331</v>
      </c>
      <c r="B48" s="239">
        <f>B136</f>
        <v>0</v>
      </c>
      <c r="C48" s="239">
        <f t="shared" ref="C48:AP49" si="1">C136</f>
        <v>5.8000000000000003E-2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330</v>
      </c>
      <c r="B49" s="239">
        <f>B137</f>
        <v>0</v>
      </c>
      <c r="C49" s="239">
        <f t="shared" si="1"/>
        <v>5.8000000000000052E-2</v>
      </c>
      <c r="D49" s="239">
        <f t="shared" si="1"/>
        <v>0.11619000000000002</v>
      </c>
      <c r="E49" s="239">
        <f t="shared" si="1"/>
        <v>0.17758045</v>
      </c>
      <c r="F49" s="239">
        <f t="shared" si="1"/>
        <v>0.24234737475000001</v>
      </c>
      <c r="G49" s="239">
        <f t="shared" si="1"/>
        <v>0.31067648036124984</v>
      </c>
      <c r="H49" s="239">
        <f t="shared" si="1"/>
        <v>0.38276368678111861</v>
      </c>
      <c r="I49" s="239">
        <f t="shared" si="1"/>
        <v>0.45881568955408003</v>
      </c>
      <c r="J49" s="239">
        <f t="shared" si="1"/>
        <v>0.53905055247955436</v>
      </c>
      <c r="K49" s="239">
        <f t="shared" si="1"/>
        <v>0.62369833286592979</v>
      </c>
      <c r="L49" s="239">
        <f t="shared" si="1"/>
        <v>0.71300174117355586</v>
      </c>
      <c r="M49" s="239">
        <f t="shared" si="1"/>
        <v>0.80721683693810142</v>
      </c>
      <c r="N49" s="239">
        <f t="shared" si="1"/>
        <v>0.90661376296969687</v>
      </c>
      <c r="O49" s="239">
        <f t="shared" si="1"/>
        <v>1.0114775199330301</v>
      </c>
      <c r="P49" s="239">
        <f t="shared" si="1"/>
        <v>1.1221087835293466</v>
      </c>
      <c r="Q49" s="239">
        <f t="shared" si="1"/>
        <v>1.2388247666234604</v>
      </c>
      <c r="R49" s="239">
        <f t="shared" si="1"/>
        <v>1.3619601287877505</v>
      </c>
      <c r="S49" s="239">
        <f t="shared" si="1"/>
        <v>1.4918679358710767</v>
      </c>
      <c r="T49" s="239">
        <f t="shared" si="1"/>
        <v>1.6289206723439857</v>
      </c>
      <c r="U49" s="239">
        <f t="shared" si="1"/>
        <v>1.7735113093229047</v>
      </c>
      <c r="V49" s="239">
        <f t="shared" si="1"/>
        <v>1.9260544313356642</v>
      </c>
      <c r="W49" s="239">
        <f t="shared" si="1"/>
        <v>2.0869874250591254</v>
      </c>
      <c r="X49" s="239">
        <f t="shared" si="1"/>
        <v>2.2567717334373771</v>
      </c>
      <c r="Y49" s="239">
        <f t="shared" si="1"/>
        <v>2.4358941787764326</v>
      </c>
      <c r="Z49" s="239">
        <f t="shared" si="1"/>
        <v>2.6248683586091359</v>
      </c>
      <c r="AA49" s="239">
        <f t="shared" si="1"/>
        <v>2.8242361183326383</v>
      </c>
      <c r="AB49" s="239">
        <f t="shared" si="1"/>
        <v>3.0345691048409336</v>
      </c>
      <c r="AC49" s="239">
        <f t="shared" si="1"/>
        <v>3.2564704056071845</v>
      </c>
      <c r="AD49" s="239">
        <f t="shared" si="1"/>
        <v>3.4905762779155793</v>
      </c>
      <c r="AE49" s="239">
        <f t="shared" si="1"/>
        <v>3.7375579732009356</v>
      </c>
      <c r="AF49" s="239">
        <f t="shared" si="1"/>
        <v>3.9981236617269866</v>
      </c>
      <c r="AG49" s="239">
        <f t="shared" si="1"/>
        <v>4.2730204631219708</v>
      </c>
      <c r="AH49" s="239">
        <f t="shared" si="1"/>
        <v>4.563036588593679</v>
      </c>
      <c r="AI49" s="239">
        <f t="shared" si="1"/>
        <v>4.8690036009663311</v>
      </c>
      <c r="AJ49" s="239">
        <f t="shared" si="1"/>
        <v>5.1917987990194794</v>
      </c>
      <c r="AK49" s="239">
        <f t="shared" si="1"/>
        <v>5.5323477329655502</v>
      </c>
      <c r="AL49" s="239">
        <f t="shared" si="1"/>
        <v>5.8916268582786548</v>
      </c>
      <c r="AM49" s="239">
        <f t="shared" si="1"/>
        <v>6.2706663354839804</v>
      </c>
      <c r="AN49" s="239">
        <f t="shared" si="1"/>
        <v>6.6705529839355986</v>
      </c>
      <c r="AO49" s="239">
        <f t="shared" si="1"/>
        <v>7.0924333980520569</v>
      </c>
      <c r="AP49" s="239">
        <f t="shared" si="1"/>
        <v>7.5375172349449198</v>
      </c>
    </row>
    <row r="50" spans="1:45" s="237" customFormat="1" ht="16.5" thickBot="1" x14ac:dyDescent="0.25">
      <c r="A50" s="240" t="s">
        <v>584</v>
      </c>
      <c r="B50" s="241">
        <f>IF($B$124="да",($B$126-0.05),0)</f>
        <v>12167949.615</v>
      </c>
      <c r="C50" s="241">
        <f>C108*(1+C49)</f>
        <v>3500627.6640614402</v>
      </c>
      <c r="D50" s="241">
        <f t="shared" ref="D50:AP50" si="2">D108*(1+D49)</f>
        <v>7386324.3711696388</v>
      </c>
      <c r="E50" s="241">
        <f t="shared" si="2"/>
        <v>11806927.593309043</v>
      </c>
      <c r="F50" s="241">
        <f t="shared" si="2"/>
        <v>12456308.610941041</v>
      </c>
      <c r="G50" s="241">
        <f t="shared" si="2"/>
        <v>13141405.584542796</v>
      </c>
      <c r="H50" s="241">
        <f t="shared" si="2"/>
        <v>13864182.891692651</v>
      </c>
      <c r="I50" s="241">
        <f t="shared" si="2"/>
        <v>14626712.950735746</v>
      </c>
      <c r="J50" s="241">
        <f t="shared" si="2"/>
        <v>15431182.163026212</v>
      </c>
      <c r="K50" s="241">
        <f t="shared" si="2"/>
        <v>16279897.181992652</v>
      </c>
      <c r="L50" s="241">
        <f t="shared" si="2"/>
        <v>17175291.527002249</v>
      </c>
      <c r="M50" s="241">
        <f t="shared" si="2"/>
        <v>18119932.560987372</v>
      </c>
      <c r="N50" s="241">
        <f t="shared" si="2"/>
        <v>19116528.851841673</v>
      </c>
      <c r="O50" s="241">
        <f t="shared" si="2"/>
        <v>20167937.938692965</v>
      </c>
      <c r="P50" s="241">
        <f t="shared" si="2"/>
        <v>21277174.525321078</v>
      </c>
      <c r="Q50" s="241">
        <f t="shared" si="2"/>
        <v>22447419.124213733</v>
      </c>
      <c r="R50" s="241">
        <f t="shared" si="2"/>
        <v>23682027.176045489</v>
      </c>
      <c r="S50" s="241">
        <f t="shared" si="2"/>
        <v>24984538.670727987</v>
      </c>
      <c r="T50" s="241">
        <f t="shared" si="2"/>
        <v>26358688.297618024</v>
      </c>
      <c r="U50" s="241">
        <f t="shared" si="2"/>
        <v>27808416.153987013</v>
      </c>
      <c r="V50" s="241">
        <f t="shared" si="2"/>
        <v>29337879.042456299</v>
      </c>
      <c r="W50" s="241">
        <f t="shared" si="2"/>
        <v>30951462.389791392</v>
      </c>
      <c r="X50" s="241">
        <f t="shared" si="2"/>
        <v>32653792.821229916</v>
      </c>
      <c r="Y50" s="241">
        <f t="shared" si="2"/>
        <v>34449751.426397555</v>
      </c>
      <c r="Z50" s="241">
        <f t="shared" si="2"/>
        <v>36344487.754849419</v>
      </c>
      <c r="AA50" s="241">
        <f t="shared" si="2"/>
        <v>38343434.581366137</v>
      </c>
      <c r="AB50" s="241">
        <f t="shared" si="2"/>
        <v>40452323.483341277</v>
      </c>
      <c r="AC50" s="241">
        <f t="shared" si="2"/>
        <v>42677201.274925038</v>
      </c>
      <c r="AD50" s="241">
        <f t="shared" si="2"/>
        <v>45024447.345045917</v>
      </c>
      <c r="AE50" s="241">
        <f t="shared" si="2"/>
        <v>47500791.949023433</v>
      </c>
      <c r="AF50" s="241">
        <f t="shared" si="2"/>
        <v>50113335.506219722</v>
      </c>
      <c r="AG50" s="241">
        <f t="shared" si="2"/>
        <v>52869568.959061801</v>
      </c>
      <c r="AH50" s="241">
        <f t="shared" si="2"/>
        <v>55777395.251810201</v>
      </c>
      <c r="AI50" s="241">
        <f t="shared" si="2"/>
        <v>58845151.990659758</v>
      </c>
      <c r="AJ50" s="241">
        <f t="shared" si="2"/>
        <v>62081635.350146048</v>
      </c>
      <c r="AK50" s="241">
        <f t="shared" si="2"/>
        <v>65496125.294404075</v>
      </c>
      <c r="AL50" s="241">
        <f t="shared" si="2"/>
        <v>69098412.185596287</v>
      </c>
      <c r="AM50" s="241">
        <f t="shared" si="2"/>
        <v>72898824.855804086</v>
      </c>
      <c r="AN50" s="241">
        <f t="shared" si="2"/>
        <v>76908260.2228733</v>
      </c>
      <c r="AO50" s="241">
        <f t="shared" si="2"/>
        <v>81138214.535131335</v>
      </c>
      <c r="AP50" s="241">
        <f t="shared" si="2"/>
        <v>85600816.334563553</v>
      </c>
    </row>
    <row r="51" spans="1:45" ht="16.5" thickBot="1" x14ac:dyDescent="0.25"/>
    <row r="52" spans="1:45" x14ac:dyDescent="0.2">
      <c r="A52" s="242" t="s">
        <v>329</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328</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327</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326</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325</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585</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324</v>
      </c>
      <c r="B59" s="252">
        <f t="shared" ref="B59:AP59" si="8">B50*$B$28</f>
        <v>12167949.615</v>
      </c>
      <c r="C59" s="252">
        <f t="shared" si="8"/>
        <v>3500627.6640614402</v>
      </c>
      <c r="D59" s="252">
        <f t="shared" si="8"/>
        <v>7386324.3711696388</v>
      </c>
      <c r="E59" s="252">
        <f t="shared" si="8"/>
        <v>11806927.593309043</v>
      </c>
      <c r="F59" s="252">
        <f t="shared" si="8"/>
        <v>12456308.610941041</v>
      </c>
      <c r="G59" s="252">
        <f t="shared" si="8"/>
        <v>13141405.584542796</v>
      </c>
      <c r="H59" s="252">
        <f t="shared" si="8"/>
        <v>13864182.891692651</v>
      </c>
      <c r="I59" s="252">
        <f t="shared" si="8"/>
        <v>14626712.950735746</v>
      </c>
      <c r="J59" s="252">
        <f t="shared" si="8"/>
        <v>15431182.163026212</v>
      </c>
      <c r="K59" s="252">
        <f t="shared" si="8"/>
        <v>16279897.181992652</v>
      </c>
      <c r="L59" s="252">
        <f t="shared" si="8"/>
        <v>17175291.527002249</v>
      </c>
      <c r="M59" s="252">
        <f t="shared" si="8"/>
        <v>18119932.560987372</v>
      </c>
      <c r="N59" s="252">
        <f t="shared" si="8"/>
        <v>19116528.851841673</v>
      </c>
      <c r="O59" s="252">
        <f t="shared" si="8"/>
        <v>20167937.938692965</v>
      </c>
      <c r="P59" s="252">
        <f t="shared" si="8"/>
        <v>21277174.525321078</v>
      </c>
      <c r="Q59" s="252">
        <f t="shared" si="8"/>
        <v>22447419.124213733</v>
      </c>
      <c r="R59" s="252">
        <f t="shared" si="8"/>
        <v>23682027.176045489</v>
      </c>
      <c r="S59" s="252">
        <f t="shared" si="8"/>
        <v>24984538.670727987</v>
      </c>
      <c r="T59" s="252">
        <f t="shared" si="8"/>
        <v>26358688.297618024</v>
      </c>
      <c r="U59" s="252">
        <f t="shared" si="8"/>
        <v>27808416.153987013</v>
      </c>
      <c r="V59" s="252">
        <f t="shared" si="8"/>
        <v>29337879.042456299</v>
      </c>
      <c r="W59" s="252">
        <f t="shared" si="8"/>
        <v>30951462.389791392</v>
      </c>
      <c r="X59" s="252">
        <f t="shared" si="8"/>
        <v>32653792.821229916</v>
      </c>
      <c r="Y59" s="252">
        <f t="shared" si="8"/>
        <v>34449751.426397555</v>
      </c>
      <c r="Z59" s="252">
        <f t="shared" si="8"/>
        <v>36344487.754849419</v>
      </c>
      <c r="AA59" s="252">
        <f t="shared" si="8"/>
        <v>38343434.581366137</v>
      </c>
      <c r="AB59" s="252">
        <f t="shared" si="8"/>
        <v>40452323.483341277</v>
      </c>
      <c r="AC59" s="252">
        <f t="shared" si="8"/>
        <v>42677201.274925038</v>
      </c>
      <c r="AD59" s="252">
        <f t="shared" si="8"/>
        <v>45024447.345045917</v>
      </c>
      <c r="AE59" s="252">
        <f t="shared" si="8"/>
        <v>47500791.949023433</v>
      </c>
      <c r="AF59" s="252">
        <f t="shared" si="8"/>
        <v>50113335.506219722</v>
      </c>
      <c r="AG59" s="252">
        <f t="shared" si="8"/>
        <v>52869568.959061801</v>
      </c>
      <c r="AH59" s="252">
        <f t="shared" si="8"/>
        <v>55777395.251810201</v>
      </c>
      <c r="AI59" s="252">
        <f t="shared" si="8"/>
        <v>58845151.990659758</v>
      </c>
      <c r="AJ59" s="252">
        <f t="shared" si="8"/>
        <v>62081635.350146048</v>
      </c>
      <c r="AK59" s="252">
        <f t="shared" si="8"/>
        <v>65496125.294404075</v>
      </c>
      <c r="AL59" s="252">
        <f t="shared" si="8"/>
        <v>69098412.185596287</v>
      </c>
      <c r="AM59" s="252">
        <f t="shared" si="8"/>
        <v>72898824.855804086</v>
      </c>
      <c r="AN59" s="252">
        <f t="shared" si="8"/>
        <v>76908260.2228733</v>
      </c>
      <c r="AO59" s="252">
        <f t="shared" si="8"/>
        <v>81138214.535131335</v>
      </c>
      <c r="AP59" s="252">
        <f t="shared" si="8"/>
        <v>85600816.334563553</v>
      </c>
    </row>
    <row r="60" spans="1:45" x14ac:dyDescent="0.2">
      <c r="A60" s="244" t="s">
        <v>323</v>
      </c>
      <c r="B60" s="245">
        <f t="shared" ref="B60:Z60" si="9">SUM(B61:B65)</f>
        <v>0</v>
      </c>
      <c r="C60" s="245">
        <f t="shared" si="9"/>
        <v>-128736.90745570003</v>
      </c>
      <c r="D60" s="245">
        <f>SUM(D61:D65)</f>
        <v>-135817.43736576353</v>
      </c>
      <c r="E60" s="245">
        <f t="shared" si="9"/>
        <v>-143287.39642088051</v>
      </c>
      <c r="F60" s="245">
        <f t="shared" si="9"/>
        <v>-151168.20322402893</v>
      </c>
      <c r="G60" s="245">
        <f t="shared" si="9"/>
        <v>-159482.45440135052</v>
      </c>
      <c r="H60" s="245">
        <f t="shared" si="9"/>
        <v>-168253.9893934248</v>
      </c>
      <c r="I60" s="245">
        <f t="shared" si="9"/>
        <v>-177507.95881006314</v>
      </c>
      <c r="J60" s="245">
        <f t="shared" si="9"/>
        <v>-187270.89654461661</v>
      </c>
      <c r="K60" s="245">
        <f t="shared" si="9"/>
        <v>-197570.79585457052</v>
      </c>
      <c r="L60" s="245">
        <f t="shared" si="9"/>
        <v>-208437.1896265719</v>
      </c>
      <c r="M60" s="245">
        <f t="shared" si="9"/>
        <v>-219901.23505603333</v>
      </c>
      <c r="N60" s="245">
        <f t="shared" si="9"/>
        <v>-231995.80298411514</v>
      </c>
      <c r="O60" s="245">
        <f t="shared" si="9"/>
        <v>-244755.57214824148</v>
      </c>
      <c r="P60" s="245">
        <f t="shared" si="9"/>
        <v>-258217.12861639474</v>
      </c>
      <c r="Q60" s="245">
        <f t="shared" si="9"/>
        <v>-272419.07069029642</v>
      </c>
      <c r="R60" s="245">
        <f t="shared" si="9"/>
        <v>-287402.11957826267</v>
      </c>
      <c r="S60" s="245">
        <f t="shared" si="9"/>
        <v>-303209.2361550671</v>
      </c>
      <c r="T60" s="245">
        <f t="shared" si="9"/>
        <v>-319885.7441435958</v>
      </c>
      <c r="U60" s="245">
        <f t="shared" si="9"/>
        <v>-337479.46007149352</v>
      </c>
      <c r="V60" s="245">
        <f t="shared" si="9"/>
        <v>-356040.83037542563</v>
      </c>
      <c r="W60" s="245">
        <f t="shared" si="9"/>
        <v>-375623.07604607404</v>
      </c>
      <c r="X60" s="245">
        <f t="shared" si="9"/>
        <v>-396282.34522860806</v>
      </c>
      <c r="Y60" s="245">
        <f t="shared" si="9"/>
        <v>-418077.87421618146</v>
      </c>
      <c r="Z60" s="245">
        <f t="shared" si="9"/>
        <v>-441072.15729807143</v>
      </c>
      <c r="AA60" s="245">
        <f t="shared" ref="AA60:AP60" si="10">SUM(AA61:AA65)</f>
        <v>-465331.12594946532</v>
      </c>
      <c r="AB60" s="245">
        <f t="shared" si="10"/>
        <v>-490924.33787668595</v>
      </c>
      <c r="AC60" s="245">
        <f t="shared" si="10"/>
        <v>-517925.1764599036</v>
      </c>
      <c r="AD60" s="245">
        <f t="shared" si="10"/>
        <v>-546411.06116519822</v>
      </c>
      <c r="AE60" s="245">
        <f t="shared" si="10"/>
        <v>-576463.66952928412</v>
      </c>
      <c r="AF60" s="245">
        <f t="shared" si="10"/>
        <v>-608169.17135339463</v>
      </c>
      <c r="AG60" s="245">
        <f t="shared" si="10"/>
        <v>-641618.47577783139</v>
      </c>
      <c r="AH60" s="245">
        <f t="shared" si="10"/>
        <v>-676907.49194561213</v>
      </c>
      <c r="AI60" s="245">
        <f t="shared" si="10"/>
        <v>-714137.40400262072</v>
      </c>
      <c r="AJ60" s="245">
        <f t="shared" si="10"/>
        <v>-753414.9612227648</v>
      </c>
      <c r="AK60" s="245">
        <f t="shared" si="10"/>
        <v>-794852.78409001685</v>
      </c>
      <c r="AL60" s="245">
        <f t="shared" si="10"/>
        <v>-838569.68721496768</v>
      </c>
      <c r="AM60" s="245">
        <f t="shared" si="10"/>
        <v>-884691.02001179091</v>
      </c>
      <c r="AN60" s="245">
        <f t="shared" si="10"/>
        <v>-933349.02611243934</v>
      </c>
      <c r="AO60" s="245">
        <f t="shared" si="10"/>
        <v>-984683.22254862345</v>
      </c>
      <c r="AP60" s="245">
        <f t="shared" si="10"/>
        <v>-1038840.7997887977</v>
      </c>
    </row>
    <row r="61" spans="1:45" x14ac:dyDescent="0.2">
      <c r="A61" s="253" t="s">
        <v>322</v>
      </c>
      <c r="B61" s="245"/>
      <c r="C61" s="245">
        <f>-IF(C$47&lt;=$B$30,0,$B$29*(1+C$49)*$B$28)</f>
        <v>-128736.90745570003</v>
      </c>
      <c r="D61" s="245">
        <f>-IF(D$47&lt;=$B$30,0,$B$29*(1+D$49)*$B$28)</f>
        <v>-135817.43736576353</v>
      </c>
      <c r="E61" s="245">
        <f t="shared" ref="E61:AP61" si="11">-IF(E$47&lt;=$B$30,0,$B$29*(1+E$49)*$B$28)</f>
        <v>-143287.39642088051</v>
      </c>
      <c r="F61" s="245">
        <f t="shared" si="11"/>
        <v>-151168.20322402893</v>
      </c>
      <c r="G61" s="245">
        <f t="shared" si="11"/>
        <v>-159482.45440135052</v>
      </c>
      <c r="H61" s="245">
        <f t="shared" si="11"/>
        <v>-168253.9893934248</v>
      </c>
      <c r="I61" s="245">
        <f t="shared" si="11"/>
        <v>-177507.95881006314</v>
      </c>
      <c r="J61" s="245">
        <f t="shared" si="11"/>
        <v>-187270.89654461661</v>
      </c>
      <c r="K61" s="245">
        <f t="shared" si="11"/>
        <v>-197570.79585457052</v>
      </c>
      <c r="L61" s="245">
        <f t="shared" si="11"/>
        <v>-208437.1896265719</v>
      </c>
      <c r="M61" s="245">
        <f t="shared" si="11"/>
        <v>-219901.23505603333</v>
      </c>
      <c r="N61" s="245">
        <f t="shared" si="11"/>
        <v>-231995.80298411514</v>
      </c>
      <c r="O61" s="245">
        <f t="shared" si="11"/>
        <v>-244755.57214824148</v>
      </c>
      <c r="P61" s="245">
        <f t="shared" si="11"/>
        <v>-258217.12861639474</v>
      </c>
      <c r="Q61" s="245">
        <f t="shared" si="11"/>
        <v>-272419.07069029642</v>
      </c>
      <c r="R61" s="245">
        <f t="shared" si="11"/>
        <v>-287402.11957826267</v>
      </c>
      <c r="S61" s="245">
        <f t="shared" si="11"/>
        <v>-303209.2361550671</v>
      </c>
      <c r="T61" s="245">
        <f t="shared" si="11"/>
        <v>-319885.7441435958</v>
      </c>
      <c r="U61" s="245">
        <f t="shared" si="11"/>
        <v>-337479.46007149352</v>
      </c>
      <c r="V61" s="245">
        <f t="shared" si="11"/>
        <v>-356040.83037542563</v>
      </c>
      <c r="W61" s="245">
        <f t="shared" si="11"/>
        <v>-375623.07604607404</v>
      </c>
      <c r="X61" s="245">
        <f t="shared" si="11"/>
        <v>-396282.34522860806</v>
      </c>
      <c r="Y61" s="245">
        <f t="shared" si="11"/>
        <v>-418077.87421618146</v>
      </c>
      <c r="Z61" s="245">
        <f t="shared" si="11"/>
        <v>-441072.15729807143</v>
      </c>
      <c r="AA61" s="245">
        <f t="shared" si="11"/>
        <v>-465331.12594946532</v>
      </c>
      <c r="AB61" s="245">
        <f t="shared" si="11"/>
        <v>-490924.33787668595</v>
      </c>
      <c r="AC61" s="245">
        <f t="shared" si="11"/>
        <v>-517925.1764599036</v>
      </c>
      <c r="AD61" s="245">
        <f t="shared" si="11"/>
        <v>-546411.06116519822</v>
      </c>
      <c r="AE61" s="245">
        <f t="shared" si="11"/>
        <v>-576463.66952928412</v>
      </c>
      <c r="AF61" s="245">
        <f t="shared" si="11"/>
        <v>-608169.17135339463</v>
      </c>
      <c r="AG61" s="245">
        <f t="shared" si="11"/>
        <v>-641618.47577783139</v>
      </c>
      <c r="AH61" s="245">
        <f t="shared" si="11"/>
        <v>-676907.49194561213</v>
      </c>
      <c r="AI61" s="245">
        <f t="shared" si="11"/>
        <v>-714137.40400262072</v>
      </c>
      <c r="AJ61" s="245">
        <f t="shared" si="11"/>
        <v>-753414.9612227648</v>
      </c>
      <c r="AK61" s="245">
        <f t="shared" si="11"/>
        <v>-794852.78409001685</v>
      </c>
      <c r="AL61" s="245">
        <f t="shared" si="11"/>
        <v>-838569.68721496768</v>
      </c>
      <c r="AM61" s="245">
        <f t="shared" si="11"/>
        <v>-884691.02001179091</v>
      </c>
      <c r="AN61" s="245">
        <f t="shared" si="11"/>
        <v>-933349.02611243934</v>
      </c>
      <c r="AO61" s="245">
        <f t="shared" si="11"/>
        <v>-984683.22254862345</v>
      </c>
      <c r="AP61" s="245">
        <f t="shared" si="11"/>
        <v>-1038840.7997887977</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582</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582</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586</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320</v>
      </c>
      <c r="B66" s="252">
        <f t="shared" ref="B66:AO66" si="12">B59+B60</f>
        <v>12167949.615</v>
      </c>
      <c r="C66" s="252">
        <f t="shared" si="12"/>
        <v>3371890.7566057402</v>
      </c>
      <c r="D66" s="252">
        <f t="shared" si="12"/>
        <v>7250506.933803875</v>
      </c>
      <c r="E66" s="252">
        <f t="shared" si="12"/>
        <v>11663640.196888162</v>
      </c>
      <c r="F66" s="252">
        <f t="shared" si="12"/>
        <v>12305140.407717012</v>
      </c>
      <c r="G66" s="252">
        <f t="shared" si="12"/>
        <v>12981923.130141446</v>
      </c>
      <c r="H66" s="252">
        <f t="shared" si="12"/>
        <v>13695928.902299227</v>
      </c>
      <c r="I66" s="252">
        <f t="shared" si="12"/>
        <v>14449204.991925683</v>
      </c>
      <c r="J66" s="252">
        <f t="shared" si="12"/>
        <v>15243911.266481595</v>
      </c>
      <c r="K66" s="252">
        <f t="shared" si="12"/>
        <v>16082326.386138082</v>
      </c>
      <c r="L66" s="252">
        <f t="shared" si="12"/>
        <v>16966854.337375678</v>
      </c>
      <c r="M66" s="252">
        <f t="shared" si="12"/>
        <v>17900031.32593134</v>
      </c>
      <c r="N66" s="252">
        <f t="shared" si="12"/>
        <v>18884533.048857559</v>
      </c>
      <c r="O66" s="252">
        <f t="shared" si="12"/>
        <v>19923182.366544724</v>
      </c>
      <c r="P66" s="252">
        <f t="shared" si="12"/>
        <v>21018957.396704681</v>
      </c>
      <c r="Q66" s="252">
        <f t="shared" si="12"/>
        <v>22175000.053523436</v>
      </c>
      <c r="R66" s="252">
        <f t="shared" si="12"/>
        <v>23394625.056467228</v>
      </c>
      <c r="S66" s="252">
        <f t="shared" si="12"/>
        <v>24681329.43457292</v>
      </c>
      <c r="T66" s="252">
        <f t="shared" si="12"/>
        <v>26038802.55347443</v>
      </c>
      <c r="U66" s="252">
        <f t="shared" si="12"/>
        <v>27470936.69391552</v>
      </c>
      <c r="V66" s="252">
        <f t="shared" si="12"/>
        <v>28981838.212080874</v>
      </c>
      <c r="W66" s="252">
        <f t="shared" si="12"/>
        <v>30575839.313745316</v>
      </c>
      <c r="X66" s="252">
        <f t="shared" si="12"/>
        <v>32257510.476001307</v>
      </c>
      <c r="Y66" s="252">
        <f t="shared" si="12"/>
        <v>34031673.552181371</v>
      </c>
      <c r="Z66" s="252">
        <f t="shared" si="12"/>
        <v>35903415.597551346</v>
      </c>
      <c r="AA66" s="252">
        <f t="shared" si="12"/>
        <v>37878103.455416672</v>
      </c>
      <c r="AB66" s="252">
        <f t="shared" si="12"/>
        <v>39961399.145464592</v>
      </c>
      <c r="AC66" s="252">
        <f t="shared" si="12"/>
        <v>42159276.098465137</v>
      </c>
      <c r="AD66" s="252">
        <f t="shared" si="12"/>
        <v>44478036.283880718</v>
      </c>
      <c r="AE66" s="252">
        <f t="shared" si="12"/>
        <v>46924328.279494151</v>
      </c>
      <c r="AF66" s="252">
        <f t="shared" si="12"/>
        <v>49505166.33486633</v>
      </c>
      <c r="AG66" s="252">
        <f t="shared" si="12"/>
        <v>52227950.483283967</v>
      </c>
      <c r="AH66" s="252">
        <f t="shared" si="12"/>
        <v>55100487.759864591</v>
      </c>
      <c r="AI66" s="252">
        <f t="shared" si="12"/>
        <v>58131014.586657137</v>
      </c>
      <c r="AJ66" s="252">
        <f t="shared" si="12"/>
        <v>61328220.38892328</v>
      </c>
      <c r="AK66" s="252">
        <f t="shared" si="12"/>
        <v>64701272.510314055</v>
      </c>
      <c r="AL66" s="252">
        <f t="shared" si="12"/>
        <v>68259842.498381317</v>
      </c>
      <c r="AM66" s="252">
        <f t="shared" si="12"/>
        <v>72014133.835792288</v>
      </c>
      <c r="AN66" s="252">
        <f t="shared" si="12"/>
        <v>75974911.196760863</v>
      </c>
      <c r="AO66" s="252">
        <f t="shared" si="12"/>
        <v>80153531.312582716</v>
      </c>
      <c r="AP66" s="252">
        <f>AP59+AP60</f>
        <v>84561975.53477475</v>
      </c>
    </row>
    <row r="67" spans="1:45" x14ac:dyDescent="0.2">
      <c r="A67" s="253" t="s">
        <v>315</v>
      </c>
      <c r="B67" s="255"/>
      <c r="C67" s="245">
        <f>-($B$25)*1.18*$B$28/$B$27</f>
        <v>-574327.22418800008</v>
      </c>
      <c r="D67" s="245">
        <f>C67</f>
        <v>-574327.22418800008</v>
      </c>
      <c r="E67" s="245">
        <f t="shared" ref="E67:AP67" si="13">D67</f>
        <v>-574327.22418800008</v>
      </c>
      <c r="F67" s="245">
        <f t="shared" si="13"/>
        <v>-574327.22418800008</v>
      </c>
      <c r="G67" s="245">
        <f t="shared" si="13"/>
        <v>-574327.22418800008</v>
      </c>
      <c r="H67" s="245">
        <f t="shared" si="13"/>
        <v>-574327.22418800008</v>
      </c>
      <c r="I67" s="245">
        <f t="shared" si="13"/>
        <v>-574327.22418800008</v>
      </c>
      <c r="J67" s="245">
        <f t="shared" si="13"/>
        <v>-574327.22418800008</v>
      </c>
      <c r="K67" s="245">
        <f t="shared" si="13"/>
        <v>-574327.22418800008</v>
      </c>
      <c r="L67" s="245">
        <f t="shared" si="13"/>
        <v>-574327.22418800008</v>
      </c>
      <c r="M67" s="245">
        <f t="shared" si="13"/>
        <v>-574327.22418800008</v>
      </c>
      <c r="N67" s="245">
        <f t="shared" si="13"/>
        <v>-574327.22418800008</v>
      </c>
      <c r="O67" s="245">
        <f t="shared" si="13"/>
        <v>-574327.22418800008</v>
      </c>
      <c r="P67" s="245">
        <f t="shared" si="13"/>
        <v>-574327.22418800008</v>
      </c>
      <c r="Q67" s="245">
        <f t="shared" si="13"/>
        <v>-574327.22418800008</v>
      </c>
      <c r="R67" s="245">
        <f t="shared" si="13"/>
        <v>-574327.22418800008</v>
      </c>
      <c r="S67" s="245">
        <f t="shared" si="13"/>
        <v>-574327.22418800008</v>
      </c>
      <c r="T67" s="245">
        <f t="shared" si="13"/>
        <v>-574327.22418800008</v>
      </c>
      <c r="U67" s="245">
        <f t="shared" si="13"/>
        <v>-574327.22418800008</v>
      </c>
      <c r="V67" s="245">
        <f t="shared" si="13"/>
        <v>-574327.22418800008</v>
      </c>
      <c r="W67" s="245">
        <f t="shared" si="13"/>
        <v>-574327.22418800008</v>
      </c>
      <c r="X67" s="245">
        <f t="shared" si="13"/>
        <v>-574327.22418800008</v>
      </c>
      <c r="Y67" s="245">
        <f t="shared" si="13"/>
        <v>-574327.22418800008</v>
      </c>
      <c r="Z67" s="245">
        <f t="shared" si="13"/>
        <v>-574327.22418800008</v>
      </c>
      <c r="AA67" s="245">
        <f t="shared" si="13"/>
        <v>-574327.22418800008</v>
      </c>
      <c r="AB67" s="245">
        <f t="shared" si="13"/>
        <v>-574327.22418800008</v>
      </c>
      <c r="AC67" s="245">
        <f t="shared" si="13"/>
        <v>-574327.22418800008</v>
      </c>
      <c r="AD67" s="245">
        <f t="shared" si="13"/>
        <v>-574327.22418800008</v>
      </c>
      <c r="AE67" s="245">
        <f t="shared" si="13"/>
        <v>-574327.22418800008</v>
      </c>
      <c r="AF67" s="245">
        <f t="shared" si="13"/>
        <v>-574327.22418800008</v>
      </c>
      <c r="AG67" s="245">
        <f t="shared" si="13"/>
        <v>-574327.22418800008</v>
      </c>
      <c r="AH67" s="245">
        <f t="shared" si="13"/>
        <v>-574327.22418800008</v>
      </c>
      <c r="AI67" s="245">
        <f t="shared" si="13"/>
        <v>-574327.22418800008</v>
      </c>
      <c r="AJ67" s="245">
        <f t="shared" si="13"/>
        <v>-574327.22418800008</v>
      </c>
      <c r="AK67" s="245">
        <f t="shared" si="13"/>
        <v>-574327.22418800008</v>
      </c>
      <c r="AL67" s="245">
        <f t="shared" si="13"/>
        <v>-574327.22418800008</v>
      </c>
      <c r="AM67" s="245">
        <f t="shared" si="13"/>
        <v>-574327.22418800008</v>
      </c>
      <c r="AN67" s="245">
        <f t="shared" si="13"/>
        <v>-574327.22418800008</v>
      </c>
      <c r="AO67" s="245">
        <f t="shared" si="13"/>
        <v>-574327.22418800008</v>
      </c>
      <c r="AP67" s="245">
        <f t="shared" si="13"/>
        <v>-574327.22418800008</v>
      </c>
      <c r="AQ67" s="256">
        <f>SUM(B67:AA67)/1.18</f>
        <v>-12167949.665000001</v>
      </c>
      <c r="AR67" s="257">
        <f>SUM(B67:AF67)/1.18</f>
        <v>-14601539.598000003</v>
      </c>
      <c r="AS67" s="257">
        <f>SUM(B67:AP67)/1.18</f>
        <v>-19468719.464000002</v>
      </c>
    </row>
    <row r="68" spans="1:45" ht="28.5" x14ac:dyDescent="0.2">
      <c r="A68" s="254" t="s">
        <v>316</v>
      </c>
      <c r="B68" s="252">
        <f t="shared" ref="B68:J68" si="14">B66+B67</f>
        <v>12167949.615</v>
      </c>
      <c r="C68" s="252">
        <f>C66+C67</f>
        <v>2797563.5324177402</v>
      </c>
      <c r="D68" s="252">
        <f>D66+D67</f>
        <v>6676179.709615875</v>
      </c>
      <c r="E68" s="252">
        <f t="shared" si="14"/>
        <v>11089312.972700162</v>
      </c>
      <c r="F68" s="252">
        <f>F66+C67</f>
        <v>11730813.183529012</v>
      </c>
      <c r="G68" s="252">
        <f t="shared" si="14"/>
        <v>12407595.905953446</v>
      </c>
      <c r="H68" s="252">
        <f t="shared" si="14"/>
        <v>13121601.678111227</v>
      </c>
      <c r="I68" s="252">
        <f t="shared" si="14"/>
        <v>13874877.767737683</v>
      </c>
      <c r="J68" s="252">
        <f t="shared" si="14"/>
        <v>14669584.042293595</v>
      </c>
      <c r="K68" s="252">
        <f>K66+K67</f>
        <v>15507999.161950082</v>
      </c>
      <c r="L68" s="252">
        <f>L66+L67</f>
        <v>16392527.113187678</v>
      </c>
      <c r="M68" s="252">
        <f t="shared" ref="M68:AO68" si="15">M66+M67</f>
        <v>17325704.10174334</v>
      </c>
      <c r="N68" s="252">
        <f t="shared" si="15"/>
        <v>18310205.824669559</v>
      </c>
      <c r="O68" s="252">
        <f t="shared" si="15"/>
        <v>19348855.142356724</v>
      </c>
      <c r="P68" s="252">
        <f t="shared" si="15"/>
        <v>20444630.172516681</v>
      </c>
      <c r="Q68" s="252">
        <f t="shared" si="15"/>
        <v>21600672.829335436</v>
      </c>
      <c r="R68" s="252">
        <f t="shared" si="15"/>
        <v>22820297.832279228</v>
      </c>
      <c r="S68" s="252">
        <f t="shared" si="15"/>
        <v>24107002.21038492</v>
      </c>
      <c r="T68" s="252">
        <f t="shared" si="15"/>
        <v>25464475.32928643</v>
      </c>
      <c r="U68" s="252">
        <f t="shared" si="15"/>
        <v>26896609.46972752</v>
      </c>
      <c r="V68" s="252">
        <f t="shared" si="15"/>
        <v>28407510.987892874</v>
      </c>
      <c r="W68" s="252">
        <f t="shared" si="15"/>
        <v>30001512.089557316</v>
      </c>
      <c r="X68" s="252">
        <f t="shared" si="15"/>
        <v>31683183.251813307</v>
      </c>
      <c r="Y68" s="252">
        <f t="shared" si="15"/>
        <v>33457346.327993371</v>
      </c>
      <c r="Z68" s="252">
        <f t="shared" si="15"/>
        <v>35329088.373363346</v>
      </c>
      <c r="AA68" s="252">
        <f t="shared" si="15"/>
        <v>37303776.231228672</v>
      </c>
      <c r="AB68" s="252">
        <f t="shared" si="15"/>
        <v>39387071.921276592</v>
      </c>
      <c r="AC68" s="252">
        <f t="shared" si="15"/>
        <v>41584948.874277137</v>
      </c>
      <c r="AD68" s="252">
        <f t="shared" si="15"/>
        <v>43903709.059692718</v>
      </c>
      <c r="AE68" s="252">
        <f t="shared" si="15"/>
        <v>46350001.055306152</v>
      </c>
      <c r="AF68" s="252">
        <f t="shared" si="15"/>
        <v>48930839.11067833</v>
      </c>
      <c r="AG68" s="252">
        <f t="shared" si="15"/>
        <v>51653623.259095967</v>
      </c>
      <c r="AH68" s="252">
        <f t="shared" si="15"/>
        <v>54526160.535676591</v>
      </c>
      <c r="AI68" s="252">
        <f t="shared" si="15"/>
        <v>57556687.362469137</v>
      </c>
      <c r="AJ68" s="252">
        <f t="shared" si="15"/>
        <v>60753893.16473528</v>
      </c>
      <c r="AK68" s="252">
        <f t="shared" si="15"/>
        <v>64126945.286126055</v>
      </c>
      <c r="AL68" s="252">
        <f t="shared" si="15"/>
        <v>67685515.274193317</v>
      </c>
      <c r="AM68" s="252">
        <f t="shared" si="15"/>
        <v>71439806.611604288</v>
      </c>
      <c r="AN68" s="252">
        <f t="shared" si="15"/>
        <v>75400583.972572863</v>
      </c>
      <c r="AO68" s="252">
        <f t="shared" si="15"/>
        <v>79579204.088394716</v>
      </c>
      <c r="AP68" s="252">
        <f>AP66+AP67</f>
        <v>83987648.310586751</v>
      </c>
      <c r="AQ68" s="197">
        <v>25</v>
      </c>
      <c r="AR68" s="197">
        <v>30</v>
      </c>
      <c r="AS68" s="197">
        <v>40</v>
      </c>
    </row>
    <row r="69" spans="1:45" x14ac:dyDescent="0.2">
      <c r="A69" s="253" t="s">
        <v>314</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319</v>
      </c>
      <c r="B70" s="252">
        <f t="shared" ref="B70:AO70" si="17">B68+B69</f>
        <v>12167949.615</v>
      </c>
      <c r="C70" s="252">
        <f t="shared" si="17"/>
        <v>2797563.5324177402</v>
      </c>
      <c r="D70" s="252">
        <f t="shared" si="17"/>
        <v>6676179.709615875</v>
      </c>
      <c r="E70" s="252">
        <f t="shared" si="17"/>
        <v>11089312.972700162</v>
      </c>
      <c r="F70" s="252">
        <f t="shared" si="17"/>
        <v>11730813.183529012</v>
      </c>
      <c r="G70" s="252">
        <f t="shared" si="17"/>
        <v>12407595.905953446</v>
      </c>
      <c r="H70" s="252">
        <f t="shared" si="17"/>
        <v>13121601.678111227</v>
      </c>
      <c r="I70" s="252">
        <f t="shared" si="17"/>
        <v>13874877.767737683</v>
      </c>
      <c r="J70" s="252">
        <f t="shared" si="17"/>
        <v>14669584.042293595</v>
      </c>
      <c r="K70" s="252">
        <f t="shared" si="17"/>
        <v>15507999.161950082</v>
      </c>
      <c r="L70" s="252">
        <f t="shared" si="17"/>
        <v>16392527.113187678</v>
      </c>
      <c r="M70" s="252">
        <f t="shared" si="17"/>
        <v>17325704.10174334</v>
      </c>
      <c r="N70" s="252">
        <f t="shared" si="17"/>
        <v>18310205.824669559</v>
      </c>
      <c r="O70" s="252">
        <f t="shared" si="17"/>
        <v>19348855.142356724</v>
      </c>
      <c r="P70" s="252">
        <f t="shared" si="17"/>
        <v>20444630.172516681</v>
      </c>
      <c r="Q70" s="252">
        <f t="shared" si="17"/>
        <v>21600672.829335436</v>
      </c>
      <c r="R70" s="252">
        <f t="shared" si="17"/>
        <v>22820297.832279228</v>
      </c>
      <c r="S70" s="252">
        <f t="shared" si="17"/>
        <v>24107002.21038492</v>
      </c>
      <c r="T70" s="252">
        <f t="shared" si="17"/>
        <v>25464475.32928643</v>
      </c>
      <c r="U70" s="252">
        <f t="shared" si="17"/>
        <v>26896609.46972752</v>
      </c>
      <c r="V70" s="252">
        <f t="shared" si="17"/>
        <v>28407510.987892874</v>
      </c>
      <c r="W70" s="252">
        <f t="shared" si="17"/>
        <v>30001512.089557316</v>
      </c>
      <c r="X70" s="252">
        <f t="shared" si="17"/>
        <v>31683183.251813307</v>
      </c>
      <c r="Y70" s="252">
        <f t="shared" si="17"/>
        <v>33457346.327993371</v>
      </c>
      <c r="Z70" s="252">
        <f t="shared" si="17"/>
        <v>35329088.373363346</v>
      </c>
      <c r="AA70" s="252">
        <f t="shared" si="17"/>
        <v>37303776.231228672</v>
      </c>
      <c r="AB70" s="252">
        <f t="shared" si="17"/>
        <v>39387071.921276592</v>
      </c>
      <c r="AC70" s="252">
        <f t="shared" si="17"/>
        <v>41584948.874277137</v>
      </c>
      <c r="AD70" s="252">
        <f t="shared" si="17"/>
        <v>43903709.059692718</v>
      </c>
      <c r="AE70" s="252">
        <f t="shared" si="17"/>
        <v>46350001.055306152</v>
      </c>
      <c r="AF70" s="252">
        <f t="shared" si="17"/>
        <v>48930839.11067833</v>
      </c>
      <c r="AG70" s="252">
        <f t="shared" si="17"/>
        <v>51653623.259095967</v>
      </c>
      <c r="AH70" s="252">
        <f t="shared" si="17"/>
        <v>54526160.535676591</v>
      </c>
      <c r="AI70" s="252">
        <f t="shared" si="17"/>
        <v>57556687.362469137</v>
      </c>
      <c r="AJ70" s="252">
        <f t="shared" si="17"/>
        <v>60753893.16473528</v>
      </c>
      <c r="AK70" s="252">
        <f t="shared" si="17"/>
        <v>64126945.286126055</v>
      </c>
      <c r="AL70" s="252">
        <f t="shared" si="17"/>
        <v>67685515.274193317</v>
      </c>
      <c r="AM70" s="252">
        <f t="shared" si="17"/>
        <v>71439806.611604288</v>
      </c>
      <c r="AN70" s="252">
        <f t="shared" si="17"/>
        <v>75400583.972572863</v>
      </c>
      <c r="AO70" s="252">
        <f t="shared" si="17"/>
        <v>79579204.088394716</v>
      </c>
      <c r="AP70" s="252">
        <f>AP68+AP69</f>
        <v>83987648.310586751</v>
      </c>
    </row>
    <row r="71" spans="1:45" x14ac:dyDescent="0.2">
      <c r="A71" s="253" t="s">
        <v>313</v>
      </c>
      <c r="B71" s="245">
        <f t="shared" ref="B71:AP71" si="18">-B70*$B$36</f>
        <v>-2433589.923</v>
      </c>
      <c r="C71" s="245">
        <f t="shared" si="18"/>
        <v>-559512.70648354804</v>
      </c>
      <c r="D71" s="245">
        <f t="shared" si="18"/>
        <v>-1335235.941923175</v>
      </c>
      <c r="E71" s="245">
        <f t="shared" si="18"/>
        <v>-2217862.5945400326</v>
      </c>
      <c r="F71" s="245">
        <f t="shared" si="18"/>
        <v>-2346162.6367058023</v>
      </c>
      <c r="G71" s="245">
        <f t="shared" si="18"/>
        <v>-2481519.1811906896</v>
      </c>
      <c r="H71" s="245">
        <f t="shared" si="18"/>
        <v>-2624320.3356222454</v>
      </c>
      <c r="I71" s="245">
        <f t="shared" si="18"/>
        <v>-2774975.553547537</v>
      </c>
      <c r="J71" s="245">
        <f t="shared" si="18"/>
        <v>-2933916.8084587194</v>
      </c>
      <c r="K71" s="245">
        <f t="shared" si="18"/>
        <v>-3101599.8323900164</v>
      </c>
      <c r="L71" s="245">
        <f t="shared" si="18"/>
        <v>-3278505.4226375357</v>
      </c>
      <c r="M71" s="245">
        <f t="shared" si="18"/>
        <v>-3465140.8203486684</v>
      </c>
      <c r="N71" s="245">
        <f t="shared" si="18"/>
        <v>-3662041.164933912</v>
      </c>
      <c r="O71" s="245">
        <f t="shared" si="18"/>
        <v>-3869771.0284713451</v>
      </c>
      <c r="P71" s="245">
        <f t="shared" si="18"/>
        <v>-4088926.0345033365</v>
      </c>
      <c r="Q71" s="245">
        <f t="shared" si="18"/>
        <v>-4320134.5658670878</v>
      </c>
      <c r="R71" s="245">
        <f t="shared" si="18"/>
        <v>-4564059.5664558457</v>
      </c>
      <c r="S71" s="245">
        <f t="shared" si="18"/>
        <v>-4821400.4420769839</v>
      </c>
      <c r="T71" s="245">
        <f t="shared" si="18"/>
        <v>-5092895.0658572866</v>
      </c>
      <c r="U71" s="245">
        <f t="shared" si="18"/>
        <v>-5379321.893945504</v>
      </c>
      <c r="V71" s="245">
        <f t="shared" si="18"/>
        <v>-5681502.1975785755</v>
      </c>
      <c r="W71" s="245">
        <f t="shared" si="18"/>
        <v>-6000302.4179114634</v>
      </c>
      <c r="X71" s="245">
        <f t="shared" si="18"/>
        <v>-6336636.650362662</v>
      </c>
      <c r="Y71" s="245">
        <f t="shared" si="18"/>
        <v>-6691469.2655986743</v>
      </c>
      <c r="Z71" s="245">
        <f t="shared" si="18"/>
        <v>-7065817.6746726697</v>
      </c>
      <c r="AA71" s="245">
        <f t="shared" si="18"/>
        <v>-7460755.2462457344</v>
      </c>
      <c r="AB71" s="245">
        <f t="shared" si="18"/>
        <v>-7877414.3842553189</v>
      </c>
      <c r="AC71" s="245">
        <f t="shared" si="18"/>
        <v>-8316989.7748554274</v>
      </c>
      <c r="AD71" s="245">
        <f t="shared" si="18"/>
        <v>-8780741.8119385447</v>
      </c>
      <c r="AE71" s="245">
        <f t="shared" si="18"/>
        <v>-9270000.2110612299</v>
      </c>
      <c r="AF71" s="245">
        <f t="shared" si="18"/>
        <v>-9786167.8221356664</v>
      </c>
      <c r="AG71" s="245">
        <f t="shared" si="18"/>
        <v>-10330724.651819194</v>
      </c>
      <c r="AH71" s="245">
        <f t="shared" si="18"/>
        <v>-10905232.107135318</v>
      </c>
      <c r="AI71" s="245">
        <f t="shared" si="18"/>
        <v>-11511337.472493827</v>
      </c>
      <c r="AJ71" s="245">
        <f t="shared" si="18"/>
        <v>-12150778.632947057</v>
      </c>
      <c r="AK71" s="245">
        <f t="shared" si="18"/>
        <v>-12825389.057225212</v>
      </c>
      <c r="AL71" s="245">
        <f t="shared" si="18"/>
        <v>-13537103.054838665</v>
      </c>
      <c r="AM71" s="245">
        <f t="shared" si="18"/>
        <v>-14287961.322320858</v>
      </c>
      <c r="AN71" s="245">
        <f t="shared" si="18"/>
        <v>-15080116.794514574</v>
      </c>
      <c r="AO71" s="245">
        <f t="shared" si="18"/>
        <v>-15915840.817678943</v>
      </c>
      <c r="AP71" s="245">
        <f t="shared" si="18"/>
        <v>-16797529.662117351</v>
      </c>
    </row>
    <row r="72" spans="1:45" ht="15" thickBot="1" x14ac:dyDescent="0.25">
      <c r="A72" s="258" t="s">
        <v>318</v>
      </c>
      <c r="B72" s="259">
        <f t="shared" ref="B72:AO72" si="19">B70+B71</f>
        <v>9734359.6919999998</v>
      </c>
      <c r="C72" s="259">
        <f t="shared" si="19"/>
        <v>2238050.8259341922</v>
      </c>
      <c r="D72" s="259">
        <f t="shared" si="19"/>
        <v>5340943.7676927</v>
      </c>
      <c r="E72" s="259">
        <f t="shared" si="19"/>
        <v>8871450.3781601302</v>
      </c>
      <c r="F72" s="259">
        <f t="shared" si="19"/>
        <v>9384650.5468232092</v>
      </c>
      <c r="G72" s="259">
        <f t="shared" si="19"/>
        <v>9926076.7247627564</v>
      </c>
      <c r="H72" s="259">
        <f t="shared" si="19"/>
        <v>10497281.342488982</v>
      </c>
      <c r="I72" s="259">
        <f t="shared" si="19"/>
        <v>11099902.214190146</v>
      </c>
      <c r="J72" s="259">
        <f t="shared" si="19"/>
        <v>11735667.233834876</v>
      </c>
      <c r="K72" s="259">
        <f t="shared" si="19"/>
        <v>12406399.329560066</v>
      </c>
      <c r="L72" s="259">
        <f t="shared" si="19"/>
        <v>13114021.690550143</v>
      </c>
      <c r="M72" s="259">
        <f t="shared" si="19"/>
        <v>13860563.281394672</v>
      </c>
      <c r="N72" s="259">
        <f t="shared" si="19"/>
        <v>14648164.659735646</v>
      </c>
      <c r="O72" s="259">
        <f t="shared" si="19"/>
        <v>15479084.113885378</v>
      </c>
      <c r="P72" s="259">
        <f t="shared" si="19"/>
        <v>16355704.138013344</v>
      </c>
      <c r="Q72" s="259">
        <f t="shared" si="19"/>
        <v>17280538.263468347</v>
      </c>
      <c r="R72" s="259">
        <f t="shared" si="19"/>
        <v>18256238.265823383</v>
      </c>
      <c r="S72" s="259">
        <f t="shared" si="19"/>
        <v>19285601.768307935</v>
      </c>
      <c r="T72" s="259">
        <f t="shared" si="19"/>
        <v>20371580.263429143</v>
      </c>
      <c r="U72" s="259">
        <f t="shared" si="19"/>
        <v>21517287.575782016</v>
      </c>
      <c r="V72" s="259">
        <f t="shared" si="19"/>
        <v>22726008.790314298</v>
      </c>
      <c r="W72" s="259">
        <f t="shared" si="19"/>
        <v>24001209.671645854</v>
      </c>
      <c r="X72" s="259">
        <f t="shared" si="19"/>
        <v>25346546.601450644</v>
      </c>
      <c r="Y72" s="259">
        <f t="shared" si="19"/>
        <v>26765877.062394697</v>
      </c>
      <c r="Z72" s="259">
        <f t="shared" si="19"/>
        <v>28263270.698690675</v>
      </c>
      <c r="AA72" s="259">
        <f t="shared" si="19"/>
        <v>29843020.984982938</v>
      </c>
      <c r="AB72" s="259">
        <f t="shared" si="19"/>
        <v>31509657.537021272</v>
      </c>
      <c r="AC72" s="259">
        <f t="shared" si="19"/>
        <v>33267959.09942171</v>
      </c>
      <c r="AD72" s="259">
        <f t="shared" si="19"/>
        <v>35122967.247754171</v>
      </c>
      <c r="AE72" s="259">
        <f t="shared" si="19"/>
        <v>37080000.84424492</v>
      </c>
      <c r="AF72" s="259">
        <f t="shared" si="19"/>
        <v>39144671.288542666</v>
      </c>
      <c r="AG72" s="259">
        <f t="shared" si="19"/>
        <v>41322898.607276775</v>
      </c>
      <c r="AH72" s="259">
        <f t="shared" si="19"/>
        <v>43620928.428541273</v>
      </c>
      <c r="AI72" s="259">
        <f t="shared" si="19"/>
        <v>46045349.889975309</v>
      </c>
      <c r="AJ72" s="259">
        <f t="shared" si="19"/>
        <v>48603114.531788222</v>
      </c>
      <c r="AK72" s="259">
        <f t="shared" si="19"/>
        <v>51301556.228900842</v>
      </c>
      <c r="AL72" s="259">
        <f t="shared" si="19"/>
        <v>54148412.219354652</v>
      </c>
      <c r="AM72" s="259">
        <f t="shared" si="19"/>
        <v>57151845.289283432</v>
      </c>
      <c r="AN72" s="259">
        <f t="shared" si="19"/>
        <v>60320467.178058289</v>
      </c>
      <c r="AO72" s="259">
        <f t="shared" si="19"/>
        <v>63663363.270715773</v>
      </c>
      <c r="AP72" s="259">
        <f>AP70+AP71</f>
        <v>67190118.648469403</v>
      </c>
    </row>
    <row r="73" spans="1:45" s="261" customFormat="1" ht="16.5" thickBot="1" x14ac:dyDescent="0.25">
      <c r="A73" s="248"/>
      <c r="B73" s="260">
        <f>B141</f>
        <v>0.5</v>
      </c>
      <c r="C73" s="260">
        <f t="shared" ref="C73:AP73" si="20">C141</f>
        <v>1.5</v>
      </c>
      <c r="D73" s="260">
        <f t="shared" si="20"/>
        <v>2.5</v>
      </c>
      <c r="E73" s="260">
        <f t="shared" si="20"/>
        <v>3.5</v>
      </c>
      <c r="F73" s="260">
        <f t="shared" si="20"/>
        <v>4.5</v>
      </c>
      <c r="G73" s="260">
        <f t="shared" si="20"/>
        <v>5.5</v>
      </c>
      <c r="H73" s="260">
        <f t="shared" si="20"/>
        <v>6.5</v>
      </c>
      <c r="I73" s="260">
        <f t="shared" si="20"/>
        <v>7.5</v>
      </c>
      <c r="J73" s="260">
        <f t="shared" si="20"/>
        <v>8.5</v>
      </c>
      <c r="K73" s="260">
        <f t="shared" si="20"/>
        <v>9.5</v>
      </c>
      <c r="L73" s="260">
        <f t="shared" si="20"/>
        <v>10.5</v>
      </c>
      <c r="M73" s="260">
        <f t="shared" si="20"/>
        <v>11.5</v>
      </c>
      <c r="N73" s="260">
        <f t="shared" si="20"/>
        <v>12.5</v>
      </c>
      <c r="O73" s="260">
        <f t="shared" si="20"/>
        <v>13.5</v>
      </c>
      <c r="P73" s="260">
        <f t="shared" si="20"/>
        <v>14.5</v>
      </c>
      <c r="Q73" s="260">
        <f t="shared" si="20"/>
        <v>15.5</v>
      </c>
      <c r="R73" s="260">
        <f t="shared" si="20"/>
        <v>16.5</v>
      </c>
      <c r="S73" s="260">
        <f t="shared" si="20"/>
        <v>17.5</v>
      </c>
      <c r="T73" s="260">
        <f t="shared" si="20"/>
        <v>18.5</v>
      </c>
      <c r="U73" s="260">
        <f t="shared" si="20"/>
        <v>19.5</v>
      </c>
      <c r="V73" s="260">
        <f t="shared" si="20"/>
        <v>20.5</v>
      </c>
      <c r="W73" s="260">
        <f t="shared" si="20"/>
        <v>21.5</v>
      </c>
      <c r="X73" s="260">
        <f t="shared" si="20"/>
        <v>22.5</v>
      </c>
      <c r="Y73" s="260">
        <f t="shared" si="20"/>
        <v>23.5</v>
      </c>
      <c r="Z73" s="260">
        <f t="shared" si="20"/>
        <v>24.5</v>
      </c>
      <c r="AA73" s="260">
        <f t="shared" si="20"/>
        <v>25.5</v>
      </c>
      <c r="AB73" s="260">
        <f t="shared" si="20"/>
        <v>26.5</v>
      </c>
      <c r="AC73" s="260">
        <f t="shared" si="20"/>
        <v>27.5</v>
      </c>
      <c r="AD73" s="260">
        <f t="shared" si="20"/>
        <v>28.5</v>
      </c>
      <c r="AE73" s="260">
        <f t="shared" si="20"/>
        <v>29.5</v>
      </c>
      <c r="AF73" s="260">
        <f t="shared" si="20"/>
        <v>30.5</v>
      </c>
      <c r="AG73" s="260">
        <f t="shared" si="20"/>
        <v>31.5</v>
      </c>
      <c r="AH73" s="260">
        <f t="shared" si="20"/>
        <v>32.5</v>
      </c>
      <c r="AI73" s="260">
        <f t="shared" si="20"/>
        <v>33.5</v>
      </c>
      <c r="AJ73" s="260">
        <f t="shared" si="20"/>
        <v>34.5</v>
      </c>
      <c r="AK73" s="260">
        <f t="shared" si="20"/>
        <v>35.5</v>
      </c>
      <c r="AL73" s="260">
        <f t="shared" si="20"/>
        <v>36.5</v>
      </c>
      <c r="AM73" s="260">
        <f t="shared" si="20"/>
        <v>37.5</v>
      </c>
      <c r="AN73" s="260">
        <f t="shared" si="20"/>
        <v>38.5</v>
      </c>
      <c r="AO73" s="260">
        <f t="shared" si="20"/>
        <v>39.5</v>
      </c>
      <c r="AP73" s="260">
        <f t="shared" si="20"/>
        <v>40.5</v>
      </c>
      <c r="AQ73" s="197"/>
      <c r="AR73" s="197"/>
      <c r="AS73" s="197"/>
    </row>
    <row r="74" spans="1:45" x14ac:dyDescent="0.2">
      <c r="A74" s="242" t="s">
        <v>317</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316</v>
      </c>
      <c r="B75" s="252">
        <f t="shared" ref="B75:AO75" si="22">B68</f>
        <v>12167949.615</v>
      </c>
      <c r="C75" s="252">
        <f t="shared" si="22"/>
        <v>2797563.5324177402</v>
      </c>
      <c r="D75" s="252">
        <f>D68</f>
        <v>6676179.709615875</v>
      </c>
      <c r="E75" s="252">
        <f t="shared" si="22"/>
        <v>11089312.972700162</v>
      </c>
      <c r="F75" s="252">
        <f t="shared" si="22"/>
        <v>11730813.183529012</v>
      </c>
      <c r="G75" s="252">
        <f t="shared" si="22"/>
        <v>12407595.905953446</v>
      </c>
      <c r="H75" s="252">
        <f t="shared" si="22"/>
        <v>13121601.678111227</v>
      </c>
      <c r="I75" s="252">
        <f t="shared" si="22"/>
        <v>13874877.767737683</v>
      </c>
      <c r="J75" s="252">
        <f t="shared" si="22"/>
        <v>14669584.042293595</v>
      </c>
      <c r="K75" s="252">
        <f t="shared" si="22"/>
        <v>15507999.161950082</v>
      </c>
      <c r="L75" s="252">
        <f t="shared" si="22"/>
        <v>16392527.113187678</v>
      </c>
      <c r="M75" s="252">
        <f t="shared" si="22"/>
        <v>17325704.10174334</v>
      </c>
      <c r="N75" s="252">
        <f t="shared" si="22"/>
        <v>18310205.824669559</v>
      </c>
      <c r="O75" s="252">
        <f t="shared" si="22"/>
        <v>19348855.142356724</v>
      </c>
      <c r="P75" s="252">
        <f t="shared" si="22"/>
        <v>20444630.172516681</v>
      </c>
      <c r="Q75" s="252">
        <f t="shared" si="22"/>
        <v>21600672.829335436</v>
      </c>
      <c r="R75" s="252">
        <f t="shared" si="22"/>
        <v>22820297.832279228</v>
      </c>
      <c r="S75" s="252">
        <f t="shared" si="22"/>
        <v>24107002.21038492</v>
      </c>
      <c r="T75" s="252">
        <f t="shared" si="22"/>
        <v>25464475.32928643</v>
      </c>
      <c r="U75" s="252">
        <f t="shared" si="22"/>
        <v>26896609.46972752</v>
      </c>
      <c r="V75" s="252">
        <f t="shared" si="22"/>
        <v>28407510.987892874</v>
      </c>
      <c r="W75" s="252">
        <f t="shared" si="22"/>
        <v>30001512.089557316</v>
      </c>
      <c r="X75" s="252">
        <f t="shared" si="22"/>
        <v>31683183.251813307</v>
      </c>
      <c r="Y75" s="252">
        <f t="shared" si="22"/>
        <v>33457346.327993371</v>
      </c>
      <c r="Z75" s="252">
        <f t="shared" si="22"/>
        <v>35329088.373363346</v>
      </c>
      <c r="AA75" s="252">
        <f t="shared" si="22"/>
        <v>37303776.231228672</v>
      </c>
      <c r="AB75" s="252">
        <f t="shared" si="22"/>
        <v>39387071.921276592</v>
      </c>
      <c r="AC75" s="252">
        <f t="shared" si="22"/>
        <v>41584948.874277137</v>
      </c>
      <c r="AD75" s="252">
        <f t="shared" si="22"/>
        <v>43903709.059692718</v>
      </c>
      <c r="AE75" s="252">
        <f t="shared" si="22"/>
        <v>46350001.055306152</v>
      </c>
      <c r="AF75" s="252">
        <f t="shared" si="22"/>
        <v>48930839.11067833</v>
      </c>
      <c r="AG75" s="252">
        <f t="shared" si="22"/>
        <v>51653623.259095967</v>
      </c>
      <c r="AH75" s="252">
        <f t="shared" si="22"/>
        <v>54526160.535676591</v>
      </c>
      <c r="AI75" s="252">
        <f t="shared" si="22"/>
        <v>57556687.362469137</v>
      </c>
      <c r="AJ75" s="252">
        <f t="shared" si="22"/>
        <v>60753893.16473528</v>
      </c>
      <c r="AK75" s="252">
        <f t="shared" si="22"/>
        <v>64126945.286126055</v>
      </c>
      <c r="AL75" s="252">
        <f t="shared" si="22"/>
        <v>67685515.274193317</v>
      </c>
      <c r="AM75" s="252">
        <f t="shared" si="22"/>
        <v>71439806.611604288</v>
      </c>
      <c r="AN75" s="252">
        <f t="shared" si="22"/>
        <v>75400583.972572863</v>
      </c>
      <c r="AO75" s="252">
        <f t="shared" si="22"/>
        <v>79579204.088394716</v>
      </c>
      <c r="AP75" s="252">
        <f>AP68</f>
        <v>83987648.310586751</v>
      </c>
    </row>
    <row r="76" spans="1:45" x14ac:dyDescent="0.2">
      <c r="A76" s="253" t="s">
        <v>315</v>
      </c>
      <c r="B76" s="245">
        <f t="shared" ref="B76:AO76" si="23">-B67</f>
        <v>0</v>
      </c>
      <c r="C76" s="245">
        <f>-C67</f>
        <v>574327.22418800008</v>
      </c>
      <c r="D76" s="245">
        <f t="shared" si="23"/>
        <v>574327.22418800008</v>
      </c>
      <c r="E76" s="245">
        <f t="shared" si="23"/>
        <v>574327.22418800008</v>
      </c>
      <c r="F76" s="245">
        <f>-C67</f>
        <v>574327.22418800008</v>
      </c>
      <c r="G76" s="245">
        <f t="shared" si="23"/>
        <v>574327.22418800008</v>
      </c>
      <c r="H76" s="245">
        <f t="shared" si="23"/>
        <v>574327.22418800008</v>
      </c>
      <c r="I76" s="245">
        <f t="shared" si="23"/>
        <v>574327.22418800008</v>
      </c>
      <c r="J76" s="245">
        <f t="shared" si="23"/>
        <v>574327.22418800008</v>
      </c>
      <c r="K76" s="245">
        <f t="shared" si="23"/>
        <v>574327.22418800008</v>
      </c>
      <c r="L76" s="245">
        <f>-L67</f>
        <v>574327.22418800008</v>
      </c>
      <c r="M76" s="245">
        <f>-M67</f>
        <v>574327.22418800008</v>
      </c>
      <c r="N76" s="245">
        <f t="shared" si="23"/>
        <v>574327.22418800008</v>
      </c>
      <c r="O76" s="245">
        <f t="shared" si="23"/>
        <v>574327.22418800008</v>
      </c>
      <c r="P76" s="245">
        <f t="shared" si="23"/>
        <v>574327.22418800008</v>
      </c>
      <c r="Q76" s="245">
        <f t="shared" si="23"/>
        <v>574327.22418800008</v>
      </c>
      <c r="R76" s="245">
        <f t="shared" si="23"/>
        <v>574327.22418800008</v>
      </c>
      <c r="S76" s="245">
        <f t="shared" si="23"/>
        <v>574327.22418800008</v>
      </c>
      <c r="T76" s="245">
        <f t="shared" si="23"/>
        <v>574327.22418800008</v>
      </c>
      <c r="U76" s="245">
        <f t="shared" si="23"/>
        <v>574327.22418800008</v>
      </c>
      <c r="V76" s="245">
        <f t="shared" si="23"/>
        <v>574327.22418800008</v>
      </c>
      <c r="W76" s="245">
        <f t="shared" si="23"/>
        <v>574327.22418800008</v>
      </c>
      <c r="X76" s="245">
        <f t="shared" si="23"/>
        <v>574327.22418800008</v>
      </c>
      <c r="Y76" s="245">
        <f t="shared" si="23"/>
        <v>574327.22418800008</v>
      </c>
      <c r="Z76" s="245">
        <f t="shared" si="23"/>
        <v>574327.22418800008</v>
      </c>
      <c r="AA76" s="245">
        <f t="shared" si="23"/>
        <v>574327.22418800008</v>
      </c>
      <c r="AB76" s="245">
        <f t="shared" si="23"/>
        <v>574327.22418800008</v>
      </c>
      <c r="AC76" s="245">
        <f t="shared" si="23"/>
        <v>574327.22418800008</v>
      </c>
      <c r="AD76" s="245">
        <f t="shared" si="23"/>
        <v>574327.22418800008</v>
      </c>
      <c r="AE76" s="245">
        <f t="shared" si="23"/>
        <v>574327.22418800008</v>
      </c>
      <c r="AF76" s="245">
        <f t="shared" si="23"/>
        <v>574327.22418800008</v>
      </c>
      <c r="AG76" s="245">
        <f t="shared" si="23"/>
        <v>574327.22418800008</v>
      </c>
      <c r="AH76" s="245">
        <f t="shared" si="23"/>
        <v>574327.22418800008</v>
      </c>
      <c r="AI76" s="245">
        <f t="shared" si="23"/>
        <v>574327.22418800008</v>
      </c>
      <c r="AJ76" s="245">
        <f t="shared" si="23"/>
        <v>574327.22418800008</v>
      </c>
      <c r="AK76" s="245">
        <f t="shared" si="23"/>
        <v>574327.22418800008</v>
      </c>
      <c r="AL76" s="245">
        <f t="shared" si="23"/>
        <v>574327.22418800008</v>
      </c>
      <c r="AM76" s="245">
        <f t="shared" si="23"/>
        <v>574327.22418800008</v>
      </c>
      <c r="AN76" s="245">
        <f t="shared" si="23"/>
        <v>574327.22418800008</v>
      </c>
      <c r="AO76" s="245">
        <f t="shared" si="23"/>
        <v>574327.22418800008</v>
      </c>
      <c r="AP76" s="245">
        <f>-AP67</f>
        <v>574327.22418800008</v>
      </c>
    </row>
    <row r="77" spans="1:45" x14ac:dyDescent="0.2">
      <c r="A77" s="253" t="s">
        <v>314</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313</v>
      </c>
      <c r="B78" s="245">
        <f>IF(SUM($B$71:B71)+SUM($A$78:A78)&gt;0,0,SUM($B$71:B71)-SUM($A$78:A78))</f>
        <v>-2433589.923</v>
      </c>
      <c r="C78" s="245">
        <f>IF(SUM($B$71:C71)+SUM($A$78:B78)&gt;0,0,SUM($B$71:C71)-SUM($A$78:B78))</f>
        <v>-559512.70648354804</v>
      </c>
      <c r="D78" s="245">
        <f>IF(SUM($B$71:D71)+SUM($A$78:C78)&gt;0,0,SUM($B$71:D71)-SUM($A$78:C78))</f>
        <v>-1335235.941923175</v>
      </c>
      <c r="E78" s="245">
        <f>IF(SUM($B$71:E71)+SUM($A$78:D78)&gt;0,0,SUM($B$71:E71)-SUM($A$78:D78))</f>
        <v>-2217862.5945400326</v>
      </c>
      <c r="F78" s="245">
        <f>IF(SUM($B$71:F71)+SUM($A$78:E78)&gt;0,0,SUM($B$71:F71)-SUM($A$78:E78))</f>
        <v>-2346162.6367058028</v>
      </c>
      <c r="G78" s="245">
        <f>IF(SUM($B$71:G71)+SUM($A$78:F78)&gt;0,0,SUM($B$71:G71)-SUM($A$78:F78))</f>
        <v>-2481519.18119069</v>
      </c>
      <c r="H78" s="245">
        <f>IF(SUM($B$71:H71)+SUM($A$78:G78)&gt;0,0,SUM($B$71:H71)-SUM($A$78:G78))</f>
        <v>-2624320.3356222454</v>
      </c>
      <c r="I78" s="245">
        <f>IF(SUM($B$71:I71)+SUM($A$78:H78)&gt;0,0,SUM($B$71:I71)-SUM($A$78:H78))</f>
        <v>-2774975.553547537</v>
      </c>
      <c r="J78" s="245">
        <f>IF(SUM($B$71:J71)+SUM($A$78:I78)&gt;0,0,SUM($B$71:J71)-SUM($A$78:I78))</f>
        <v>-2933916.8084587194</v>
      </c>
      <c r="K78" s="245">
        <f>IF(SUM($B$71:K71)+SUM($A$78:J78)&gt;0,0,SUM($B$71:K71)-SUM($A$78:J78))</f>
        <v>-3101599.8323900178</v>
      </c>
      <c r="L78" s="245">
        <f>IF(SUM($B$71:L71)+SUM($A$78:K78)&gt;0,0,SUM($B$71:L71)-SUM($A$78:K78))</f>
        <v>-3278505.4226375371</v>
      </c>
      <c r="M78" s="245">
        <f>IF(SUM($B$71:M71)+SUM($A$78:L78)&gt;0,0,SUM($B$71:M71)-SUM($A$78:L78))</f>
        <v>-3465140.8203486688</v>
      </c>
      <c r="N78" s="245">
        <f>IF(SUM($B$71:N71)+SUM($A$78:M78)&gt;0,0,SUM($B$71:N71)-SUM($A$78:M78))</f>
        <v>-3662041.1649339125</v>
      </c>
      <c r="O78" s="245">
        <f>IF(SUM($B$71:O71)+SUM($A$78:N78)&gt;0,0,SUM($B$71:O71)-SUM($A$78:N78))</f>
        <v>-3869771.0284713469</v>
      </c>
      <c r="P78" s="245">
        <f>IF(SUM($B$71:P71)+SUM($A$78:O78)&gt;0,0,SUM($B$71:P71)-SUM($A$78:O78))</f>
        <v>-4088926.0345033333</v>
      </c>
      <c r="Q78" s="245">
        <f>IF(SUM($B$71:Q71)+SUM($A$78:P78)&gt;0,0,SUM($B$71:Q71)-SUM($A$78:P78))</f>
        <v>-4320134.5658670887</v>
      </c>
      <c r="R78" s="245">
        <f>IF(SUM($B$71:R71)+SUM($A$78:Q78)&gt;0,0,SUM($B$71:R71)-SUM($A$78:Q78))</f>
        <v>-4564059.5664558485</v>
      </c>
      <c r="S78" s="245">
        <f>IF(SUM($B$71:S71)+SUM($A$78:R78)&gt;0,0,SUM($B$71:S71)-SUM($A$78:R78))</f>
        <v>-4821400.4420769811</v>
      </c>
      <c r="T78" s="245">
        <f>IF(SUM($B$71:T71)+SUM($A$78:S78)&gt;0,0,SUM($B$71:T71)-SUM($A$78:S78))</f>
        <v>-5092895.0658572838</v>
      </c>
      <c r="U78" s="245">
        <f>IF(SUM($B$71:U71)+SUM($A$78:T78)&gt;0,0,SUM($B$71:U71)-SUM($A$78:T78))</f>
        <v>-5379321.8939455003</v>
      </c>
      <c r="V78" s="245">
        <f>IF(SUM($B$71:V71)+SUM($A$78:U78)&gt;0,0,SUM($B$71:V71)-SUM($A$78:U78))</f>
        <v>-5681502.1975785792</v>
      </c>
      <c r="W78" s="245">
        <f>IF(SUM($B$71:W71)+SUM($A$78:V78)&gt;0,0,SUM($B$71:W71)-SUM($A$78:V78))</f>
        <v>-6000302.4179114699</v>
      </c>
      <c r="X78" s="245">
        <f>IF(SUM($B$71:X71)+SUM($A$78:W78)&gt;0,0,SUM($B$71:X71)-SUM($A$78:W78))</f>
        <v>-6336636.6503626555</v>
      </c>
      <c r="Y78" s="245">
        <f>IF(SUM($B$71:Y71)+SUM($A$78:X78)&gt;0,0,SUM($B$71:Y71)-SUM($A$78:X78))</f>
        <v>-6691469.2655986696</v>
      </c>
      <c r="Z78" s="245">
        <f>IF(SUM($B$71:Z71)+SUM($A$78:Y78)&gt;0,0,SUM($B$71:Z71)-SUM($A$78:Y78))</f>
        <v>-7065817.6746726632</v>
      </c>
      <c r="AA78" s="245">
        <f>IF(SUM($B$71:AA71)+SUM($A$78:Z78)&gt;0,0,SUM($B$71:AA71)-SUM($A$78:Z78))</f>
        <v>-7460755.2462457269</v>
      </c>
      <c r="AB78" s="245">
        <f>IF(SUM($B$71:AB71)+SUM($A$78:AA78)&gt;0,0,SUM($B$71:AB71)-SUM($A$78:AA78))</f>
        <v>-7877414.3842553198</v>
      </c>
      <c r="AC78" s="245">
        <f>IF(SUM($B$71:AC71)+SUM($A$78:AB78)&gt;0,0,SUM($B$71:AC71)-SUM($A$78:AB78))</f>
        <v>-8316989.7748554349</v>
      </c>
      <c r="AD78" s="245">
        <f>IF(SUM($B$71:AD71)+SUM($A$78:AC78)&gt;0,0,SUM($B$71:AD71)-SUM($A$78:AC78))</f>
        <v>-8780741.8119385391</v>
      </c>
      <c r="AE78" s="245">
        <f>IF(SUM($B$71:AE71)+SUM($A$78:AD78)&gt;0,0,SUM($B$71:AE71)-SUM($A$78:AD78))</f>
        <v>-9270000.2110612243</v>
      </c>
      <c r="AF78" s="245">
        <f>IF(SUM($B$71:AF71)+SUM($A$78:AE78)&gt;0,0,SUM($B$71:AF71)-SUM($A$78:AE78))</f>
        <v>-9786167.8221356571</v>
      </c>
      <c r="AG78" s="245">
        <f>IF(SUM($B$71:AG71)+SUM($A$78:AF78)&gt;0,0,SUM($B$71:AG71)-SUM($A$78:AF78))</f>
        <v>-10330724.651819199</v>
      </c>
      <c r="AH78" s="245">
        <f>IF(SUM($B$71:AH71)+SUM($A$78:AG78)&gt;0,0,SUM($B$71:AH71)-SUM($A$78:AG78))</f>
        <v>-10905232.107135326</v>
      </c>
      <c r="AI78" s="245">
        <f>IF(SUM($B$71:AI71)+SUM($A$78:AH78)&gt;0,0,SUM($B$71:AI71)-SUM($A$78:AH78))</f>
        <v>-11511337.472493827</v>
      </c>
      <c r="AJ78" s="245">
        <f>IF(SUM($B$71:AJ71)+SUM($A$78:AI78)&gt;0,0,SUM($B$71:AJ71)-SUM($A$78:AI78))</f>
        <v>-12150778.632947057</v>
      </c>
      <c r="AK78" s="245">
        <f>IF(SUM($B$71:AK71)+SUM($A$78:AJ78)&gt;0,0,SUM($B$71:AK71)-SUM($A$78:AJ78))</f>
        <v>-12825389.057225198</v>
      </c>
      <c r="AL78" s="245">
        <f>IF(SUM($B$71:AL71)+SUM($A$78:AK78)&gt;0,0,SUM($B$71:AL71)-SUM($A$78:AK78))</f>
        <v>-13537103.054838657</v>
      </c>
      <c r="AM78" s="245">
        <f>IF(SUM($B$71:AM71)+SUM($A$78:AL78)&gt;0,0,SUM($B$71:AM71)-SUM($A$78:AL78))</f>
        <v>-14287961.322320849</v>
      </c>
      <c r="AN78" s="245">
        <f>IF(SUM($B$71:AN71)+SUM($A$78:AM78)&gt;0,0,SUM($B$71:AN71)-SUM($A$78:AM78))</f>
        <v>-15080116.794514567</v>
      </c>
      <c r="AO78" s="245">
        <f>IF(SUM($B$71:AO71)+SUM($A$78:AN78)&gt;0,0,SUM($B$71:AO71)-SUM($A$78:AN78))</f>
        <v>-15915840.817678928</v>
      </c>
      <c r="AP78" s="245">
        <f>IF(SUM($B$71:AP71)+SUM($A$78:AO78)&gt;0,0,SUM($B$71:AP71)-SUM($A$78:AO78))</f>
        <v>-16797529.662117362</v>
      </c>
    </row>
    <row r="79" spans="1:45" x14ac:dyDescent="0.2">
      <c r="A79" s="253" t="s">
        <v>312</v>
      </c>
      <c r="B79" s="245">
        <f>IF(((SUM($B$59:B59)+SUM($B$61:B64))+SUM($B$81:B81))&lt;0,((SUM($B$59:B59)+SUM($B$61:B64))+SUM($B$81:B81))*0.18-SUM($A$79:A79),IF(SUM(A$79:$B79)&lt;0,0-SUM(A$79:$B79),0))</f>
        <v>-9.0000001341104512E-3</v>
      </c>
      <c r="C79" s="245">
        <f>IF(((SUM($B$59:C59)+SUM($B$61:C64))+SUM($B$81:C81))&lt;0,((SUM($B$59:C59)+SUM($B$61:C64))+SUM($B$81:C81))*0.18-SUM($A$79:B79),IF(SUM($B$79:B79)&lt;0,0-SUM($B$79:B79),0))</f>
        <v>9.0000001341104512E-3</v>
      </c>
      <c r="D79" s="245">
        <f>IF(((SUM($B$59:D59)+SUM($B$61:D64))+SUM($B$81:D81))&lt;0,((SUM($B$59:D59)+SUM($B$61:D64))+SUM($B$81:D81))*0.18-SUM($A$79:C79),IF(SUM($B$79:C79)&lt;0,0-SUM($B$79:C79),0))</f>
        <v>0</v>
      </c>
      <c r="E79" s="245">
        <f>IF(((SUM($B$59:E59)+SUM($B$61:E64))+SUM($B$81:E81))&lt;0,((SUM($B$59:E59)+SUM($B$61:E64))+SUM($B$81:E81))*0.18-SUM($A$79:D79),IF(SUM($B$79:D79)&lt;0,0-SUM($B$79:D79),0))</f>
        <v>0</v>
      </c>
      <c r="F79" s="245">
        <f>IF(((SUM($B$59:F59)+SUM($B$61:F64))+SUM($B$81:F81))&lt;0,((SUM($B$59:F59)+SUM($B$61:F64))+SUM($B$81:F81))*0.18-SUM($A$79:E79),IF(SUM($B$79:E79)&lt;0,0-SUM($B$79:E79),0))</f>
        <v>0</v>
      </c>
      <c r="G79" s="245">
        <f>IF(((SUM($B$59:G59)+SUM($B$61:G64))+SUM($B$81:G81))&lt;0,((SUM($B$59:G59)+SUM($B$61:G64))+SUM($B$81:G81))*0.18-SUM($A$79:F79),IF(SUM($B$79:F79)&lt;0,0-SUM($B$79:F79),0))</f>
        <v>0</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0</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0</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0</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0</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0</v>
      </c>
      <c r="AP79" s="245">
        <f>IF(((SUM($B$59:AP59)+SUM($B$61:AP64))+SUM($B$81:AP81))&lt;0,((SUM($B$59:AP59)+SUM($B$61:AP64))+SUM($B$81:AP81))*0.18-SUM($A$79:AO79),IF(SUM($B$79:AO79)&lt;0,0-SUM($B$79:AO79),0))</f>
        <v>0</v>
      </c>
    </row>
    <row r="80" spans="1:45" x14ac:dyDescent="0.2">
      <c r="A80" s="253" t="s">
        <v>311</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587</v>
      </c>
      <c r="B81" s="245">
        <f>-$B$126</f>
        <v>-12167949.665000001</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-12167949.665000001</v>
      </c>
      <c r="AR81" s="257"/>
    </row>
    <row r="82" spans="1:45" x14ac:dyDescent="0.2">
      <c r="A82" s="253" t="s">
        <v>310</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309</v>
      </c>
      <c r="B83" s="252">
        <f>SUM(B75:B82)</f>
        <v>-2433589.9820000008</v>
      </c>
      <c r="C83" s="252">
        <f t="shared" ref="C83:V83" si="27">SUM(C75:C82)</f>
        <v>2812378.0591221922</v>
      </c>
      <c r="D83" s="252">
        <f t="shared" si="27"/>
        <v>5915270.9918807</v>
      </c>
      <c r="E83" s="252">
        <f t="shared" si="27"/>
        <v>9445777.6023481302</v>
      </c>
      <c r="F83" s="252">
        <f t="shared" si="27"/>
        <v>9958977.7710112091</v>
      </c>
      <c r="G83" s="252">
        <f t="shared" si="27"/>
        <v>10500403.948950756</v>
      </c>
      <c r="H83" s="252">
        <f t="shared" si="27"/>
        <v>11071608.566676982</v>
      </c>
      <c r="I83" s="252">
        <f t="shared" si="27"/>
        <v>11674229.438378146</v>
      </c>
      <c r="J83" s="252">
        <f t="shared" si="27"/>
        <v>12309994.458022876</v>
      </c>
      <c r="K83" s="252">
        <f t="shared" si="27"/>
        <v>12980726.553748064</v>
      </c>
      <c r="L83" s="252">
        <f t="shared" si="27"/>
        <v>13688348.914738141</v>
      </c>
      <c r="M83" s="252">
        <f t="shared" si="27"/>
        <v>14434890.505582672</v>
      </c>
      <c r="N83" s="252">
        <f t="shared" si="27"/>
        <v>15222491.883923646</v>
      </c>
      <c r="O83" s="252">
        <f t="shared" si="27"/>
        <v>16053411.338073377</v>
      </c>
      <c r="P83" s="252">
        <f t="shared" si="27"/>
        <v>16930031.362201348</v>
      </c>
      <c r="Q83" s="252">
        <f t="shared" si="27"/>
        <v>17854865.487656347</v>
      </c>
      <c r="R83" s="252">
        <f t="shared" si="27"/>
        <v>18830565.490011379</v>
      </c>
      <c r="S83" s="252">
        <f t="shared" si="27"/>
        <v>19859928.992495939</v>
      </c>
      <c r="T83" s="252">
        <f t="shared" si="27"/>
        <v>20945907.487617146</v>
      </c>
      <c r="U83" s="252">
        <f t="shared" si="27"/>
        <v>22091614.79997002</v>
      </c>
      <c r="V83" s="252">
        <f t="shared" si="27"/>
        <v>23300336.014502294</v>
      </c>
      <c r="W83" s="252">
        <f>SUM(W75:W82)</f>
        <v>24575536.895833846</v>
      </c>
      <c r="X83" s="252">
        <f>SUM(X75:X82)</f>
        <v>25920873.825638652</v>
      </c>
      <c r="Y83" s="252">
        <f>SUM(Y75:Y82)</f>
        <v>27340204.286582701</v>
      </c>
      <c r="Z83" s="252">
        <f>SUM(Z75:Z82)</f>
        <v>28837597.922878683</v>
      </c>
      <c r="AA83" s="252">
        <f t="shared" ref="AA83:AP83" si="28">SUM(AA75:AA82)</f>
        <v>30417348.209170945</v>
      </c>
      <c r="AB83" s="252">
        <f t="shared" si="28"/>
        <v>32083984.761209272</v>
      </c>
      <c r="AC83" s="252">
        <f t="shared" si="28"/>
        <v>33842286.323609702</v>
      </c>
      <c r="AD83" s="252">
        <f t="shared" si="28"/>
        <v>35697294.471942179</v>
      </c>
      <c r="AE83" s="252">
        <f t="shared" si="28"/>
        <v>37654328.068432927</v>
      </c>
      <c r="AF83" s="252">
        <f t="shared" si="28"/>
        <v>39718998.512730673</v>
      </c>
      <c r="AG83" s="252">
        <f t="shared" si="28"/>
        <v>41897225.831464767</v>
      </c>
      <c r="AH83" s="252">
        <f t="shared" si="28"/>
        <v>44195255.652729265</v>
      </c>
      <c r="AI83" s="252">
        <f t="shared" si="28"/>
        <v>46619677.114163309</v>
      </c>
      <c r="AJ83" s="252">
        <f t="shared" si="28"/>
        <v>49177441.755976222</v>
      </c>
      <c r="AK83" s="252">
        <f t="shared" si="28"/>
        <v>51875883.453088857</v>
      </c>
      <c r="AL83" s="252">
        <f t="shared" si="28"/>
        <v>54722739.443542659</v>
      </c>
      <c r="AM83" s="252">
        <f t="shared" si="28"/>
        <v>57726172.513471439</v>
      </c>
      <c r="AN83" s="252">
        <f t="shared" si="28"/>
        <v>60894794.402246296</v>
      </c>
      <c r="AO83" s="252">
        <f t="shared" si="28"/>
        <v>64237690.494903788</v>
      </c>
      <c r="AP83" s="252">
        <f t="shared" si="28"/>
        <v>67764445.872657388</v>
      </c>
    </row>
    <row r="84" spans="1:45" ht="14.25" x14ac:dyDescent="0.2">
      <c r="A84" s="254" t="s">
        <v>308</v>
      </c>
      <c r="B84" s="252">
        <f>SUM($B$83:B83)</f>
        <v>-2433589.9820000008</v>
      </c>
      <c r="C84" s="252">
        <f>SUM($B$83:C83)</f>
        <v>378788.07712219143</v>
      </c>
      <c r="D84" s="252">
        <f>SUM($B$83:D83)</f>
        <v>6294059.069002891</v>
      </c>
      <c r="E84" s="252">
        <f>SUM($B$83:E83)</f>
        <v>15739836.671351021</v>
      </c>
      <c r="F84" s="252">
        <f>SUM($B$83:F83)</f>
        <v>25698814.44236223</v>
      </c>
      <c r="G84" s="252">
        <f>SUM($B$83:G83)</f>
        <v>36199218.391312987</v>
      </c>
      <c r="H84" s="252">
        <f>SUM($B$83:H83)</f>
        <v>47270826.957989968</v>
      </c>
      <c r="I84" s="252">
        <f>SUM($B$83:I83)</f>
        <v>58945056.396368116</v>
      </c>
      <c r="J84" s="252">
        <f>SUM($B$83:J83)</f>
        <v>71255050.854390994</v>
      </c>
      <c r="K84" s="252">
        <f>SUM($B$83:K83)</f>
        <v>84235777.40813905</v>
      </c>
      <c r="L84" s="252">
        <f>SUM($B$83:L83)</f>
        <v>97924126.322877198</v>
      </c>
      <c r="M84" s="252">
        <f>SUM($B$83:M83)</f>
        <v>112359016.82845987</v>
      </c>
      <c r="N84" s="252">
        <f>SUM($B$83:N83)</f>
        <v>127581508.71238352</v>
      </c>
      <c r="O84" s="252">
        <f>SUM($B$83:O83)</f>
        <v>143634920.05045691</v>
      </c>
      <c r="P84" s="252">
        <f>SUM($B$83:P83)</f>
        <v>160564951.41265827</v>
      </c>
      <c r="Q84" s="252">
        <f>SUM($B$83:Q83)</f>
        <v>178419816.90031463</v>
      </c>
      <c r="R84" s="252">
        <f>SUM($B$83:R83)</f>
        <v>197250382.39032602</v>
      </c>
      <c r="S84" s="252">
        <f>SUM($B$83:S83)</f>
        <v>217110311.38282198</v>
      </c>
      <c r="T84" s="252">
        <f>SUM($B$83:T83)</f>
        <v>238056218.87043911</v>
      </c>
      <c r="U84" s="252">
        <f>SUM($B$83:U83)</f>
        <v>260147833.67040914</v>
      </c>
      <c r="V84" s="252">
        <f>SUM($B$83:V83)</f>
        <v>283448169.68491143</v>
      </c>
      <c r="W84" s="252">
        <f>SUM($B$83:W83)</f>
        <v>308023706.58074528</v>
      </c>
      <c r="X84" s="252">
        <f>SUM($B$83:X83)</f>
        <v>333944580.40638393</v>
      </c>
      <c r="Y84" s="252">
        <f>SUM($B$83:Y83)</f>
        <v>361284784.69296664</v>
      </c>
      <c r="Z84" s="252">
        <f>SUM($B$83:Z83)</f>
        <v>390122382.61584532</v>
      </c>
      <c r="AA84" s="252">
        <f>SUM($B$83:AA83)</f>
        <v>420539730.82501626</v>
      </c>
      <c r="AB84" s="252">
        <f>SUM($B$83:AB83)</f>
        <v>452623715.58622551</v>
      </c>
      <c r="AC84" s="252">
        <f>SUM($B$83:AC83)</f>
        <v>486466001.90983522</v>
      </c>
      <c r="AD84" s="252">
        <f>SUM($B$83:AD83)</f>
        <v>522163296.38177741</v>
      </c>
      <c r="AE84" s="252">
        <f>SUM($B$83:AE83)</f>
        <v>559817624.45021033</v>
      </c>
      <c r="AF84" s="252">
        <f>SUM($B$83:AF83)</f>
        <v>599536622.96294105</v>
      </c>
      <c r="AG84" s="252">
        <f>SUM($B$83:AG83)</f>
        <v>641433848.79440582</v>
      </c>
      <c r="AH84" s="252">
        <f>SUM($B$83:AH83)</f>
        <v>685629104.44713509</v>
      </c>
      <c r="AI84" s="252">
        <f>SUM($B$83:AI83)</f>
        <v>732248781.56129837</v>
      </c>
      <c r="AJ84" s="252">
        <f>SUM($B$83:AJ83)</f>
        <v>781426223.31727457</v>
      </c>
      <c r="AK84" s="252">
        <f>SUM($B$83:AK83)</f>
        <v>833302106.77036345</v>
      </c>
      <c r="AL84" s="252">
        <f>SUM($B$83:AL83)</f>
        <v>888024846.21390605</v>
      </c>
      <c r="AM84" s="252">
        <f>SUM($B$83:AM83)</f>
        <v>945751018.72737753</v>
      </c>
      <c r="AN84" s="252">
        <f>SUM($B$83:AN83)</f>
        <v>1006645813.1296239</v>
      </c>
      <c r="AO84" s="252">
        <f>SUM($B$83:AO83)</f>
        <v>1070883503.6245277</v>
      </c>
      <c r="AP84" s="252">
        <f>SUM($B$83:AP83)</f>
        <v>1138647949.497185</v>
      </c>
    </row>
    <row r="85" spans="1:45" x14ac:dyDescent="0.2">
      <c r="A85" s="253" t="s">
        <v>588</v>
      </c>
      <c r="B85" s="262">
        <f t="shared" ref="B85:AP85" si="29">1/POWER((1+$B$44),B73)</f>
        <v>0.9109750373485539</v>
      </c>
      <c r="C85" s="262">
        <f t="shared" si="29"/>
        <v>0.75599588161705711</v>
      </c>
      <c r="D85" s="262">
        <f t="shared" si="29"/>
        <v>0.6273824743710017</v>
      </c>
      <c r="E85" s="262">
        <f t="shared" si="29"/>
        <v>0.52064935632448273</v>
      </c>
      <c r="F85" s="262">
        <f t="shared" si="29"/>
        <v>0.43207415462612664</v>
      </c>
      <c r="G85" s="262">
        <f t="shared" si="29"/>
        <v>0.35856776317520883</v>
      </c>
      <c r="H85" s="262">
        <f t="shared" si="29"/>
        <v>0.29756660844415667</v>
      </c>
      <c r="I85" s="262">
        <f t="shared" si="29"/>
        <v>0.24694324352212174</v>
      </c>
      <c r="J85" s="262">
        <f t="shared" si="29"/>
        <v>0.20493215230051592</v>
      </c>
      <c r="K85" s="262">
        <f t="shared" si="29"/>
        <v>0.1700681761830008</v>
      </c>
      <c r="L85" s="262">
        <f t="shared" si="29"/>
        <v>0.14113541591950271</v>
      </c>
      <c r="M85" s="262">
        <f t="shared" si="29"/>
        <v>0.11712482648921385</v>
      </c>
      <c r="N85" s="262">
        <f t="shared" si="29"/>
        <v>9.719902613212765E-2</v>
      </c>
      <c r="O85" s="262">
        <f t="shared" si="29"/>
        <v>8.0663092225832109E-2</v>
      </c>
      <c r="P85" s="262">
        <f t="shared" si="29"/>
        <v>6.6940325498615838E-2</v>
      </c>
      <c r="Q85" s="262">
        <f t="shared" si="29"/>
        <v>5.5552137343249659E-2</v>
      </c>
      <c r="R85" s="262">
        <f t="shared" si="29"/>
        <v>4.6101358791078552E-2</v>
      </c>
      <c r="S85" s="262">
        <f t="shared" si="29"/>
        <v>3.825838903823945E-2</v>
      </c>
      <c r="T85" s="262">
        <f t="shared" si="29"/>
        <v>3.174970044667174E-2</v>
      </c>
      <c r="U85" s="262">
        <f t="shared" si="29"/>
        <v>2.6348299125868668E-2</v>
      </c>
      <c r="V85" s="262">
        <f t="shared" si="29"/>
        <v>2.1865808403210511E-2</v>
      </c>
      <c r="W85" s="262">
        <f t="shared" si="29"/>
        <v>1.814589908980126E-2</v>
      </c>
      <c r="X85" s="262">
        <f t="shared" si="29"/>
        <v>1.5058837418922204E-2</v>
      </c>
      <c r="Y85" s="262">
        <f t="shared" si="29"/>
        <v>1.2496960513628384E-2</v>
      </c>
      <c r="Z85" s="262">
        <f t="shared" si="29"/>
        <v>1.0370921588073345E-2</v>
      </c>
      <c r="AA85" s="262">
        <f t="shared" si="29"/>
        <v>8.6065739320110735E-3</v>
      </c>
      <c r="AB85" s="262">
        <f t="shared" si="29"/>
        <v>7.1423850058183183E-3</v>
      </c>
      <c r="AC85" s="262">
        <f t="shared" si="29"/>
        <v>5.9272904612600145E-3</v>
      </c>
      <c r="AD85" s="262">
        <f t="shared" si="29"/>
        <v>4.9189132458589318E-3</v>
      </c>
      <c r="AE85" s="262">
        <f t="shared" si="29"/>
        <v>4.082085681210732E-3</v>
      </c>
      <c r="AF85" s="262">
        <f t="shared" si="29"/>
        <v>3.3876229719591129E-3</v>
      </c>
      <c r="AG85" s="262">
        <f t="shared" si="29"/>
        <v>2.8113053709204251E-3</v>
      </c>
      <c r="AH85" s="262">
        <f t="shared" si="29"/>
        <v>2.3330335028385286E-3</v>
      </c>
      <c r="AI85" s="262">
        <f t="shared" si="29"/>
        <v>1.9361273882477412E-3</v>
      </c>
      <c r="AJ85" s="262">
        <f t="shared" si="29"/>
        <v>1.6067447205375444E-3</v>
      </c>
      <c r="AK85" s="262">
        <f t="shared" si="29"/>
        <v>1.3333981083299121E-3</v>
      </c>
      <c r="AL85" s="262">
        <f t="shared" si="29"/>
        <v>1.1065544467468149E-3</v>
      </c>
      <c r="AM85" s="262">
        <f t="shared" si="29"/>
        <v>9.1830244543304122E-4</v>
      </c>
      <c r="AN85" s="262">
        <f t="shared" si="29"/>
        <v>7.6207671820169396E-4</v>
      </c>
      <c r="AO85" s="262">
        <f t="shared" si="29"/>
        <v>6.3242881178563804E-4</v>
      </c>
      <c r="AP85" s="262">
        <f t="shared" si="29"/>
        <v>5.2483718820384888E-4</v>
      </c>
    </row>
    <row r="86" spans="1:45" ht="28.5" x14ac:dyDescent="0.2">
      <c r="A86" s="251" t="s">
        <v>307</v>
      </c>
      <c r="B86" s="252">
        <f>B83*B85</f>
        <v>-2216939.7247435171</v>
      </c>
      <c r="C86" s="252">
        <f>C83*C85</f>
        <v>2126146.2302465495</v>
      </c>
      <c r="D86" s="252">
        <f t="shared" ref="D86:AO86" si="30">D83*D85</f>
        <v>3711137.3514611232</v>
      </c>
      <c r="E86" s="252">
        <f t="shared" si="30"/>
        <v>4917938.0286467699</v>
      </c>
      <c r="F86" s="252">
        <f t="shared" si="30"/>
        <v>4303016.9013500549</v>
      </c>
      <c r="G86" s="252">
        <f t="shared" si="30"/>
        <v>3765106.3564114026</v>
      </c>
      <c r="H86" s="252">
        <f t="shared" si="30"/>
        <v>3294541.0112073398</v>
      </c>
      <c r="I86" s="252">
        <f t="shared" si="30"/>
        <v>2882872.0831345371</v>
      </c>
      <c r="J86" s="252">
        <f t="shared" si="30"/>
        <v>2522713.659090051</v>
      </c>
      <c r="K86" s="252">
        <f t="shared" si="30"/>
        <v>2207608.4905261826</v>
      </c>
      <c r="L86" s="252">
        <f t="shared" si="30"/>
        <v>1931910.817332841</v>
      </c>
      <c r="M86" s="252">
        <f t="shared" si="30"/>
        <v>1690684.0458571708</v>
      </c>
      <c r="N86" s="252">
        <f t="shared" si="30"/>
        <v>1479611.3864215955</v>
      </c>
      <c r="O86" s="252">
        <f t="shared" si="30"/>
        <v>1294917.7993022315</v>
      </c>
      <c r="P86" s="252">
        <f t="shared" si="30"/>
        <v>1133301.8100875327</v>
      </c>
      <c r="Q86" s="252">
        <f t="shared" si="30"/>
        <v>991875.9398155337</v>
      </c>
      <c r="R86" s="252">
        <f t="shared" si="30"/>
        <v>868114.6558939165</v>
      </c>
      <c r="S86" s="252">
        <f t="shared" si="30"/>
        <v>759808.88966672053</v>
      </c>
      <c r="T86" s="252">
        <f t="shared" si="30"/>
        <v>665026.28831554309</v>
      </c>
      <c r="U86" s="252">
        <f t="shared" si="30"/>
        <v>582076.47492307739</v>
      </c>
      <c r="V86" s="252">
        <f t="shared" si="30"/>
        <v>509480.68302353279</v>
      </c>
      <c r="W86" s="252">
        <f t="shared" si="30"/>
        <v>445945.21258948866</v>
      </c>
      <c r="X86" s="252">
        <f t="shared" si="30"/>
        <v>390338.22469668847</v>
      </c>
      <c r="Y86" s="252">
        <f t="shared" si="30"/>
        <v>341669.45340395748</v>
      </c>
      <c r="Z86" s="252">
        <f t="shared" si="30"/>
        <v>299072.46684656158</v>
      </c>
      <c r="AA86" s="252">
        <f t="shared" si="30"/>
        <v>261789.15617795437</v>
      </c>
      <c r="AB86" s="252">
        <f t="shared" si="30"/>
        <v>229156.17168536453</v>
      </c>
      <c r="AC86" s="252">
        <f t="shared" si="30"/>
        <v>200593.06091316204</v>
      </c>
      <c r="AD86" s="252">
        <f t="shared" si="30"/>
        <v>175591.89461936321</v>
      </c>
      <c r="AE86" s="252">
        <f t="shared" si="30"/>
        <v>153708.19344376141</v>
      </c>
      <c r="AF86" s="252">
        <f t="shared" si="30"/>
        <v>134552.99178493625</v>
      </c>
      <c r="AG86" s="252">
        <f t="shared" si="30"/>
        <v>117785.89600666288</v>
      </c>
      <c r="AH86" s="252">
        <f t="shared" si="30"/>
        <v>103109.01210433124</v>
      </c>
      <c r="AI86" s="252">
        <f t="shared" si="30"/>
        <v>90261.633691997995</v>
      </c>
      <c r="AJ86" s="252">
        <f t="shared" si="30"/>
        <v>79015.594910957385</v>
      </c>
      <c r="AK86" s="252">
        <f t="shared" si="30"/>
        <v>69171.204864291663</v>
      </c>
      <c r="AL86" s="252">
        <f t="shared" si="30"/>
        <v>60553.690669419455</v>
      </c>
      <c r="AM86" s="252">
        <f t="shared" si="30"/>
        <v>53010.085384610429</v>
      </c>
      <c r="AN86" s="252">
        <f t="shared" si="30"/>
        <v>46406.505073630738</v>
      </c>
      <c r="AO86" s="252">
        <f t="shared" si="30"/>
        <v>40625.766271545581</v>
      </c>
      <c r="AP86" s="252">
        <f>AP83*AP85</f>
        <v>35565.301231997415</v>
      </c>
    </row>
    <row r="87" spans="1:45" ht="14.25" x14ac:dyDescent="0.2">
      <c r="A87" s="251" t="s">
        <v>306</v>
      </c>
      <c r="B87" s="252">
        <f>SUM($B$86:B86)</f>
        <v>-2216939.7247435171</v>
      </c>
      <c r="C87" s="252">
        <f>SUM($B$86:C86)</f>
        <v>-90793.494496967643</v>
      </c>
      <c r="D87" s="252">
        <f>SUM($B$86:D86)</f>
        <v>3620343.8569641556</v>
      </c>
      <c r="E87" s="252">
        <f>SUM($B$86:E86)</f>
        <v>8538281.885610925</v>
      </c>
      <c r="F87" s="252">
        <f>SUM($B$86:F86)</f>
        <v>12841298.78696098</v>
      </c>
      <c r="G87" s="252">
        <f>SUM($B$86:G86)</f>
        <v>16606405.143372383</v>
      </c>
      <c r="H87" s="252">
        <f>SUM($B$86:H86)</f>
        <v>19900946.154579721</v>
      </c>
      <c r="I87" s="252">
        <f>SUM($B$86:I86)</f>
        <v>22783818.237714257</v>
      </c>
      <c r="J87" s="252">
        <f>SUM($B$86:J86)</f>
        <v>25306531.896804307</v>
      </c>
      <c r="K87" s="252">
        <f>SUM($B$86:K86)</f>
        <v>27514140.387330487</v>
      </c>
      <c r="L87" s="252">
        <f>SUM($B$86:L86)</f>
        <v>29446051.204663329</v>
      </c>
      <c r="M87" s="252">
        <f>SUM($B$86:M86)</f>
        <v>31136735.250520501</v>
      </c>
      <c r="N87" s="252">
        <f>SUM($B$86:N86)</f>
        <v>32616346.636942096</v>
      </c>
      <c r="O87" s="252">
        <f>SUM($B$86:O86)</f>
        <v>33911264.436244324</v>
      </c>
      <c r="P87" s="252">
        <f>SUM($B$86:P86)</f>
        <v>35044566.246331856</v>
      </c>
      <c r="Q87" s="252">
        <f>SUM($B$86:Q86)</f>
        <v>36036442.186147392</v>
      </c>
      <c r="R87" s="252">
        <f>SUM($B$86:R86)</f>
        <v>36904556.842041306</v>
      </c>
      <c r="S87" s="252">
        <f>SUM($B$86:S86)</f>
        <v>37664365.731708027</v>
      </c>
      <c r="T87" s="252">
        <f>SUM($B$86:T86)</f>
        <v>38329392.020023569</v>
      </c>
      <c r="U87" s="252">
        <f>SUM($B$86:U86)</f>
        <v>38911468.494946644</v>
      </c>
      <c r="V87" s="252">
        <f>SUM($B$86:V86)</f>
        <v>39420949.177970178</v>
      </c>
      <c r="W87" s="252">
        <f>SUM($B$86:W86)</f>
        <v>39866894.390559666</v>
      </c>
      <c r="X87" s="252">
        <f>SUM($B$86:X86)</f>
        <v>40257232.615256354</v>
      </c>
      <c r="Y87" s="252">
        <f>SUM($B$86:Y86)</f>
        <v>40598902.068660311</v>
      </c>
      <c r="Z87" s="252">
        <f>SUM($B$86:Z86)</f>
        <v>40897974.535506874</v>
      </c>
      <c r="AA87" s="252">
        <f>SUM($B$86:AA86)</f>
        <v>41159763.691684827</v>
      </c>
      <c r="AB87" s="252">
        <f>SUM($B$86:AB86)</f>
        <v>41388919.863370195</v>
      </c>
      <c r="AC87" s="252">
        <f>SUM($B$86:AC86)</f>
        <v>41589512.924283355</v>
      </c>
      <c r="AD87" s="252">
        <f>SUM($B$86:AD86)</f>
        <v>41765104.818902716</v>
      </c>
      <c r="AE87" s="252">
        <f>SUM($B$86:AE86)</f>
        <v>41918813.012346476</v>
      </c>
      <c r="AF87" s="252">
        <f>SUM($B$86:AF86)</f>
        <v>42053366.004131414</v>
      </c>
      <c r="AG87" s="252">
        <f>SUM($B$86:AG86)</f>
        <v>42171151.90013808</v>
      </c>
      <c r="AH87" s="252">
        <f>SUM($B$86:AH86)</f>
        <v>42274260.912242413</v>
      </c>
      <c r="AI87" s="252">
        <f>SUM($B$86:AI86)</f>
        <v>42364522.545934409</v>
      </c>
      <c r="AJ87" s="252">
        <f>SUM($B$86:AJ86)</f>
        <v>42443538.140845366</v>
      </c>
      <c r="AK87" s="252">
        <f>SUM($B$86:AK86)</f>
        <v>42512709.345709659</v>
      </c>
      <c r="AL87" s="252">
        <f>SUM($B$86:AL86)</f>
        <v>42573263.036379077</v>
      </c>
      <c r="AM87" s="252">
        <f>SUM($B$86:AM86)</f>
        <v>42626273.121763684</v>
      </c>
      <c r="AN87" s="252">
        <f>SUM($B$86:AN86)</f>
        <v>42672679.626837313</v>
      </c>
      <c r="AO87" s="252">
        <f>SUM($B$86:AO86)</f>
        <v>42713305.39310886</v>
      </c>
      <c r="AP87" s="252">
        <f>SUM($B$86:AP86)</f>
        <v>42748870.694340855</v>
      </c>
    </row>
    <row r="88" spans="1:45" ht="14.25" x14ac:dyDescent="0.2">
      <c r="A88" s="251" t="s">
        <v>305</v>
      </c>
      <c r="B88" s="263">
        <f>IF((ISERR(IRR($B$83:B83))),0,IF(IRR($B$83:B83)&lt;0,0,IRR($B$83:B83)))</f>
        <v>0</v>
      </c>
      <c r="C88" s="263">
        <f>IF((ISERR(IRR($B$83:C83))),0,IF(IRR($B$83:C83)&lt;0,0,IRR($B$83:C83)))</f>
        <v>0.15564991634740855</v>
      </c>
      <c r="D88" s="263">
        <f>IF((ISERR(IRR($B$83:D83))),0,IF(IRR($B$83:D83)&lt;0,0,IRR($B$83:D83)))</f>
        <v>1.2405211415259485</v>
      </c>
      <c r="E88" s="263">
        <f>IF((ISERR(IRR($B$83:E83))),0,IF(IRR($B$83:E83)&lt;0,0,IRR($B$83:E83)))</f>
        <v>1.6362008138914823</v>
      </c>
      <c r="F88" s="263">
        <f>IF((ISERR(IRR($B$83:F83))),0,IF(IRR($B$83:F83)&lt;0,0,IRR($B$83:F83)))</f>
        <v>1.7497655691679319</v>
      </c>
      <c r="G88" s="263">
        <f>IF((ISERR(IRR($B$83:G83))),0,IF(IRR($B$83:G83)&lt;0,0,IRR($B$83:G83)))</f>
        <v>1.7875383808438134</v>
      </c>
      <c r="H88" s="263">
        <f>IF((ISERR(IRR($B$83:H83))),0,IF(IRR($B$83:H83)&lt;0,0,IRR($B$83:H83)))</f>
        <v>1.8009355363382182</v>
      </c>
      <c r="I88" s="263">
        <f>IF((ISERR(IRR($B$83:I83))),0,IF(IRR($B$83:I83)&lt;0,0,IRR($B$83:I83)))</f>
        <v>1.805834131470784</v>
      </c>
      <c r="J88" s="263">
        <f>IF((ISERR(IRR($B$83:J83))),0,IF(IRR($B$83:J83)&lt;0,0,IRR($B$83:J83)))</f>
        <v>1.8076512704000565</v>
      </c>
      <c r="K88" s="263">
        <f>IF((ISERR(IRR($B$83:K83))),0,IF(IRR($B$83:K83)&lt;0,0,IRR($B$83:K83)))</f>
        <v>1.808329858708317</v>
      </c>
      <c r="L88" s="263">
        <f>IF((ISERR(IRR($B$83:L83))),0,IF(IRR($B$83:L83)&lt;0,0,IRR($B$83:L83)))</f>
        <v>1.8085840381655518</v>
      </c>
      <c r="M88" s="263">
        <f>IF((ISERR(IRR($B$83:M83))),0,IF(IRR($B$83:M83)&lt;0,0,IRR($B$83:M83)))</f>
        <v>1.8086793749990342</v>
      </c>
      <c r="N88" s="263">
        <f>IF((ISERR(IRR($B$83:N83))),0,IF(IRR($B$83:N83)&lt;0,0,IRR($B$83:N83)))</f>
        <v>1.8087151549706282</v>
      </c>
      <c r="O88" s="263">
        <f>IF((ISERR(IRR($B$83:O83))),0,IF(IRR($B$83:O83)&lt;0,0,IRR($B$83:O83)))</f>
        <v>1.8087285867841043</v>
      </c>
      <c r="P88" s="263">
        <f>IF((ISERR(IRR($B$83:P83))),0,IF(IRR($B$83:P83)&lt;0,0,IRR($B$83:P83)))</f>
        <v>1.8087336297114209</v>
      </c>
      <c r="Q88" s="263">
        <f>IF((ISERR(IRR($B$83:Q83))),0,IF(IRR($B$83:Q83)&lt;0,0,IRR($B$83:Q83)))</f>
        <v>1.8087355231780848</v>
      </c>
      <c r="R88" s="263">
        <f>IF((ISERR(IRR($B$83:R83))),0,IF(IRR($B$83:R83)&lt;0,0,IRR($B$83:R83)))</f>
        <v>1.8087362341430424</v>
      </c>
      <c r="S88" s="263">
        <f>IF((ISERR(IRR($B$83:S83))),0,IF(IRR($B$83:S83)&lt;0,0,IRR($B$83:S83)))</f>
        <v>1.8087365011050056</v>
      </c>
      <c r="T88" s="263">
        <f>IF((ISERR(IRR($B$83:T83))),0,IF(IRR($B$83:T83)&lt;0,0,IRR($B$83:T83)))</f>
        <v>1.8087366013491479</v>
      </c>
      <c r="U88" s="263">
        <f>IF((ISERR(IRR($B$83:U83))),0,IF(IRR($B$83:U83)&lt;0,0,IRR($B$83:U83)))</f>
        <v>1.8087366389914288</v>
      </c>
      <c r="V88" s="263">
        <f>IF((ISERR(IRR($B$83:V83))),0,IF(IRR($B$83:V83)&lt;0,0,IRR($B$83:V83)))</f>
        <v>1.8087366531265472</v>
      </c>
      <c r="W88" s="263">
        <f>IF((ISERR(IRR($B$83:W83))),0,IF(IRR($B$83:W83)&lt;0,0,IRR($B$83:W83)))</f>
        <v>1.8087366584345235</v>
      </c>
      <c r="X88" s="263">
        <f>IF((ISERR(IRR($B$83:X83))),0,IF(IRR($B$83:X83)&lt;0,0,IRR($B$83:X83)))</f>
        <v>1.8087366604277788</v>
      </c>
      <c r="Y88" s="263">
        <f>IF((ISERR(IRR($B$83:Y83))),0,IF(IRR($B$83:Y83)&lt;0,0,IRR($B$83:Y83)))</f>
        <v>1.808736661176281</v>
      </c>
      <c r="Z88" s="263">
        <f>IF((ISERR(IRR($B$83:Z83))),0,IF(IRR($B$83:Z83)&lt;0,0,IRR($B$83:Z83)))</f>
        <v>1.8087366614574103</v>
      </c>
      <c r="AA88" s="263">
        <f>IF((ISERR(IRR($B$83:AA83))),0,IF(IRR($B$83:AA83)&lt;0,0,IRR($B$83:AA83)))</f>
        <v>1.8087366615629707</v>
      </c>
      <c r="AB88" s="263">
        <f>IF((ISERR(IRR($B$83:AB83))),0,IF(IRR($B$83:AB83)&lt;0,0,IRR($B$83:AB83)))</f>
        <v>1.8087366616026137</v>
      </c>
      <c r="AC88" s="263">
        <f>IF((ISERR(IRR($B$83:AC83))),0,IF(IRR($B$83:AC83)&lt;0,0,IRR($B$83:AC83)))</f>
        <v>1.8087366616175009</v>
      </c>
      <c r="AD88" s="263">
        <f>IF((ISERR(IRR($B$83:AD83))),0,IF(IRR($B$83:AD83)&lt;0,0,IRR($B$83:AD83)))</f>
        <v>1.8087366616230924</v>
      </c>
      <c r="AE88" s="263">
        <f>IF((ISERR(IRR($B$83:AE83))),0,IF(IRR($B$83:AE83)&lt;0,0,IRR($B$83:AE83)))</f>
        <v>1.8087366616251916</v>
      </c>
      <c r="AF88" s="263">
        <f>IF((ISERR(IRR($B$83:AF83))),0,IF(IRR($B$83:AF83)&lt;0,0,IRR($B$83:AF83)))</f>
        <v>1.8087366616259799</v>
      </c>
      <c r="AG88" s="263">
        <f>IF((ISERR(IRR($B$83:AG83))),0,IF(IRR($B$83:AG83)&lt;0,0,IRR($B$83:AG83)))</f>
        <v>1.8087366616262761</v>
      </c>
      <c r="AH88" s="263">
        <f>IF((ISERR(IRR($B$83:AH83))),0,IF(IRR($B$83:AH83)&lt;0,0,IRR($B$83:AH83)))</f>
        <v>1.8087366616263871</v>
      </c>
      <c r="AI88" s="263">
        <f>IF((ISERR(IRR($B$83:AI83))),0,IF(IRR($B$83:AI83)&lt;0,0,IRR($B$83:AI83)))</f>
        <v>1.8087366616264293</v>
      </c>
      <c r="AJ88" s="263">
        <f>IF((ISERR(IRR($B$83:AJ83))),0,IF(IRR($B$83:AJ83)&lt;0,0,IRR($B$83:AJ83)))</f>
        <v>1.8087366616264449</v>
      </c>
      <c r="AK88" s="263">
        <f>IF((ISERR(IRR($B$83:AK83))),0,IF(IRR($B$83:AK83)&lt;0,0,IRR($B$83:AK83)))</f>
        <v>1.8087366616264502</v>
      </c>
      <c r="AL88" s="263">
        <f>IF((ISERR(IRR($B$83:AL83))),0,IF(IRR($B$83:AL83)&lt;0,0,IRR($B$83:AL83)))</f>
        <v>1.8087366616264529</v>
      </c>
      <c r="AM88" s="263">
        <f>IF((ISERR(IRR($B$83:AM83))),0,IF(IRR($B$83:AM83)&lt;0,0,IRR($B$83:AM83)))</f>
        <v>1.8087366616264537</v>
      </c>
      <c r="AN88" s="263">
        <f>IF((ISERR(IRR($B$83:AN83))),0,IF(IRR($B$83:AN83)&lt;0,0,IRR($B$83:AN83)))</f>
        <v>1.8087366616264537</v>
      </c>
      <c r="AO88" s="263">
        <f>IF((ISERR(IRR($B$83:AO83))),0,IF(IRR($B$83:AO83)&lt;0,0,IRR($B$83:AO83)))</f>
        <v>1.8087366616264546</v>
      </c>
      <c r="AP88" s="263">
        <f>IF((ISERR(IRR($B$83:AP83))),0,IF(IRR($B$83:AP83)&lt;0,0,IRR($B$83:AP83)))</f>
        <v>1.8087366616264546</v>
      </c>
    </row>
    <row r="89" spans="1:45" ht="14.25" x14ac:dyDescent="0.2">
      <c r="A89" s="251" t="s">
        <v>304</v>
      </c>
      <c r="B89" s="264">
        <f>IF(AND(B84&gt;0,A84&lt;0),(B74-(B84/(B84-A84))),0)</f>
        <v>0</v>
      </c>
      <c r="C89" s="264">
        <f t="shared" ref="C89:AP89" si="31">IF(AND(C84&gt;0,B84&lt;0),(C74-(C84/(C84-B84))),0)</f>
        <v>1.8653139552509452</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303</v>
      </c>
      <c r="B90" s="266">
        <f t="shared" ref="B90:AP90" si="32">IF(AND(B87&gt;0,A87&lt;0),(B74-(B87/(B87-A87))),0)</f>
        <v>0</v>
      </c>
      <c r="C90" s="266">
        <f t="shared" si="32"/>
        <v>0</v>
      </c>
      <c r="D90" s="266">
        <f t="shared" si="32"/>
        <v>2.0244651399014431</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2016</v>
      </c>
      <c r="C91" s="267">
        <f>B91+1</f>
        <v>2017</v>
      </c>
      <c r="D91" s="196">
        <f t="shared" ref="D91:AP91" si="33">C91+1</f>
        <v>2018</v>
      </c>
      <c r="E91" s="196">
        <f t="shared" si="33"/>
        <v>2019</v>
      </c>
      <c r="F91" s="196">
        <f t="shared" si="33"/>
        <v>2020</v>
      </c>
      <c r="G91" s="196">
        <f t="shared" si="33"/>
        <v>2021</v>
      </c>
      <c r="H91" s="196">
        <f t="shared" si="33"/>
        <v>2022</v>
      </c>
      <c r="I91" s="196">
        <f t="shared" si="33"/>
        <v>2023</v>
      </c>
      <c r="J91" s="196">
        <f t="shared" si="33"/>
        <v>2024</v>
      </c>
      <c r="K91" s="196">
        <f t="shared" si="33"/>
        <v>2025</v>
      </c>
      <c r="L91" s="196">
        <f t="shared" si="33"/>
        <v>2026</v>
      </c>
      <c r="M91" s="196">
        <f t="shared" si="33"/>
        <v>2027</v>
      </c>
      <c r="N91" s="196">
        <f t="shared" si="33"/>
        <v>2028</v>
      </c>
      <c r="O91" s="196">
        <f t="shared" si="33"/>
        <v>2029</v>
      </c>
      <c r="P91" s="196">
        <f t="shared" si="33"/>
        <v>2030</v>
      </c>
      <c r="Q91" s="196">
        <f t="shared" si="33"/>
        <v>2031</v>
      </c>
      <c r="R91" s="196">
        <f t="shared" si="33"/>
        <v>2032</v>
      </c>
      <c r="S91" s="196">
        <f t="shared" si="33"/>
        <v>2033</v>
      </c>
      <c r="T91" s="196">
        <f t="shared" si="33"/>
        <v>2034</v>
      </c>
      <c r="U91" s="196">
        <f t="shared" si="33"/>
        <v>2035</v>
      </c>
      <c r="V91" s="196">
        <f t="shared" si="33"/>
        <v>2036</v>
      </c>
      <c r="W91" s="196">
        <f t="shared" si="33"/>
        <v>2037</v>
      </c>
      <c r="X91" s="196">
        <f t="shared" si="33"/>
        <v>2038</v>
      </c>
      <c r="Y91" s="196">
        <f t="shared" si="33"/>
        <v>2039</v>
      </c>
      <c r="Z91" s="196">
        <f t="shared" si="33"/>
        <v>2040</v>
      </c>
      <c r="AA91" s="196">
        <f t="shared" si="33"/>
        <v>2041</v>
      </c>
      <c r="AB91" s="196">
        <f t="shared" si="33"/>
        <v>2042</v>
      </c>
      <c r="AC91" s="196">
        <f t="shared" si="33"/>
        <v>2043</v>
      </c>
      <c r="AD91" s="196">
        <f t="shared" si="33"/>
        <v>2044</v>
      </c>
      <c r="AE91" s="196">
        <f t="shared" si="33"/>
        <v>2045</v>
      </c>
      <c r="AF91" s="196">
        <f t="shared" si="33"/>
        <v>2046</v>
      </c>
      <c r="AG91" s="196">
        <f t="shared" si="33"/>
        <v>2047</v>
      </c>
      <c r="AH91" s="196">
        <f t="shared" si="33"/>
        <v>2048</v>
      </c>
      <c r="AI91" s="196">
        <f t="shared" si="33"/>
        <v>2049</v>
      </c>
      <c r="AJ91" s="196">
        <f t="shared" si="33"/>
        <v>2050</v>
      </c>
      <c r="AK91" s="196">
        <f t="shared" si="33"/>
        <v>2051</v>
      </c>
      <c r="AL91" s="196">
        <f t="shared" si="33"/>
        <v>2052</v>
      </c>
      <c r="AM91" s="196">
        <f t="shared" si="33"/>
        <v>2053</v>
      </c>
      <c r="AN91" s="196">
        <f t="shared" si="33"/>
        <v>2054</v>
      </c>
      <c r="AO91" s="196">
        <f t="shared" si="33"/>
        <v>2055</v>
      </c>
      <c r="AP91" s="196">
        <f t="shared" si="33"/>
        <v>2056</v>
      </c>
      <c r="AQ91" s="197"/>
      <c r="AR91" s="197"/>
      <c r="AS91" s="197"/>
    </row>
    <row r="92" spans="1:45" ht="15.6" customHeight="1" x14ac:dyDescent="0.2">
      <c r="A92" s="268" t="s">
        <v>302</v>
      </c>
      <c r="B92" s="120"/>
      <c r="C92" s="120"/>
      <c r="D92" s="120"/>
      <c r="E92" s="120"/>
      <c r="F92" s="120"/>
      <c r="G92" s="120"/>
      <c r="H92" s="120"/>
      <c r="I92" s="120"/>
      <c r="J92" s="120"/>
      <c r="K92" s="120"/>
      <c r="L92" s="269">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301</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300</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299</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298</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26" t="s">
        <v>589</v>
      </c>
      <c r="B97" s="426"/>
      <c r="C97" s="426"/>
      <c r="D97" s="426"/>
      <c r="E97" s="426"/>
      <c r="F97" s="426"/>
      <c r="G97" s="426"/>
      <c r="H97" s="426"/>
      <c r="I97" s="426"/>
      <c r="J97" s="426"/>
      <c r="K97" s="426"/>
      <c r="L97" s="426"/>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x14ac:dyDescent="0.2">
      <c r="C98" s="270"/>
    </row>
    <row r="99" spans="1:71" s="276" customFormat="1" ht="16.5" hidden="1" thickTop="1" x14ac:dyDescent="0.2">
      <c r="A99" s="271" t="s">
        <v>590</v>
      </c>
      <c r="B99" s="272">
        <f>B81*B85</f>
        <v>-11084698.400528699</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-11084698.400528699</v>
      </c>
      <c r="AR99" s="275"/>
      <c r="AS99" s="275"/>
    </row>
    <row r="100" spans="1:71" s="279" customFormat="1" hidden="1" x14ac:dyDescent="0.2">
      <c r="A100" s="277">
        <f>AQ99</f>
        <v>-11084698.400528699</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hidden="1" x14ac:dyDescent="0.2">
      <c r="A101" s="277">
        <f>AP87</f>
        <v>42748870.694340855</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hidden="1" x14ac:dyDescent="0.2">
      <c r="A102" s="280" t="s">
        <v>591</v>
      </c>
      <c r="B102" s="281">
        <f>(A101+-A100)/-A100</f>
        <v>4.8565659749751866</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hidden="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hidden="1" x14ac:dyDescent="0.2">
      <c r="A104" s="283" t="s">
        <v>592</v>
      </c>
      <c r="B104" s="283" t="s">
        <v>593</v>
      </c>
      <c r="C104" s="283" t="s">
        <v>594</v>
      </c>
      <c r="D104" s="283" t="s">
        <v>595</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hidden="1" x14ac:dyDescent="0.2">
      <c r="A105" s="286">
        <f>G30/1000/1000</f>
        <v>29.44605120466333</v>
      </c>
      <c r="B105" s="287">
        <f>L88</f>
        <v>1.8085840381655518</v>
      </c>
      <c r="C105" s="288">
        <f>G28</f>
        <v>1.8653139552509452</v>
      </c>
      <c r="D105" s="288">
        <f>G29</f>
        <v>2.0244651399014431</v>
      </c>
      <c r="E105" s="289" t="s">
        <v>596</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hidden="1"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hidden="1"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hidden="1" x14ac:dyDescent="0.2">
      <c r="A108" s="294" t="s">
        <v>597</v>
      </c>
      <c r="B108" s="295"/>
      <c r="C108" s="295">
        <f>C109*$B$111*$B$112*1000</f>
        <v>3308721.7996800002</v>
      </c>
      <c r="D108" s="295">
        <f t="shared" ref="D108:AP108" si="36">D109*$B$111*$B$112*1000</f>
        <v>6617443.5993600003</v>
      </c>
      <c r="E108" s="295">
        <f>E109*$B$111*$B$112*1000</f>
        <v>10026429.696</v>
      </c>
      <c r="F108" s="295">
        <f t="shared" si="36"/>
        <v>10026429.696</v>
      </c>
      <c r="G108" s="295">
        <f t="shared" si="36"/>
        <v>10026429.696</v>
      </c>
      <c r="H108" s="295">
        <f t="shared" si="36"/>
        <v>10026429.696</v>
      </c>
      <c r="I108" s="295">
        <f t="shared" si="36"/>
        <v>10026429.696</v>
      </c>
      <c r="J108" s="295">
        <f t="shared" si="36"/>
        <v>10026429.696</v>
      </c>
      <c r="K108" s="295">
        <f t="shared" si="36"/>
        <v>10026429.696</v>
      </c>
      <c r="L108" s="295">
        <f t="shared" si="36"/>
        <v>10026429.696</v>
      </c>
      <c r="M108" s="295">
        <f t="shared" si="36"/>
        <v>10026429.696</v>
      </c>
      <c r="N108" s="295">
        <f t="shared" si="36"/>
        <v>10026429.696</v>
      </c>
      <c r="O108" s="295">
        <f t="shared" si="36"/>
        <v>10026429.696</v>
      </c>
      <c r="P108" s="295">
        <f t="shared" si="36"/>
        <v>10026429.696</v>
      </c>
      <c r="Q108" s="295">
        <f t="shared" si="36"/>
        <v>10026429.696</v>
      </c>
      <c r="R108" s="295">
        <f t="shared" si="36"/>
        <v>10026429.696</v>
      </c>
      <c r="S108" s="295">
        <f t="shared" si="36"/>
        <v>10026429.696</v>
      </c>
      <c r="T108" s="295">
        <f t="shared" si="36"/>
        <v>10026429.696</v>
      </c>
      <c r="U108" s="295">
        <f t="shared" si="36"/>
        <v>10026429.696</v>
      </c>
      <c r="V108" s="295">
        <f t="shared" si="36"/>
        <v>10026429.696</v>
      </c>
      <c r="W108" s="295">
        <f t="shared" si="36"/>
        <v>10026429.696</v>
      </c>
      <c r="X108" s="295">
        <f t="shared" si="36"/>
        <v>10026429.696</v>
      </c>
      <c r="Y108" s="295">
        <f t="shared" si="36"/>
        <v>10026429.696</v>
      </c>
      <c r="Z108" s="295">
        <f t="shared" si="36"/>
        <v>10026429.696</v>
      </c>
      <c r="AA108" s="295">
        <f t="shared" si="36"/>
        <v>10026429.696</v>
      </c>
      <c r="AB108" s="295">
        <f t="shared" si="36"/>
        <v>10026429.696</v>
      </c>
      <c r="AC108" s="295">
        <f t="shared" si="36"/>
        <v>10026429.696</v>
      </c>
      <c r="AD108" s="295">
        <f t="shared" si="36"/>
        <v>10026429.696</v>
      </c>
      <c r="AE108" s="295">
        <f t="shared" si="36"/>
        <v>10026429.696</v>
      </c>
      <c r="AF108" s="295">
        <f t="shared" si="36"/>
        <v>10026429.696</v>
      </c>
      <c r="AG108" s="295">
        <f t="shared" si="36"/>
        <v>10026429.696</v>
      </c>
      <c r="AH108" s="295">
        <f t="shared" si="36"/>
        <v>10026429.696</v>
      </c>
      <c r="AI108" s="295">
        <f t="shared" si="36"/>
        <v>10026429.696</v>
      </c>
      <c r="AJ108" s="295">
        <f t="shared" si="36"/>
        <v>10026429.696</v>
      </c>
      <c r="AK108" s="295">
        <f t="shared" si="36"/>
        <v>10026429.696</v>
      </c>
      <c r="AL108" s="295">
        <f t="shared" si="36"/>
        <v>10026429.696</v>
      </c>
      <c r="AM108" s="295">
        <f t="shared" si="36"/>
        <v>10026429.696</v>
      </c>
      <c r="AN108" s="295">
        <f t="shared" si="36"/>
        <v>10026429.696</v>
      </c>
      <c r="AO108" s="295">
        <f t="shared" si="36"/>
        <v>10026429.696</v>
      </c>
      <c r="AP108" s="295">
        <f t="shared" si="36"/>
        <v>10026429.696</v>
      </c>
      <c r="AT108" s="279"/>
      <c r="AU108" s="279"/>
      <c r="AV108" s="279"/>
      <c r="AW108" s="279"/>
      <c r="AX108" s="279"/>
      <c r="AY108" s="279"/>
      <c r="AZ108" s="279"/>
      <c r="BA108" s="279"/>
      <c r="BB108" s="279"/>
      <c r="BC108" s="279"/>
      <c r="BD108" s="279"/>
      <c r="BE108" s="279"/>
      <c r="BF108" s="279"/>
      <c r="BG108" s="279"/>
    </row>
    <row r="109" spans="1:71" ht="12.75" hidden="1" x14ac:dyDescent="0.2">
      <c r="A109" s="294" t="s">
        <v>598</v>
      </c>
      <c r="B109" s="293"/>
      <c r="C109" s="293">
        <f>B109+$I$120*C113</f>
        <v>0.61380000000000001</v>
      </c>
      <c r="D109" s="293">
        <f>C109+$I$120*D113</f>
        <v>1.2276</v>
      </c>
      <c r="E109" s="293">
        <f t="shared" ref="E109:AP109" si="37">D109+$I$120*E113</f>
        <v>1.86</v>
      </c>
      <c r="F109" s="293">
        <f t="shared" si="37"/>
        <v>1.86</v>
      </c>
      <c r="G109" s="293">
        <f t="shared" si="37"/>
        <v>1.86</v>
      </c>
      <c r="H109" s="293">
        <f t="shared" si="37"/>
        <v>1.86</v>
      </c>
      <c r="I109" s="293">
        <f t="shared" si="37"/>
        <v>1.86</v>
      </c>
      <c r="J109" s="293">
        <f t="shared" si="37"/>
        <v>1.86</v>
      </c>
      <c r="K109" s="293">
        <f t="shared" si="37"/>
        <v>1.86</v>
      </c>
      <c r="L109" s="293">
        <f t="shared" si="37"/>
        <v>1.86</v>
      </c>
      <c r="M109" s="293">
        <f t="shared" si="37"/>
        <v>1.86</v>
      </c>
      <c r="N109" s="293">
        <f t="shared" si="37"/>
        <v>1.86</v>
      </c>
      <c r="O109" s="293">
        <f t="shared" si="37"/>
        <v>1.86</v>
      </c>
      <c r="P109" s="293">
        <f t="shared" si="37"/>
        <v>1.86</v>
      </c>
      <c r="Q109" s="293">
        <f t="shared" si="37"/>
        <v>1.86</v>
      </c>
      <c r="R109" s="293">
        <f t="shared" si="37"/>
        <v>1.86</v>
      </c>
      <c r="S109" s="293">
        <f t="shared" si="37"/>
        <v>1.86</v>
      </c>
      <c r="T109" s="293">
        <f t="shared" si="37"/>
        <v>1.86</v>
      </c>
      <c r="U109" s="293">
        <f t="shared" si="37"/>
        <v>1.86</v>
      </c>
      <c r="V109" s="293">
        <f t="shared" si="37"/>
        <v>1.86</v>
      </c>
      <c r="W109" s="293">
        <f t="shared" si="37"/>
        <v>1.86</v>
      </c>
      <c r="X109" s="293">
        <f t="shared" si="37"/>
        <v>1.86</v>
      </c>
      <c r="Y109" s="293">
        <f t="shared" si="37"/>
        <v>1.86</v>
      </c>
      <c r="Z109" s="293">
        <f t="shared" si="37"/>
        <v>1.86</v>
      </c>
      <c r="AA109" s="293">
        <f t="shared" si="37"/>
        <v>1.86</v>
      </c>
      <c r="AB109" s="293">
        <f t="shared" si="37"/>
        <v>1.86</v>
      </c>
      <c r="AC109" s="293">
        <f t="shared" si="37"/>
        <v>1.86</v>
      </c>
      <c r="AD109" s="293">
        <f t="shared" si="37"/>
        <v>1.86</v>
      </c>
      <c r="AE109" s="293">
        <f t="shared" si="37"/>
        <v>1.86</v>
      </c>
      <c r="AF109" s="293">
        <f t="shared" si="37"/>
        <v>1.86</v>
      </c>
      <c r="AG109" s="293">
        <f t="shared" si="37"/>
        <v>1.86</v>
      </c>
      <c r="AH109" s="293">
        <f t="shared" si="37"/>
        <v>1.86</v>
      </c>
      <c r="AI109" s="293">
        <f t="shared" si="37"/>
        <v>1.86</v>
      </c>
      <c r="AJ109" s="293">
        <f t="shared" si="37"/>
        <v>1.86</v>
      </c>
      <c r="AK109" s="293">
        <f t="shared" si="37"/>
        <v>1.86</v>
      </c>
      <c r="AL109" s="293">
        <f t="shared" si="37"/>
        <v>1.86</v>
      </c>
      <c r="AM109" s="293">
        <f t="shared" si="37"/>
        <v>1.86</v>
      </c>
      <c r="AN109" s="293">
        <f t="shared" si="37"/>
        <v>1.86</v>
      </c>
      <c r="AO109" s="293">
        <f t="shared" si="37"/>
        <v>1.86</v>
      </c>
      <c r="AP109" s="293">
        <f t="shared" si="37"/>
        <v>1.86</v>
      </c>
      <c r="AT109" s="279"/>
      <c r="AU109" s="279"/>
      <c r="AV109" s="279"/>
      <c r="AW109" s="279"/>
      <c r="AX109" s="279"/>
      <c r="AY109" s="279"/>
      <c r="AZ109" s="279"/>
      <c r="BA109" s="279"/>
      <c r="BB109" s="279"/>
      <c r="BC109" s="279"/>
      <c r="BD109" s="279"/>
      <c r="BE109" s="279"/>
      <c r="BF109" s="279"/>
      <c r="BG109" s="279"/>
    </row>
    <row r="110" spans="1:71" ht="12.75" hidden="1" x14ac:dyDescent="0.2">
      <c r="A110" s="294" t="s">
        <v>599</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hidden="1" x14ac:dyDescent="0.2">
      <c r="A111" s="294" t="s">
        <v>600</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hidden="1" x14ac:dyDescent="0.2">
      <c r="A112" s="294" t="s">
        <v>601</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hidden="1" x14ac:dyDescent="0.2">
      <c r="A113" s="297" t="s">
        <v>602</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hidden="1"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hidden="1"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hidden="1" x14ac:dyDescent="0.2">
      <c r="A116" s="291"/>
      <c r="B116" s="414" t="s">
        <v>603</v>
      </c>
      <c r="C116" s="415"/>
      <c r="D116" s="414" t="s">
        <v>604</v>
      </c>
      <c r="E116" s="415"/>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hidden="1" x14ac:dyDescent="0.2">
      <c r="A117" s="294" t="s">
        <v>605</v>
      </c>
      <c r="B117" s="300"/>
      <c r="C117" s="291" t="s">
        <v>606</v>
      </c>
      <c r="D117" s="300">
        <v>2</v>
      </c>
      <c r="E117" s="291" t="s">
        <v>606</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hidden="1" x14ac:dyDescent="0.2">
      <c r="A118" s="294" t="s">
        <v>605</v>
      </c>
      <c r="B118" s="291">
        <f>$B$110*B117</f>
        <v>0</v>
      </c>
      <c r="C118" s="291" t="s">
        <v>132</v>
      </c>
      <c r="D118" s="291">
        <f>$B$110*D117</f>
        <v>1.86</v>
      </c>
      <c r="E118" s="291" t="s">
        <v>132</v>
      </c>
      <c r="F118" s="294" t="s">
        <v>607</v>
      </c>
      <c r="G118" s="291">
        <f>D117-B117</f>
        <v>2</v>
      </c>
      <c r="H118" s="291" t="s">
        <v>606</v>
      </c>
      <c r="I118" s="301">
        <f>$B$110*G118</f>
        <v>1.86</v>
      </c>
      <c r="J118" s="291" t="s">
        <v>132</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hidden="1" x14ac:dyDescent="0.2">
      <c r="A119" s="291"/>
      <c r="B119" s="291"/>
      <c r="C119" s="291"/>
      <c r="D119" s="291"/>
      <c r="E119" s="291"/>
      <c r="F119" s="294" t="s">
        <v>608</v>
      </c>
      <c r="G119" s="291">
        <f>I119/$B$110</f>
        <v>0</v>
      </c>
      <c r="H119" s="291" t="s">
        <v>606</v>
      </c>
      <c r="I119" s="300"/>
      <c r="J119" s="291" t="s">
        <v>132</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hidden="1" x14ac:dyDescent="0.2">
      <c r="A120" s="302"/>
      <c r="B120" s="303"/>
      <c r="C120" s="303"/>
      <c r="D120" s="303"/>
      <c r="E120" s="303"/>
      <c r="F120" s="304" t="s">
        <v>609</v>
      </c>
      <c r="G120" s="301">
        <f>G118</f>
        <v>2</v>
      </c>
      <c r="H120" s="291" t="s">
        <v>606</v>
      </c>
      <c r="I120" s="296">
        <f>I118</f>
        <v>1.86</v>
      </c>
      <c r="J120" s="291" t="s">
        <v>132</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hidden="1"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hidden="1" x14ac:dyDescent="0.2">
      <c r="A122" s="306" t="s">
        <v>610</v>
      </c>
      <c r="B122" s="307">
        <v>12.167949665</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hidden="1" x14ac:dyDescent="0.2">
      <c r="A123" s="306" t="s">
        <v>348</v>
      </c>
      <c r="B123" s="308">
        <v>25</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hidden="1" x14ac:dyDescent="0.2">
      <c r="A124" s="306" t="s">
        <v>611</v>
      </c>
      <c r="B124" s="308" t="s">
        <v>623</v>
      </c>
      <c r="C124" s="309" t="s">
        <v>612</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hidden="1"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06" t="s">
        <v>613</v>
      </c>
      <c r="B126" s="314">
        <f>$B$122*1000*1000</f>
        <v>12167949.665000001</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hidden="1" x14ac:dyDescent="0.2">
      <c r="A127" s="306" t="s">
        <v>614</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hidden="1"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hidden="1" x14ac:dyDescent="0.2">
      <c r="A129" s="306" t="s">
        <v>615</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hidden="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hidden="1" x14ac:dyDescent="0.2">
      <c r="A131" s="320" t="s">
        <v>616</v>
      </c>
      <c r="B131" s="321">
        <v>1.23072</v>
      </c>
      <c r="C131" s="289" t="s">
        <v>617</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hidden="1" x14ac:dyDescent="0.2">
      <c r="A132" s="320" t="s">
        <v>618</v>
      </c>
      <c r="B132" s="321">
        <v>1.20268</v>
      </c>
      <c r="C132" s="289" t="s">
        <v>617</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hidden="1"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hidden="1" x14ac:dyDescent="0.2">
      <c r="A134" s="306" t="s">
        <v>619</v>
      </c>
      <c r="C134" s="313" t="s">
        <v>620</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hidden="1"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hidden="1" x14ac:dyDescent="0.2">
      <c r="A136" s="306" t="s">
        <v>621</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hidden="1" x14ac:dyDescent="0.2">
      <c r="A137" s="306" t="s">
        <v>622</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hidden="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hidden="1"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hidden="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hidden="1"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hidden="1"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hidden="1"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hidden="1"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hidden="1"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hidden="1"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hidden="1"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hidden="1"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hidden="1"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hidden="1"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hidden="1"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hidden="1"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hidden="1"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hidden="1"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hidden="1"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hidden="1"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hidden="1"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hidden="1"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hidden="1"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hidden="1"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hidden="1"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A16" sqref="A16:L1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2" t="str">
        <f>'1. паспорт местоположение'!A12:C12</f>
        <v>F_prj_111001_3354</v>
      </c>
      <c r="B12" s="372"/>
      <c r="C12" s="372"/>
      <c r="D12" s="372"/>
      <c r="E12" s="372"/>
      <c r="F12" s="372"/>
      <c r="G12" s="372"/>
      <c r="H12" s="372"/>
      <c r="I12" s="372"/>
      <c r="J12" s="372"/>
      <c r="K12" s="372"/>
      <c r="L12" s="372"/>
    </row>
    <row r="13" spans="1:44" x14ac:dyDescent="0.25">
      <c r="A13" s="367" t="s">
        <v>8</v>
      </c>
      <c r="B13" s="367"/>
      <c r="C13" s="367"/>
      <c r="D13" s="367"/>
      <c r="E13" s="367"/>
      <c r="F13" s="367"/>
      <c r="G13" s="367"/>
      <c r="H13" s="367"/>
      <c r="I13" s="367"/>
      <c r="J13" s="367"/>
      <c r="K13" s="367"/>
      <c r="L13" s="367"/>
    </row>
    <row r="14" spans="1:44" ht="18.75" x14ac:dyDescent="0.25">
      <c r="A14" s="376"/>
      <c r="B14" s="376"/>
      <c r="C14" s="376"/>
      <c r="D14" s="376"/>
      <c r="E14" s="376"/>
      <c r="F14" s="376"/>
      <c r="G14" s="376"/>
      <c r="H14" s="376"/>
      <c r="I14" s="376"/>
      <c r="J14" s="376"/>
      <c r="K14" s="376"/>
      <c r="L14" s="376"/>
    </row>
    <row r="15" spans="1:44" x14ac:dyDescent="0.25">
      <c r="A15" s="377" t="str">
        <f>'1. паспорт местоположение'!A15:C15</f>
        <v>Строительство ТП 15/0.4 кВ, ВЛЗ 15 кВ от ВЛ 15 кВ № 15-482, 15-487 в г.Черняховск</v>
      </c>
      <c r="B15" s="377"/>
      <c r="C15" s="377"/>
      <c r="D15" s="377"/>
      <c r="E15" s="377"/>
      <c r="F15" s="377"/>
      <c r="G15" s="377"/>
      <c r="H15" s="377"/>
      <c r="I15" s="377"/>
      <c r="J15" s="377"/>
      <c r="K15" s="377"/>
      <c r="L15" s="377"/>
    </row>
    <row r="16" spans="1:44" x14ac:dyDescent="0.25">
      <c r="A16" s="367" t="s">
        <v>7</v>
      </c>
      <c r="B16" s="367"/>
      <c r="C16" s="367"/>
      <c r="D16" s="367"/>
      <c r="E16" s="367"/>
      <c r="F16" s="367"/>
      <c r="G16" s="367"/>
      <c r="H16" s="367"/>
      <c r="I16" s="367"/>
      <c r="J16" s="367"/>
      <c r="K16" s="367"/>
      <c r="L16" s="367"/>
    </row>
    <row r="17" spans="1:12" ht="15.75" customHeight="1" x14ac:dyDescent="0.25">
      <c r="L17" s="95"/>
    </row>
    <row r="18" spans="1:12" x14ac:dyDescent="0.25">
      <c r="K18" s="94"/>
    </row>
    <row r="19" spans="1:12" ht="15.75" customHeight="1" x14ac:dyDescent="0.25">
      <c r="A19" s="437" t="s">
        <v>507</v>
      </c>
      <c r="B19" s="437"/>
      <c r="C19" s="437"/>
      <c r="D19" s="437"/>
      <c r="E19" s="437"/>
      <c r="F19" s="437"/>
      <c r="G19" s="437"/>
      <c r="H19" s="437"/>
      <c r="I19" s="437"/>
      <c r="J19" s="437"/>
      <c r="K19" s="437"/>
      <c r="L19" s="437"/>
    </row>
    <row r="20" spans="1:12" x14ac:dyDescent="0.25">
      <c r="A20" s="67"/>
      <c r="B20" s="67"/>
      <c r="C20" s="93"/>
      <c r="D20" s="93"/>
      <c r="E20" s="93"/>
      <c r="F20" s="93"/>
      <c r="G20" s="93"/>
      <c r="H20" s="93"/>
      <c r="I20" s="93"/>
      <c r="J20" s="93"/>
      <c r="K20" s="93"/>
      <c r="L20" s="93"/>
    </row>
    <row r="21" spans="1:12" ht="28.5" customHeight="1" x14ac:dyDescent="0.25">
      <c r="A21" s="427" t="s">
        <v>225</v>
      </c>
      <c r="B21" s="427" t="s">
        <v>224</v>
      </c>
      <c r="C21" s="433" t="s">
        <v>439</v>
      </c>
      <c r="D21" s="433"/>
      <c r="E21" s="433"/>
      <c r="F21" s="433"/>
      <c r="G21" s="433"/>
      <c r="H21" s="433"/>
      <c r="I21" s="428" t="s">
        <v>223</v>
      </c>
      <c r="J21" s="430" t="s">
        <v>441</v>
      </c>
      <c r="K21" s="427" t="s">
        <v>222</v>
      </c>
      <c r="L21" s="429" t="s">
        <v>440</v>
      </c>
    </row>
    <row r="22" spans="1:12" ht="58.5" customHeight="1" x14ac:dyDescent="0.25">
      <c r="A22" s="427"/>
      <c r="B22" s="427"/>
      <c r="C22" s="434" t="s">
        <v>3</v>
      </c>
      <c r="D22" s="434"/>
      <c r="E22" s="153"/>
      <c r="F22" s="154"/>
      <c r="G22" s="435" t="s">
        <v>2</v>
      </c>
      <c r="H22" s="436"/>
      <c r="I22" s="428"/>
      <c r="J22" s="431"/>
      <c r="K22" s="427"/>
      <c r="L22" s="429"/>
    </row>
    <row r="23" spans="1:12" ht="47.25" x14ac:dyDescent="0.25">
      <c r="A23" s="427"/>
      <c r="B23" s="427"/>
      <c r="C23" s="92" t="s">
        <v>221</v>
      </c>
      <c r="D23" s="92" t="s">
        <v>220</v>
      </c>
      <c r="E23" s="92" t="s">
        <v>221</v>
      </c>
      <c r="F23" s="92" t="s">
        <v>220</v>
      </c>
      <c r="G23" s="92" t="s">
        <v>221</v>
      </c>
      <c r="H23" s="92" t="s">
        <v>220</v>
      </c>
      <c r="I23" s="428"/>
      <c r="J23" s="432"/>
      <c r="K23" s="427"/>
      <c r="L23" s="429"/>
    </row>
    <row r="24" spans="1:12" x14ac:dyDescent="0.25">
      <c r="A24" s="73">
        <v>1</v>
      </c>
      <c r="B24" s="73">
        <v>2</v>
      </c>
      <c r="C24" s="92">
        <v>3</v>
      </c>
      <c r="D24" s="92">
        <v>4</v>
      </c>
      <c r="E24" s="92">
        <v>5</v>
      </c>
      <c r="F24" s="92">
        <v>6</v>
      </c>
      <c r="G24" s="92">
        <v>7</v>
      </c>
      <c r="H24" s="92">
        <v>8</v>
      </c>
      <c r="I24" s="92">
        <v>9</v>
      </c>
      <c r="J24" s="92">
        <v>10</v>
      </c>
      <c r="K24" s="92">
        <v>11</v>
      </c>
      <c r="L24" s="92">
        <v>12</v>
      </c>
    </row>
    <row r="25" spans="1:12" x14ac:dyDescent="0.25">
      <c r="A25" s="84">
        <v>1</v>
      </c>
      <c r="B25" s="85" t="s">
        <v>219</v>
      </c>
      <c r="C25" s="85"/>
      <c r="D25" s="90"/>
      <c r="E25" s="90"/>
      <c r="F25" s="90"/>
      <c r="G25" s="90"/>
      <c r="H25" s="90"/>
      <c r="I25" s="90"/>
      <c r="J25" s="90"/>
      <c r="K25" s="81"/>
      <c r="L25" s="103"/>
    </row>
    <row r="26" spans="1:12" ht="21.75" customHeight="1" x14ac:dyDescent="0.25">
      <c r="A26" s="84" t="s">
        <v>218</v>
      </c>
      <c r="B26" s="91" t="s">
        <v>446</v>
      </c>
      <c r="C26" s="82"/>
      <c r="D26" s="90"/>
      <c r="E26" s="90"/>
      <c r="F26" s="90"/>
      <c r="G26" s="90"/>
      <c r="H26" s="90"/>
      <c r="I26" s="90"/>
      <c r="J26" s="90"/>
      <c r="K26" s="81"/>
      <c r="L26" s="81"/>
    </row>
    <row r="27" spans="1:12" s="69" customFormat="1" ht="39" customHeight="1" x14ac:dyDescent="0.25">
      <c r="A27" s="84" t="s">
        <v>217</v>
      </c>
      <c r="B27" s="91" t="s">
        <v>448</v>
      </c>
      <c r="C27" s="82"/>
      <c r="D27" s="90"/>
      <c r="E27" s="90"/>
      <c r="F27" s="90"/>
      <c r="G27" s="90"/>
      <c r="H27" s="90"/>
      <c r="I27" s="90"/>
      <c r="J27" s="90"/>
      <c r="K27" s="81"/>
      <c r="L27" s="81"/>
    </row>
    <row r="28" spans="1:12" s="69" customFormat="1" ht="70.5" customHeight="1" x14ac:dyDescent="0.25">
      <c r="A28" s="84" t="s">
        <v>447</v>
      </c>
      <c r="B28" s="91" t="s">
        <v>452</v>
      </c>
      <c r="C28" s="82"/>
      <c r="D28" s="90"/>
      <c r="E28" s="90"/>
      <c r="F28" s="90"/>
      <c r="G28" s="90"/>
      <c r="H28" s="90"/>
      <c r="I28" s="90"/>
      <c r="J28" s="90"/>
      <c r="K28" s="81"/>
      <c r="L28" s="81"/>
    </row>
    <row r="29" spans="1:12" s="69" customFormat="1" ht="54" customHeight="1" x14ac:dyDescent="0.25">
      <c r="A29" s="84" t="s">
        <v>216</v>
      </c>
      <c r="B29" s="91" t="s">
        <v>451</v>
      </c>
      <c r="C29" s="82"/>
      <c r="D29" s="90"/>
      <c r="E29" s="90"/>
      <c r="F29" s="90"/>
      <c r="G29" s="90"/>
      <c r="H29" s="90"/>
      <c r="I29" s="90"/>
      <c r="J29" s="90"/>
      <c r="K29" s="81"/>
      <c r="L29" s="81"/>
    </row>
    <row r="30" spans="1:12" s="69" customFormat="1" ht="42" customHeight="1" x14ac:dyDescent="0.25">
      <c r="A30" s="84" t="s">
        <v>215</v>
      </c>
      <c r="B30" s="91" t="s">
        <v>453</v>
      </c>
      <c r="C30" s="82"/>
      <c r="D30" s="90"/>
      <c r="E30" s="90"/>
      <c r="F30" s="90"/>
      <c r="G30" s="90"/>
      <c r="H30" s="90"/>
      <c r="I30" s="90"/>
      <c r="J30" s="90"/>
      <c r="K30" s="81"/>
      <c r="L30" s="81"/>
    </row>
    <row r="31" spans="1:12" s="69" customFormat="1" ht="37.5" customHeight="1" x14ac:dyDescent="0.25">
      <c r="A31" s="84" t="s">
        <v>214</v>
      </c>
      <c r="B31" s="83" t="s">
        <v>449</v>
      </c>
      <c r="C31" s="82"/>
      <c r="D31" s="90"/>
      <c r="E31" s="90"/>
      <c r="F31" s="90"/>
      <c r="G31" s="90"/>
      <c r="H31" s="90"/>
      <c r="I31" s="90"/>
      <c r="J31" s="90"/>
      <c r="K31" s="81"/>
      <c r="L31" s="81"/>
    </row>
    <row r="32" spans="1:12" s="69" customFormat="1" ht="31.5" x14ac:dyDescent="0.25">
      <c r="A32" s="84" t="s">
        <v>212</v>
      </c>
      <c r="B32" s="83" t="s">
        <v>454</v>
      </c>
      <c r="C32" s="82"/>
      <c r="D32" s="90"/>
      <c r="E32" s="90"/>
      <c r="F32" s="90"/>
      <c r="G32" s="90"/>
      <c r="H32" s="90"/>
      <c r="I32" s="90"/>
      <c r="J32" s="90"/>
      <c r="K32" s="81"/>
      <c r="L32" s="81"/>
    </row>
    <row r="33" spans="1:12" s="69" customFormat="1" ht="37.5" customHeight="1" x14ac:dyDescent="0.25">
      <c r="A33" s="84" t="s">
        <v>465</v>
      </c>
      <c r="B33" s="83" t="s">
        <v>377</v>
      </c>
      <c r="C33" s="82"/>
      <c r="D33" s="90"/>
      <c r="E33" s="90"/>
      <c r="F33" s="90"/>
      <c r="G33" s="90"/>
      <c r="H33" s="90"/>
      <c r="I33" s="90"/>
      <c r="J33" s="90"/>
      <c r="K33" s="81"/>
      <c r="L33" s="81"/>
    </row>
    <row r="34" spans="1:12" s="69" customFormat="1" ht="47.25" customHeight="1" x14ac:dyDescent="0.25">
      <c r="A34" s="84" t="s">
        <v>466</v>
      </c>
      <c r="B34" s="83" t="s">
        <v>458</v>
      </c>
      <c r="C34" s="82"/>
      <c r="D34" s="89"/>
      <c r="E34" s="89"/>
      <c r="F34" s="89"/>
      <c r="G34" s="89"/>
      <c r="H34" s="89"/>
      <c r="I34" s="89"/>
      <c r="J34" s="89"/>
      <c r="K34" s="89"/>
      <c r="L34" s="81"/>
    </row>
    <row r="35" spans="1:12" s="69" customFormat="1" ht="49.5" customHeight="1" x14ac:dyDescent="0.25">
      <c r="A35" s="84" t="s">
        <v>467</v>
      </c>
      <c r="B35" s="83" t="s">
        <v>213</v>
      </c>
      <c r="C35" s="82"/>
      <c r="D35" s="89"/>
      <c r="E35" s="89"/>
      <c r="F35" s="89"/>
      <c r="G35" s="89"/>
      <c r="H35" s="89"/>
      <c r="I35" s="89"/>
      <c r="J35" s="89"/>
      <c r="K35" s="89"/>
      <c r="L35" s="81"/>
    </row>
    <row r="36" spans="1:12" ht="37.5" customHeight="1" x14ac:dyDescent="0.25">
      <c r="A36" s="84" t="s">
        <v>468</v>
      </c>
      <c r="B36" s="83" t="s">
        <v>450</v>
      </c>
      <c r="C36" s="82"/>
      <c r="D36" s="88"/>
      <c r="E36" s="88"/>
      <c r="F36" s="87"/>
      <c r="G36" s="87"/>
      <c r="H36" s="87"/>
      <c r="I36" s="86"/>
      <c r="J36" s="86"/>
      <c r="K36" s="81"/>
      <c r="L36" s="81"/>
    </row>
    <row r="37" spans="1:12" x14ac:dyDescent="0.25">
      <c r="A37" s="84" t="s">
        <v>469</v>
      </c>
      <c r="B37" s="83" t="s">
        <v>211</v>
      </c>
      <c r="C37" s="82"/>
      <c r="D37" s="88"/>
      <c r="E37" s="88"/>
      <c r="F37" s="87"/>
      <c r="G37" s="87"/>
      <c r="H37" s="87"/>
      <c r="I37" s="86"/>
      <c r="J37" s="86"/>
      <c r="K37" s="81"/>
      <c r="L37" s="81"/>
    </row>
    <row r="38" spans="1:12" x14ac:dyDescent="0.25">
      <c r="A38" s="84" t="s">
        <v>470</v>
      </c>
      <c r="B38" s="85" t="s">
        <v>210</v>
      </c>
      <c r="C38" s="82"/>
      <c r="D38" s="81"/>
      <c r="E38" s="81"/>
      <c r="F38" s="81"/>
      <c r="G38" s="81"/>
      <c r="H38" s="81"/>
      <c r="I38" s="81"/>
      <c r="J38" s="81"/>
      <c r="K38" s="81"/>
      <c r="L38" s="81"/>
    </row>
    <row r="39" spans="1:12" ht="63" x14ac:dyDescent="0.25">
      <c r="A39" s="84">
        <v>2</v>
      </c>
      <c r="B39" s="83" t="s">
        <v>455</v>
      </c>
      <c r="C39" s="85"/>
      <c r="D39" s="81"/>
      <c r="E39" s="81"/>
      <c r="F39" s="81"/>
      <c r="G39" s="81"/>
      <c r="H39" s="81"/>
      <c r="I39" s="81"/>
      <c r="J39" s="81"/>
      <c r="K39" s="81"/>
      <c r="L39" s="81"/>
    </row>
    <row r="40" spans="1:12" ht="33.75" customHeight="1" x14ac:dyDescent="0.25">
      <c r="A40" s="84" t="s">
        <v>209</v>
      </c>
      <c r="B40" s="83" t="s">
        <v>457</v>
      </c>
      <c r="C40" s="82"/>
      <c r="D40" s="81"/>
      <c r="E40" s="81"/>
      <c r="F40" s="81"/>
      <c r="G40" s="81"/>
      <c r="H40" s="81"/>
      <c r="I40" s="81"/>
      <c r="J40" s="81"/>
      <c r="K40" s="81"/>
      <c r="L40" s="81"/>
    </row>
    <row r="41" spans="1:12" ht="63" customHeight="1" x14ac:dyDescent="0.25">
      <c r="A41" s="84" t="s">
        <v>208</v>
      </c>
      <c r="B41" s="85" t="s">
        <v>538</v>
      </c>
      <c r="C41" s="82"/>
      <c r="D41" s="81"/>
      <c r="E41" s="81"/>
      <c r="F41" s="81"/>
      <c r="G41" s="81"/>
      <c r="H41" s="81"/>
      <c r="I41" s="81"/>
      <c r="J41" s="81"/>
      <c r="K41" s="81"/>
      <c r="L41" s="81"/>
    </row>
    <row r="42" spans="1:12" ht="58.5" customHeight="1" x14ac:dyDescent="0.25">
      <c r="A42" s="84">
        <v>3</v>
      </c>
      <c r="B42" s="83" t="s">
        <v>456</v>
      </c>
      <c r="C42" s="85"/>
      <c r="D42" s="81"/>
      <c r="E42" s="81"/>
      <c r="F42" s="81"/>
      <c r="G42" s="81"/>
      <c r="H42" s="81"/>
      <c r="I42" s="81"/>
      <c r="J42" s="81"/>
      <c r="K42" s="81"/>
      <c r="L42" s="81"/>
    </row>
    <row r="43" spans="1:12" ht="34.5" customHeight="1" x14ac:dyDescent="0.25">
      <c r="A43" s="84" t="s">
        <v>207</v>
      </c>
      <c r="B43" s="83" t="s">
        <v>205</v>
      </c>
      <c r="C43" s="82"/>
      <c r="D43" s="81"/>
      <c r="E43" s="81"/>
      <c r="F43" s="81"/>
      <c r="G43" s="81"/>
      <c r="H43" s="81"/>
      <c r="I43" s="81"/>
      <c r="J43" s="81"/>
      <c r="K43" s="81"/>
      <c r="L43" s="81"/>
    </row>
    <row r="44" spans="1:12" ht="24.75" customHeight="1" x14ac:dyDescent="0.25">
      <c r="A44" s="84" t="s">
        <v>206</v>
      </c>
      <c r="B44" s="83" t="s">
        <v>203</v>
      </c>
      <c r="C44" s="82"/>
      <c r="D44" s="81"/>
      <c r="E44" s="81"/>
      <c r="F44" s="81"/>
      <c r="G44" s="81"/>
      <c r="H44" s="81"/>
      <c r="I44" s="81"/>
      <c r="J44" s="81"/>
      <c r="K44" s="81"/>
      <c r="L44" s="81"/>
    </row>
    <row r="45" spans="1:12" ht="90.75" customHeight="1" x14ac:dyDescent="0.25">
      <c r="A45" s="84" t="s">
        <v>204</v>
      </c>
      <c r="B45" s="83" t="s">
        <v>461</v>
      </c>
      <c r="C45" s="82"/>
      <c r="D45" s="81"/>
      <c r="E45" s="81"/>
      <c r="F45" s="81"/>
      <c r="G45" s="81"/>
      <c r="H45" s="81"/>
      <c r="I45" s="81"/>
      <c r="J45" s="81"/>
      <c r="K45" s="81"/>
      <c r="L45" s="81"/>
    </row>
    <row r="46" spans="1:12" ht="167.25" customHeight="1" x14ac:dyDescent="0.25">
      <c r="A46" s="84" t="s">
        <v>202</v>
      </c>
      <c r="B46" s="83" t="s">
        <v>459</v>
      </c>
      <c r="C46" s="82"/>
      <c r="D46" s="81"/>
      <c r="E46" s="81"/>
      <c r="F46" s="81"/>
      <c r="G46" s="81"/>
      <c r="H46" s="81"/>
      <c r="I46" s="81"/>
      <c r="J46" s="81"/>
      <c r="K46" s="81"/>
      <c r="L46" s="81"/>
    </row>
    <row r="47" spans="1:12" ht="30.75" customHeight="1" x14ac:dyDescent="0.25">
      <c r="A47" s="84" t="s">
        <v>200</v>
      </c>
      <c r="B47" s="83" t="s">
        <v>201</v>
      </c>
      <c r="C47" s="82"/>
      <c r="D47" s="81"/>
      <c r="E47" s="81"/>
      <c r="F47" s="81"/>
      <c r="G47" s="81"/>
      <c r="H47" s="81"/>
      <c r="I47" s="81"/>
      <c r="J47" s="81"/>
      <c r="K47" s="81"/>
      <c r="L47" s="81"/>
    </row>
    <row r="48" spans="1:12" ht="37.5" customHeight="1" x14ac:dyDescent="0.25">
      <c r="A48" s="84" t="s">
        <v>471</v>
      </c>
      <c r="B48" s="85" t="s">
        <v>199</v>
      </c>
      <c r="C48" s="82"/>
      <c r="D48" s="81"/>
      <c r="E48" s="81"/>
      <c r="F48" s="81"/>
      <c r="G48" s="81"/>
      <c r="H48" s="81"/>
      <c r="I48" s="81"/>
      <c r="J48" s="81"/>
      <c r="K48" s="81"/>
      <c r="L48" s="81"/>
    </row>
    <row r="49" spans="1:12" ht="35.25" customHeight="1" x14ac:dyDescent="0.25">
      <c r="A49" s="84">
        <v>4</v>
      </c>
      <c r="B49" s="83" t="s">
        <v>197</v>
      </c>
      <c r="C49" s="85"/>
      <c r="D49" s="81"/>
      <c r="E49" s="81"/>
      <c r="F49" s="81"/>
      <c r="G49" s="81"/>
      <c r="H49" s="81"/>
      <c r="I49" s="81"/>
      <c r="J49" s="81"/>
      <c r="K49" s="81"/>
      <c r="L49" s="81"/>
    </row>
    <row r="50" spans="1:12" ht="86.25" customHeight="1" x14ac:dyDescent="0.25">
      <c r="A50" s="84" t="s">
        <v>198</v>
      </c>
      <c r="B50" s="83" t="s">
        <v>460</v>
      </c>
      <c r="C50" s="85"/>
      <c r="D50" s="81"/>
      <c r="E50" s="81"/>
      <c r="F50" s="81"/>
      <c r="G50" s="81"/>
      <c r="H50" s="81"/>
      <c r="I50" s="81"/>
      <c r="J50" s="81"/>
      <c r="K50" s="81"/>
      <c r="L50" s="81"/>
    </row>
    <row r="51" spans="1:12" ht="77.25" customHeight="1" x14ac:dyDescent="0.25">
      <c r="A51" s="84" t="s">
        <v>196</v>
      </c>
      <c r="B51" s="83" t="s">
        <v>462</v>
      </c>
      <c r="C51" s="82"/>
      <c r="D51" s="81"/>
      <c r="E51" s="81"/>
      <c r="F51" s="81"/>
      <c r="G51" s="81"/>
      <c r="H51" s="81"/>
      <c r="I51" s="81"/>
      <c r="J51" s="81"/>
      <c r="K51" s="81"/>
      <c r="L51" s="81"/>
    </row>
    <row r="52" spans="1:12" ht="71.25" customHeight="1" x14ac:dyDescent="0.25">
      <c r="A52" s="84" t="s">
        <v>194</v>
      </c>
      <c r="B52" s="83" t="s">
        <v>195</v>
      </c>
      <c r="C52" s="82"/>
      <c r="D52" s="81"/>
      <c r="E52" s="81"/>
      <c r="F52" s="81"/>
      <c r="G52" s="81"/>
      <c r="H52" s="81"/>
      <c r="I52" s="81"/>
      <c r="J52" s="81"/>
      <c r="K52" s="81"/>
      <c r="L52" s="81"/>
    </row>
    <row r="53" spans="1:12" ht="48" customHeight="1" x14ac:dyDescent="0.25">
      <c r="A53" s="84" t="s">
        <v>192</v>
      </c>
      <c r="B53" s="157" t="s">
        <v>463</v>
      </c>
      <c r="C53" s="82"/>
      <c r="D53" s="81"/>
      <c r="E53" s="81"/>
      <c r="F53" s="81"/>
      <c r="G53" s="81"/>
      <c r="H53" s="81"/>
      <c r="I53" s="81"/>
      <c r="J53" s="81"/>
      <c r="K53" s="81"/>
      <c r="L53" s="81"/>
    </row>
    <row r="54" spans="1:12" ht="46.5" customHeight="1" x14ac:dyDescent="0.25">
      <c r="A54" s="84" t="s">
        <v>464</v>
      </c>
      <c r="B54" s="83" t="s">
        <v>193</v>
      </c>
      <c r="C54" s="82"/>
      <c r="D54" s="81"/>
      <c r="E54" s="81"/>
      <c r="F54" s="81"/>
      <c r="G54" s="81"/>
      <c r="H54" s="81"/>
      <c r="I54" s="81"/>
      <c r="J54" s="81"/>
      <c r="K54" s="81"/>
      <c r="L54" s="8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2016-08-04T13:26:35Z</dcterms:modified>
</cp:coreProperties>
</file>