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minimized="1" xWindow="0" yWindow="0" windowWidth="21570" windowHeight="786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график'!$A$1:$F$48</definedName>
    <definedName name="_xlnm.Print_Area" localSheetId="9">'6.2. Паспорт фин осв ввод'!$A$1:$U$64</definedName>
    <definedName name="_xlnm.Print_Area" localSheetId="11">'8. Общие сведения'!$A$1:$B$142</definedName>
  </definedNames>
  <calcPr calcId="152511"/>
</workbook>
</file>

<file path=xl/calcChain.xml><?xml version="1.0" encoding="utf-8"?>
<calcChain xmlns="http://schemas.openxmlformats.org/spreadsheetml/2006/main">
  <c r="I24" i="15" l="1"/>
  <c r="J24" i="15"/>
  <c r="K24" i="15"/>
  <c r="B21" i="25" l="1"/>
  <c r="A15" i="25"/>
  <c r="A12" i="25"/>
  <c r="A9" i="25"/>
  <c r="A5" i="25"/>
  <c r="B119" i="25" l="1"/>
  <c r="B118" i="25" s="1"/>
  <c r="B117" i="25"/>
  <c r="B116" i="25" s="1"/>
  <c r="B108" i="25"/>
  <c r="B104" i="25"/>
  <c r="B100" i="25"/>
  <c r="B96" i="25"/>
  <c r="B92" i="25"/>
  <c r="B88" i="25"/>
  <c r="B84" i="25"/>
  <c r="B80" i="25"/>
  <c r="B76" i="25"/>
  <c r="B72" i="25"/>
  <c r="B70" i="25"/>
  <c r="B67" i="25"/>
  <c r="B63" i="25"/>
  <c r="B59" i="25"/>
  <c r="B55" i="25"/>
  <c r="B53" i="25"/>
  <c r="B50" i="25"/>
  <c r="B46" i="25"/>
  <c r="B42" i="25"/>
  <c r="B38" i="25"/>
  <c r="B34" i="25"/>
  <c r="B32" i="25"/>
  <c r="B30" i="25" l="1"/>
  <c r="T52" i="15"/>
  <c r="E52" i="15" s="1"/>
  <c r="C52" i="15" s="1"/>
  <c r="B82" i="23" l="1"/>
  <c r="B56" i="23"/>
  <c r="J58" i="23" l="1"/>
  <c r="M58" i="23"/>
  <c r="P58" i="23"/>
  <c r="S58" i="23"/>
  <c r="V58" i="23"/>
  <c r="Y58" i="23"/>
  <c r="AB58" i="23"/>
  <c r="AE58" i="23"/>
  <c r="AH58" i="23"/>
  <c r="AK58" i="23"/>
  <c r="AN58" i="23"/>
  <c r="AQ58" i="23"/>
  <c r="G58"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B83" i="23"/>
  <c r="F59" i="23"/>
  <c r="G59" i="23"/>
  <c r="G57" i="23" s="1"/>
  <c r="H59" i="23"/>
  <c r="I59" i="23"/>
  <c r="J59" i="23"/>
  <c r="K59" i="23"/>
  <c r="L59" i="23"/>
  <c r="M59" i="23"/>
  <c r="N59" i="23"/>
  <c r="O59" i="23"/>
  <c r="P59" i="23"/>
  <c r="Q59" i="23"/>
  <c r="R59" i="23"/>
  <c r="S59" i="23"/>
  <c r="T59" i="23"/>
  <c r="U59" i="23"/>
  <c r="U57" i="23" s="1"/>
  <c r="V59" i="23"/>
  <c r="W59" i="23"/>
  <c r="X59" i="23"/>
  <c r="Y59" i="23"/>
  <c r="Z59" i="23"/>
  <c r="AA59" i="23"/>
  <c r="AB59" i="23"/>
  <c r="AC59" i="23"/>
  <c r="AC57" i="23" s="1"/>
  <c r="AD59" i="23"/>
  <c r="AE59" i="23"/>
  <c r="AF59" i="23"/>
  <c r="AG59" i="23"/>
  <c r="AH59" i="23"/>
  <c r="AI59" i="23"/>
  <c r="AJ59" i="23"/>
  <c r="AK59" i="23"/>
  <c r="AL59" i="23"/>
  <c r="AM59" i="23"/>
  <c r="AN59" i="23"/>
  <c r="AO59" i="23"/>
  <c r="AP59" i="23"/>
  <c r="AQ59" i="23"/>
  <c r="AR59" i="23"/>
  <c r="E59" i="23"/>
  <c r="E57" i="23" s="1"/>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B62" i="23"/>
  <c r="B57" i="23" s="1"/>
  <c r="C56" i="23"/>
  <c r="C78" i="23" s="1"/>
  <c r="D56" i="23"/>
  <c r="D78" i="23" s="1"/>
  <c r="E56" i="23"/>
  <c r="F56" i="23"/>
  <c r="F78" i="23" s="1"/>
  <c r="G56" i="23"/>
  <c r="H56" i="23"/>
  <c r="H78" i="23" s="1"/>
  <c r="I56" i="23"/>
  <c r="J56" i="23"/>
  <c r="K78" i="23" s="1"/>
  <c r="K56" i="23"/>
  <c r="L56" i="23"/>
  <c r="M56" i="23"/>
  <c r="N56" i="23"/>
  <c r="N78" i="23" s="1"/>
  <c r="O56" i="23"/>
  <c r="P56" i="23"/>
  <c r="P78" i="23" s="1"/>
  <c r="Q56" i="23"/>
  <c r="R56" i="23"/>
  <c r="S78" i="23" s="1"/>
  <c r="S56" i="23"/>
  <c r="T56" i="23"/>
  <c r="U56" i="23"/>
  <c r="V56" i="23"/>
  <c r="V78" i="23" s="1"/>
  <c r="W56" i="23"/>
  <c r="X56" i="23"/>
  <c r="X78" i="23" s="1"/>
  <c r="Y56" i="23"/>
  <c r="Z56" i="23"/>
  <c r="AA78" i="23" s="1"/>
  <c r="AA56" i="23"/>
  <c r="AB56" i="23"/>
  <c r="AC56" i="23"/>
  <c r="AD56" i="23"/>
  <c r="AD78" i="23" s="1"/>
  <c r="AE56" i="23"/>
  <c r="AF56" i="23"/>
  <c r="AF78" i="23" s="1"/>
  <c r="AG56" i="23"/>
  <c r="AH56" i="23"/>
  <c r="AI78" i="23" s="1"/>
  <c r="AI56" i="23"/>
  <c r="AJ56" i="23"/>
  <c r="AK56" i="23"/>
  <c r="AL56" i="23"/>
  <c r="AL78" i="23" s="1"/>
  <c r="AM56" i="23"/>
  <c r="AN56" i="23"/>
  <c r="AN78" i="23" s="1"/>
  <c r="AO56" i="23"/>
  <c r="AP56" i="23"/>
  <c r="AQ78" i="23" s="1"/>
  <c r="AQ56" i="23"/>
  <c r="AR56"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B61" i="23"/>
  <c r="M89" i="23"/>
  <c r="N89" i="23" s="1"/>
  <c r="O89" i="23" s="1"/>
  <c r="P89" i="23" s="1"/>
  <c r="Q89" i="23" s="1"/>
  <c r="R89" i="23" s="1"/>
  <c r="S89" i="23" s="1"/>
  <c r="T89" i="23" s="1"/>
  <c r="U89" i="23" s="1"/>
  <c r="V89" i="23" s="1"/>
  <c r="W89" i="23" s="1"/>
  <c r="X89" i="23" s="1"/>
  <c r="Y89" i="23" s="1"/>
  <c r="Z89" i="23" s="1"/>
  <c r="AA89" i="23" s="1"/>
  <c r="AB89" i="23" s="1"/>
  <c r="AC89" i="23" s="1"/>
  <c r="AD89" i="23" s="1"/>
  <c r="AE89" i="23" s="1"/>
  <c r="AF89" i="23" s="1"/>
  <c r="AG89" i="23" s="1"/>
  <c r="AH89" i="23" s="1"/>
  <c r="AI89" i="23" s="1"/>
  <c r="AJ89" i="23" s="1"/>
  <c r="AK89" i="23" s="1"/>
  <c r="AL89" i="23" s="1"/>
  <c r="AM89" i="23" s="1"/>
  <c r="AN89" i="23" s="1"/>
  <c r="AO89" i="23" s="1"/>
  <c r="AP89" i="23" s="1"/>
  <c r="AQ89" i="23" s="1"/>
  <c r="AR89" i="23" s="1"/>
  <c r="E89" i="23"/>
  <c r="F89" i="23" s="1"/>
  <c r="G89" i="23" s="1"/>
  <c r="H89" i="23" s="1"/>
  <c r="I89" i="23" s="1"/>
  <c r="J89" i="23" s="1"/>
  <c r="K89" i="23" s="1"/>
  <c r="L89" i="23" s="1"/>
  <c r="C89" i="23"/>
  <c r="D89" i="23" s="1"/>
  <c r="AS79" i="23"/>
  <c r="AT79" i="23" s="1"/>
  <c r="D74" i="23"/>
  <c r="C74" i="23"/>
  <c r="B74" i="23"/>
  <c r="B72" i="23"/>
  <c r="F65" i="23"/>
  <c r="F74" i="23" s="1"/>
  <c r="E65" i="23"/>
  <c r="E74" i="23" s="1"/>
  <c r="M60" i="23"/>
  <c r="A59" i="23"/>
  <c r="AO57" i="23"/>
  <c r="AG57" i="23"/>
  <c r="Q57" i="23"/>
  <c r="I57" i="23"/>
  <c r="C57" i="23"/>
  <c r="AR78" i="23"/>
  <c r="AP78" i="23"/>
  <c r="AM78" i="23"/>
  <c r="AJ78" i="23"/>
  <c r="AH78" i="23"/>
  <c r="AE78" i="23"/>
  <c r="AB78" i="23"/>
  <c r="Z78" i="23"/>
  <c r="W78" i="23"/>
  <c r="T78" i="23"/>
  <c r="R78" i="23"/>
  <c r="O78" i="23"/>
  <c r="L78" i="23"/>
  <c r="J78" i="23"/>
  <c r="G78" i="23"/>
  <c r="B78" i="23"/>
  <c r="C55" i="23"/>
  <c r="D55" i="23" s="1"/>
  <c r="C54" i="23"/>
  <c r="B51" i="23"/>
  <c r="D49" i="23"/>
  <c r="B49" i="23"/>
  <c r="E46" i="23"/>
  <c r="F46" i="23" s="1"/>
  <c r="G46" i="23" s="1"/>
  <c r="H46" i="23" s="1"/>
  <c r="I46" i="23" s="1"/>
  <c r="J46" i="23" s="1"/>
  <c r="K46" i="23" s="1"/>
  <c r="L46" i="23" s="1"/>
  <c r="M46" i="23" s="1"/>
  <c r="N46" i="23" s="1"/>
  <c r="O46" i="23" s="1"/>
  <c r="P46" i="23" s="1"/>
  <c r="Q46" i="23" s="1"/>
  <c r="R46" i="23" s="1"/>
  <c r="S46" i="23" s="1"/>
  <c r="T46" i="23" s="1"/>
  <c r="U46" i="23" s="1"/>
  <c r="V46" i="23" s="1"/>
  <c r="W46" i="23" s="1"/>
  <c r="X46" i="23" s="1"/>
  <c r="Y46" i="23" s="1"/>
  <c r="Z46" i="23" s="1"/>
  <c r="AA46" i="23" s="1"/>
  <c r="AB46" i="23" s="1"/>
  <c r="AC46" i="23" s="1"/>
  <c r="AD46" i="23" s="1"/>
  <c r="AE46" i="23" s="1"/>
  <c r="AF46" i="23" s="1"/>
  <c r="C46" i="23"/>
  <c r="D46" i="23" s="1"/>
  <c r="AE45" i="23"/>
  <c r="AF45" i="23" s="1"/>
  <c r="AG45" i="23" s="1"/>
  <c r="AH45" i="23" s="1"/>
  <c r="AI45" i="23" s="1"/>
  <c r="AJ45" i="23" s="1"/>
  <c r="AK45" i="23" s="1"/>
  <c r="AL45" i="23" s="1"/>
  <c r="AM45" i="23" s="1"/>
  <c r="AN45" i="23" s="1"/>
  <c r="AO45" i="23" s="1"/>
  <c r="AP45" i="23" s="1"/>
  <c r="AQ45" i="23" s="1"/>
  <c r="AR45" i="23" s="1"/>
  <c r="AC45" i="23"/>
  <c r="AD45" i="23" s="1"/>
  <c r="C44" i="23"/>
  <c r="B44" i="23"/>
  <c r="B43" i="23"/>
  <c r="B42" i="23"/>
  <c r="E78" i="23" l="1"/>
  <c r="Y57" i="23"/>
  <c r="AK57" i="23"/>
  <c r="M57" i="23"/>
  <c r="B80" i="23"/>
  <c r="B52" i="23"/>
  <c r="AQ57" i="23"/>
  <c r="AM57" i="23"/>
  <c r="AI57" i="23"/>
  <c r="AI64" i="23" s="1"/>
  <c r="AE57" i="23"/>
  <c r="AA57" i="23"/>
  <c r="W57" i="23"/>
  <c r="S57" i="23"/>
  <c r="O57" i="23"/>
  <c r="K57" i="23"/>
  <c r="AR57" i="23"/>
  <c r="AP57" i="23"/>
  <c r="AP64" i="23" s="1"/>
  <c r="AN57" i="23"/>
  <c r="AL57" i="23"/>
  <c r="AL64" i="23" s="1"/>
  <c r="AJ57" i="23"/>
  <c r="AH57" i="23"/>
  <c r="AH64" i="23" s="1"/>
  <c r="AF57" i="23"/>
  <c r="AF64" i="23" s="1"/>
  <c r="AD57" i="23"/>
  <c r="AD64" i="23" s="1"/>
  <c r="AB57" i="23"/>
  <c r="Z57" i="23"/>
  <c r="Z64" i="23" s="1"/>
  <c r="X57" i="23"/>
  <c r="V57" i="23"/>
  <c r="V64" i="23" s="1"/>
  <c r="T57" i="23"/>
  <c r="R57" i="23"/>
  <c r="R64" i="23" s="1"/>
  <c r="P57" i="23"/>
  <c r="P64" i="23" s="1"/>
  <c r="N57" i="23"/>
  <c r="N64" i="23" s="1"/>
  <c r="L57" i="23"/>
  <c r="J57" i="23"/>
  <c r="J64" i="23" s="1"/>
  <c r="H57" i="23"/>
  <c r="H64" i="23" s="1"/>
  <c r="F57" i="23"/>
  <c r="E64" i="23"/>
  <c r="E66" i="23" s="1"/>
  <c r="E73" i="23" s="1"/>
  <c r="I64" i="23"/>
  <c r="M64" i="23"/>
  <c r="Q64" i="23"/>
  <c r="U64" i="23"/>
  <c r="Y64" i="23"/>
  <c r="AC64" i="23"/>
  <c r="AG64" i="23"/>
  <c r="AK64" i="23"/>
  <c r="AO64" i="23"/>
  <c r="AG46" i="23"/>
  <c r="AH46" i="23" s="1"/>
  <c r="AI46" i="23" s="1"/>
  <c r="AJ46" i="23" s="1"/>
  <c r="AK46" i="23" s="1"/>
  <c r="AL46" i="23" s="1"/>
  <c r="AM46" i="23" s="1"/>
  <c r="AN46" i="23" s="1"/>
  <c r="AO46" i="23" s="1"/>
  <c r="AP46" i="23" s="1"/>
  <c r="AQ46" i="23" s="1"/>
  <c r="AR46" i="23" s="1"/>
  <c r="B53" i="23"/>
  <c r="B67" i="23" s="1"/>
  <c r="B75" i="23" s="1"/>
  <c r="C50" i="23"/>
  <c r="C71" i="23"/>
  <c r="D54" i="23"/>
  <c r="D71" i="23"/>
  <c r="D72" i="23"/>
  <c r="D44" i="23"/>
  <c r="E55" i="23"/>
  <c r="B64" i="23"/>
  <c r="B66" i="23" s="1"/>
  <c r="D64" i="23"/>
  <c r="D66" i="23" s="1"/>
  <c r="F64" i="23"/>
  <c r="F66" i="23" s="1"/>
  <c r="L64" i="23"/>
  <c r="T64" i="23"/>
  <c r="X64" i="23"/>
  <c r="AB64" i="23"/>
  <c r="AJ64" i="23"/>
  <c r="AN64" i="23"/>
  <c r="AR64" i="23"/>
  <c r="C72" i="23"/>
  <c r="I78" i="23"/>
  <c r="M78" i="23"/>
  <c r="Q78" i="23"/>
  <c r="U78" i="23"/>
  <c r="Y78" i="23"/>
  <c r="AC78" i="23"/>
  <c r="AG78" i="23"/>
  <c r="AK78" i="23"/>
  <c r="AO78" i="23"/>
  <c r="C49" i="23"/>
  <c r="C64" i="23"/>
  <c r="C66" i="23" s="1"/>
  <c r="G64" i="23"/>
  <c r="K64" i="23"/>
  <c r="O64" i="23"/>
  <c r="S64" i="23"/>
  <c r="W64" i="23"/>
  <c r="AA64" i="23"/>
  <c r="AE64" i="23"/>
  <c r="AM64" i="23"/>
  <c r="AQ64" i="23"/>
  <c r="G65" i="23"/>
  <c r="T56" i="15"/>
  <c r="E56" i="15" s="1"/>
  <c r="C56" i="15" s="1"/>
  <c r="T48" i="15"/>
  <c r="E48" i="15" s="1"/>
  <c r="T40" i="15"/>
  <c r="C48" i="15" l="1"/>
  <c r="G74" i="23"/>
  <c r="H65" i="23"/>
  <c r="G66" i="23"/>
  <c r="H66" i="23"/>
  <c r="D73" i="23"/>
  <c r="C73" i="23"/>
  <c r="F73" i="23"/>
  <c r="B73" i="23"/>
  <c r="B68" i="23"/>
  <c r="B69" i="23" s="1"/>
  <c r="E72" i="23"/>
  <c r="F55" i="23"/>
  <c r="E49" i="23"/>
  <c r="E44" i="23"/>
  <c r="E54" i="23"/>
  <c r="C52" i="23"/>
  <c r="T32" i="15"/>
  <c r="T33" i="15"/>
  <c r="T34" i="15"/>
  <c r="T31" i="15"/>
  <c r="E32" i="15"/>
  <c r="E34" i="15"/>
  <c r="E31" i="15"/>
  <c r="C30" i="15"/>
  <c r="H30" i="15"/>
  <c r="T30" i="15" s="1"/>
  <c r="T29" i="15"/>
  <c r="E29" i="15" s="1"/>
  <c r="T28" i="15"/>
  <c r="C28" i="15" s="1"/>
  <c r="P24" i="15"/>
  <c r="L24" i="15"/>
  <c r="H24" i="15"/>
  <c r="A15" i="24"/>
  <c r="A12" i="24"/>
  <c r="A9" i="24"/>
  <c r="A5" i="24"/>
  <c r="B70" i="23" l="1"/>
  <c r="B76" i="23"/>
  <c r="E30" i="15"/>
  <c r="T24" i="15"/>
  <c r="C29" i="15"/>
  <c r="C24" i="15" s="1"/>
  <c r="E28" i="15"/>
  <c r="E24" i="15" s="1"/>
  <c r="C80" i="23"/>
  <c r="C53" i="23"/>
  <c r="C67" i="23" s="1"/>
  <c r="F54" i="23"/>
  <c r="F72" i="23"/>
  <c r="F44" i="23"/>
  <c r="G55" i="23"/>
  <c r="F49" i="23"/>
  <c r="H73" i="23"/>
  <c r="H74" i="23"/>
  <c r="I65" i="23"/>
  <c r="D50" i="23"/>
  <c r="E71" i="23"/>
  <c r="G73" i="23"/>
  <c r="A15" i="23"/>
  <c r="A12" i="23"/>
  <c r="A9" i="23"/>
  <c r="A5" i="23"/>
  <c r="I74" i="23" l="1"/>
  <c r="J65" i="23"/>
  <c r="I66" i="23"/>
  <c r="G71" i="23"/>
  <c r="G54" i="23"/>
  <c r="C75" i="23"/>
  <c r="C68" i="23"/>
  <c r="C69" i="23" s="1"/>
  <c r="E50" i="23"/>
  <c r="D52" i="23"/>
  <c r="H55" i="23"/>
  <c r="G49" i="23"/>
  <c r="G72" i="23"/>
  <c r="G44" i="23"/>
  <c r="F71"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C76" i="23" l="1"/>
  <c r="E52" i="23"/>
  <c r="J74" i="23"/>
  <c r="K65" i="23"/>
  <c r="J66" i="23"/>
  <c r="H72" i="23"/>
  <c r="H44" i="23"/>
  <c r="I55" i="23"/>
  <c r="H49" i="23"/>
  <c r="D80" i="23"/>
  <c r="D53" i="23"/>
  <c r="D67" i="23" s="1"/>
  <c r="C70" i="23"/>
  <c r="H54"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1" i="23" l="1"/>
  <c r="I54" i="23"/>
  <c r="D75" i="23"/>
  <c r="D68" i="23"/>
  <c r="D69" i="23" s="1"/>
  <c r="I72" i="23"/>
  <c r="J55" i="23"/>
  <c r="I49" i="23"/>
  <c r="I44" i="23"/>
  <c r="J73" i="23"/>
  <c r="E80" i="23"/>
  <c r="E53" i="23"/>
  <c r="E67" i="23" s="1"/>
  <c r="H71" i="23"/>
  <c r="K74" i="23"/>
  <c r="L65" i="23"/>
  <c r="K66" i="23"/>
  <c r="F50" i="23"/>
  <c r="E40" i="15"/>
  <c r="C40" i="15"/>
  <c r="D76" i="23" l="1"/>
  <c r="G50" i="23"/>
  <c r="F52" i="23"/>
  <c r="L74" i="23"/>
  <c r="M65" i="23"/>
  <c r="L66" i="23"/>
  <c r="E75" i="23"/>
  <c r="E68" i="23"/>
  <c r="E69" i="23" s="1"/>
  <c r="K73" i="23"/>
  <c r="J72" i="23"/>
  <c r="J44" i="23"/>
  <c r="K55" i="23"/>
  <c r="J49" i="23"/>
  <c r="D70" i="23"/>
  <c r="J54" i="23"/>
  <c r="E76" i="23" l="1"/>
  <c r="K71" i="23"/>
  <c r="K54" i="23"/>
  <c r="E70" i="23"/>
  <c r="L73" i="23"/>
  <c r="G52" i="23"/>
  <c r="J71" i="23"/>
  <c r="L55" i="23"/>
  <c r="K49" i="23"/>
  <c r="K72" i="23"/>
  <c r="K44" i="23"/>
  <c r="M74" i="23"/>
  <c r="N65" i="23"/>
  <c r="M66" i="23"/>
  <c r="F53" i="23"/>
  <c r="F67" i="23" s="1"/>
  <c r="F80" i="23"/>
  <c r="N74" i="23" l="1"/>
  <c r="O65" i="23"/>
  <c r="N66" i="23"/>
  <c r="G80" i="23"/>
  <c r="G53" i="23"/>
  <c r="F75" i="23"/>
  <c r="F68" i="23"/>
  <c r="F69" i="23" s="1"/>
  <c r="F76" i="23" s="1"/>
  <c r="M73" i="23"/>
  <c r="L72" i="23"/>
  <c r="L44" i="23"/>
  <c r="M55" i="23"/>
  <c r="L49" i="23"/>
  <c r="H50" i="23"/>
  <c r="L54" i="23"/>
  <c r="M54" i="23" l="1"/>
  <c r="O74" i="23"/>
  <c r="P65" i="23"/>
  <c r="O66" i="23"/>
  <c r="L71" i="23"/>
  <c r="H52" i="23"/>
  <c r="M72" i="23"/>
  <c r="N55" i="23"/>
  <c r="M49" i="23"/>
  <c r="M44" i="23"/>
  <c r="F70" i="23"/>
  <c r="G67" i="23"/>
  <c r="N73" i="23"/>
  <c r="N72" i="23" l="1"/>
  <c r="N44" i="23"/>
  <c r="O55" i="23"/>
  <c r="N49" i="23"/>
  <c r="H80" i="23"/>
  <c r="H53" i="23"/>
  <c r="O73" i="23"/>
  <c r="N71" i="23"/>
  <c r="N54" i="23"/>
  <c r="G75" i="23"/>
  <c r="G68" i="23"/>
  <c r="G69" i="23" s="1"/>
  <c r="I50" i="23"/>
  <c r="P74" i="23"/>
  <c r="Q65" i="23"/>
  <c r="P66" i="23"/>
  <c r="M71" i="23"/>
  <c r="G76" i="23" l="1"/>
  <c r="P73" i="23"/>
  <c r="Q74" i="23"/>
  <c r="R65" i="23"/>
  <c r="Q66" i="23"/>
  <c r="I52" i="23"/>
  <c r="J50" i="23" s="1"/>
  <c r="O54" i="23"/>
  <c r="H67" i="23"/>
  <c r="P55" i="23"/>
  <c r="O49" i="23"/>
  <c r="O72" i="23"/>
  <c r="O44" i="23"/>
  <c r="G70" i="23" l="1"/>
  <c r="P54" i="23"/>
  <c r="J52" i="23"/>
  <c r="K50" i="23" s="1"/>
  <c r="Q73" i="23"/>
  <c r="P72" i="23"/>
  <c r="P44" i="23"/>
  <c r="Q55" i="23"/>
  <c r="P49" i="23"/>
  <c r="H75" i="23"/>
  <c r="H68" i="23"/>
  <c r="H69" i="23" s="1"/>
  <c r="H76" i="23" s="1"/>
  <c r="O71" i="23"/>
  <c r="I80" i="23"/>
  <c r="I53" i="23"/>
  <c r="R74" i="23"/>
  <c r="S65" i="23"/>
  <c r="R66" i="23"/>
  <c r="R73" i="23" l="1"/>
  <c r="I67" i="23"/>
  <c r="K52" i="23"/>
  <c r="Q71" i="23"/>
  <c r="Q54" i="23"/>
  <c r="S74" i="23"/>
  <c r="T65" i="23"/>
  <c r="S66" i="23"/>
  <c r="Q72" i="23"/>
  <c r="R55" i="23"/>
  <c r="Q49" i="23"/>
  <c r="Q44" i="23"/>
  <c r="J80" i="23"/>
  <c r="J53" i="23"/>
  <c r="P71" i="23"/>
  <c r="H70" i="23" l="1"/>
  <c r="R72" i="23"/>
  <c r="R44" i="23"/>
  <c r="S55" i="23"/>
  <c r="R49" i="23"/>
  <c r="S73" i="23"/>
  <c r="K80" i="23"/>
  <c r="K53" i="23"/>
  <c r="I75" i="23"/>
  <c r="I68" i="23"/>
  <c r="I69" i="23" s="1"/>
  <c r="J67" i="23"/>
  <c r="T74" i="23"/>
  <c r="U65" i="23"/>
  <c r="T66" i="23"/>
  <c r="R71" i="23"/>
  <c r="R54" i="23"/>
  <c r="L50" i="23"/>
  <c r="I76" i="23" l="1"/>
  <c r="L52" i="23"/>
  <c r="U74" i="23"/>
  <c r="V65" i="23"/>
  <c r="U66" i="23"/>
  <c r="S71" i="23"/>
  <c r="S54" i="23"/>
  <c r="T73" i="23"/>
  <c r="J75" i="23"/>
  <c r="J68" i="23"/>
  <c r="J69" i="23" s="1"/>
  <c r="K67" i="23"/>
  <c r="T55" i="23"/>
  <c r="S49" i="23"/>
  <c r="S72" i="23"/>
  <c r="S44" i="23"/>
  <c r="J76" i="23" l="1"/>
  <c r="I70" i="23"/>
  <c r="K75" i="23"/>
  <c r="K68" i="23"/>
  <c r="K69" i="23" s="1"/>
  <c r="V74" i="23"/>
  <c r="W65" i="23"/>
  <c r="V66" i="23"/>
  <c r="L80" i="23"/>
  <c r="L53" i="23"/>
  <c r="T72" i="23"/>
  <c r="T44" i="23"/>
  <c r="U55" i="23"/>
  <c r="T49" i="23"/>
  <c r="T54" i="23"/>
  <c r="T71" i="23"/>
  <c r="U73" i="23"/>
  <c r="M50" i="23"/>
  <c r="K76" i="23" l="1"/>
  <c r="J70" i="23"/>
  <c r="L67" i="23"/>
  <c r="V73" i="23"/>
  <c r="K70" i="23"/>
  <c r="M52" i="23"/>
  <c r="N50" i="23"/>
  <c r="U71" i="23"/>
  <c r="U54" i="23"/>
  <c r="U72" i="23"/>
  <c r="V55" i="23"/>
  <c r="U49" i="23"/>
  <c r="U44" i="23"/>
  <c r="W74" i="23"/>
  <c r="X65" i="23"/>
  <c r="W66" i="23"/>
  <c r="X74" i="23" l="1"/>
  <c r="Y65" i="23"/>
  <c r="X66" i="23"/>
  <c r="N52" i="23"/>
  <c r="O50" i="23" s="1"/>
  <c r="W73" i="23"/>
  <c r="V72" i="23"/>
  <c r="V44" i="23"/>
  <c r="W55" i="23"/>
  <c r="V49" i="23"/>
  <c r="V54" i="23"/>
  <c r="M80" i="23"/>
  <c r="M53" i="23"/>
  <c r="L75" i="23"/>
  <c r="L68" i="23"/>
  <c r="L69" i="23" s="1"/>
  <c r="L76" i="23" l="1"/>
  <c r="M67" i="23"/>
  <c r="W71" i="23"/>
  <c r="W54" i="23"/>
  <c r="X55" i="23"/>
  <c r="W49" i="23"/>
  <c r="W72" i="23"/>
  <c r="W44" i="23"/>
  <c r="O52" i="23"/>
  <c r="Y74" i="23"/>
  <c r="Z65" i="23"/>
  <c r="Y66" i="23"/>
  <c r="V71" i="23"/>
  <c r="N53" i="23"/>
  <c r="N80" i="23"/>
  <c r="X73" i="23"/>
  <c r="L70" i="23" l="1"/>
  <c r="Y73" i="23"/>
  <c r="O80" i="23"/>
  <c r="O53" i="23"/>
  <c r="O67" i="23" s="1"/>
  <c r="X72" i="23"/>
  <c r="X44" i="23"/>
  <c r="Y55" i="23"/>
  <c r="X49" i="23"/>
  <c r="M75" i="23"/>
  <c r="M68" i="23"/>
  <c r="M69" i="23" s="1"/>
  <c r="N67" i="23"/>
  <c r="Z74" i="23"/>
  <c r="AA65" i="23"/>
  <c r="Z66" i="23"/>
  <c r="P50" i="23"/>
  <c r="X54" i="23"/>
  <c r="X71" i="23"/>
  <c r="M76" i="23" l="1"/>
  <c r="P52" i="23"/>
  <c r="AA74" i="23"/>
  <c r="AB65" i="23"/>
  <c r="AA66" i="23"/>
  <c r="N75" i="23"/>
  <c r="N68" i="23"/>
  <c r="N69" i="23" s="1"/>
  <c r="Y72" i="23"/>
  <c r="Z55" i="23"/>
  <c r="Y49" i="23"/>
  <c r="Y44" i="23"/>
  <c r="Y71" i="23"/>
  <c r="Y54" i="23"/>
  <c r="Z73" i="23"/>
  <c r="O75" i="23"/>
  <c r="O68" i="23"/>
  <c r="O69" i="23" s="1"/>
  <c r="N76" i="23" l="1"/>
  <c r="O76" i="23" s="1"/>
  <c r="M70" i="23"/>
  <c r="AB74" i="23"/>
  <c r="AC65" i="23"/>
  <c r="AB66" i="23"/>
  <c r="P80" i="23"/>
  <c r="P53" i="23"/>
  <c r="Z71" i="23"/>
  <c r="Z54" i="23"/>
  <c r="Z72" i="23"/>
  <c r="Z44" i="23"/>
  <c r="AA55" i="23"/>
  <c r="Z49" i="23"/>
  <c r="AA73" i="23"/>
  <c r="Q50" i="23"/>
  <c r="N70" i="23" l="1"/>
  <c r="AB55" i="23"/>
  <c r="AA49" i="23"/>
  <c r="AA72" i="23"/>
  <c r="AA44" i="23"/>
  <c r="P67" i="23"/>
  <c r="AB73" i="23"/>
  <c r="Q52" i="23"/>
  <c r="AA54" i="23"/>
  <c r="AC74" i="23"/>
  <c r="AD65" i="23"/>
  <c r="AC66" i="23"/>
  <c r="O70" i="23"/>
  <c r="AC73" i="23" l="1"/>
  <c r="AB54" i="23"/>
  <c r="Q80" i="23"/>
  <c r="Q53" i="23"/>
  <c r="P75" i="23"/>
  <c r="P68" i="23"/>
  <c r="P69" i="23" s="1"/>
  <c r="P76" i="23" s="1"/>
  <c r="AD74" i="23"/>
  <c r="AE65" i="23"/>
  <c r="AD66" i="23"/>
  <c r="AA71" i="23"/>
  <c r="R50" i="23"/>
  <c r="AB72" i="23"/>
  <c r="AB44" i="23"/>
  <c r="AC55" i="23"/>
  <c r="AB49" i="23"/>
  <c r="AC72" i="23" l="1"/>
  <c r="AD55" i="23"/>
  <c r="AC49" i="23"/>
  <c r="AC44" i="23"/>
  <c r="R52" i="23"/>
  <c r="AD73" i="23"/>
  <c r="AC54" i="23"/>
  <c r="AE74" i="23"/>
  <c r="AF65" i="23"/>
  <c r="AE66" i="23"/>
  <c r="Q67" i="23"/>
  <c r="AB71" i="23"/>
  <c r="Q75" i="23" l="1"/>
  <c r="Q68" i="23"/>
  <c r="Q69" i="23" s="1"/>
  <c r="Q76" i="23" s="1"/>
  <c r="AF74" i="23"/>
  <c r="AG65" i="23"/>
  <c r="AF66" i="23"/>
  <c r="AD71" i="23"/>
  <c r="AD54" i="23"/>
  <c r="R80" i="23"/>
  <c r="R53" i="23"/>
  <c r="P70" i="23"/>
  <c r="AE73" i="23"/>
  <c r="AC71" i="23"/>
  <c r="S50" i="23"/>
  <c r="AD72" i="23"/>
  <c r="AD44" i="23"/>
  <c r="AE55" i="23"/>
  <c r="AD49" i="23"/>
  <c r="AF55" i="23" l="1"/>
  <c r="AE49" i="23"/>
  <c r="AE72" i="23"/>
  <c r="AE44" i="23"/>
  <c r="AG74" i="23"/>
  <c r="AH65" i="23"/>
  <c r="AG66" i="23"/>
  <c r="S52" i="23"/>
  <c r="T50" i="23"/>
  <c r="R67" i="23"/>
  <c r="AE54" i="23"/>
  <c r="AF73" i="23"/>
  <c r="Q70" i="23" l="1"/>
  <c r="AF54" i="23"/>
  <c r="U50" i="23"/>
  <c r="T52" i="23"/>
  <c r="AH74" i="23"/>
  <c r="AI65" i="23"/>
  <c r="AH66" i="23"/>
  <c r="AF72" i="23"/>
  <c r="AF44" i="23"/>
  <c r="AG55" i="23"/>
  <c r="AF49" i="23"/>
  <c r="AE71" i="23"/>
  <c r="R75" i="23"/>
  <c r="R68" i="23"/>
  <c r="R69" i="23" s="1"/>
  <c r="R76" i="23" s="1"/>
  <c r="S80" i="23"/>
  <c r="S53" i="23"/>
  <c r="AG73" i="23"/>
  <c r="AH73" i="23" l="1"/>
  <c r="U52" i="23"/>
  <c r="V50" i="23" s="1"/>
  <c r="AG54" i="23"/>
  <c r="S67" i="23"/>
  <c r="AG72" i="23"/>
  <c r="AH55" i="23"/>
  <c r="AG49" i="23"/>
  <c r="AG44" i="23"/>
  <c r="AI74" i="23"/>
  <c r="AJ65" i="23"/>
  <c r="AI66" i="23"/>
  <c r="T80" i="23"/>
  <c r="T53" i="23"/>
  <c r="AF71" i="23"/>
  <c r="T67" i="23" l="1"/>
  <c r="AI73" i="23"/>
  <c r="AH72" i="23"/>
  <c r="AH44" i="23"/>
  <c r="AI55" i="23"/>
  <c r="AH49" i="23"/>
  <c r="S75" i="23"/>
  <c r="S68" i="23"/>
  <c r="S69" i="23" s="1"/>
  <c r="S76" i="23" s="1"/>
  <c r="AH71" i="23"/>
  <c r="AH54" i="23"/>
  <c r="V52" i="23"/>
  <c r="W50" i="23" s="1"/>
  <c r="AJ74" i="23"/>
  <c r="AK65" i="23"/>
  <c r="AJ66" i="23"/>
  <c r="R70" i="23"/>
  <c r="AG71" i="23"/>
  <c r="U80" i="23"/>
  <c r="U53" i="23"/>
  <c r="AK74" i="23" l="1"/>
  <c r="AL65" i="23"/>
  <c r="AK66" i="23"/>
  <c r="W52" i="23"/>
  <c r="X50" i="23" s="1"/>
  <c r="U67" i="23"/>
  <c r="AJ73" i="23"/>
  <c r="V53" i="23"/>
  <c r="V80" i="23"/>
  <c r="AI54" i="23"/>
  <c r="AJ55" i="23"/>
  <c r="AI49" i="23"/>
  <c r="AI72" i="23"/>
  <c r="AI44" i="23"/>
  <c r="T75" i="23"/>
  <c r="T68" i="23"/>
  <c r="T69" i="23" s="1"/>
  <c r="T76" i="23" s="1"/>
  <c r="AJ72" i="23" l="1"/>
  <c r="AJ44" i="23"/>
  <c r="AK55" i="23"/>
  <c r="AJ49" i="23"/>
  <c r="AJ54" i="23"/>
  <c r="AJ71" i="23"/>
  <c r="U75" i="23"/>
  <c r="U68" i="23"/>
  <c r="U69" i="23" s="1"/>
  <c r="U76" i="23" s="1"/>
  <c r="X52" i="23"/>
  <c r="AK73" i="23"/>
  <c r="S70" i="23"/>
  <c r="AI71" i="23"/>
  <c r="V67" i="23"/>
  <c r="W80" i="23"/>
  <c r="W53" i="23"/>
  <c r="AL74" i="23"/>
  <c r="AM65" i="23"/>
  <c r="AL66" i="23"/>
  <c r="AL73" i="23" l="1"/>
  <c r="V75" i="23"/>
  <c r="V68" i="23"/>
  <c r="V69" i="23" s="1"/>
  <c r="V76" i="23" s="1"/>
  <c r="X80" i="23"/>
  <c r="X53" i="23"/>
  <c r="AK72" i="23"/>
  <c r="AL55" i="23"/>
  <c r="AK49" i="23"/>
  <c r="AK44" i="23"/>
  <c r="AM74" i="23"/>
  <c r="AN65" i="23"/>
  <c r="AM66" i="23"/>
  <c r="W67" i="23"/>
  <c r="T70" i="23"/>
  <c r="Y50" i="23"/>
  <c r="AK54" i="23"/>
  <c r="U70" i="23" l="1"/>
  <c r="AL54" i="23"/>
  <c r="W75" i="23"/>
  <c r="W68" i="23"/>
  <c r="W69" i="23" s="1"/>
  <c r="W76" i="23" s="1"/>
  <c r="AM73" i="23"/>
  <c r="AK71" i="23"/>
  <c r="Y52" i="23"/>
  <c r="Z50" i="23" s="1"/>
  <c r="AN74" i="23"/>
  <c r="AO65" i="23"/>
  <c r="AN66" i="23"/>
  <c r="AL72" i="23"/>
  <c r="AL44" i="23"/>
  <c r="AM55" i="23"/>
  <c r="AL49" i="23"/>
  <c r="X67" i="23"/>
  <c r="V70" i="23" l="1"/>
  <c r="AN55" i="23"/>
  <c r="AM49" i="23"/>
  <c r="AM72" i="23"/>
  <c r="AM44" i="23"/>
  <c r="AO74" i="23"/>
  <c r="AP65" i="23"/>
  <c r="AO66" i="23"/>
  <c r="Z52" i="23"/>
  <c r="AA50" i="23" s="1"/>
  <c r="AM54" i="23"/>
  <c r="X75" i="23"/>
  <c r="X68" i="23"/>
  <c r="X69" i="23" s="1"/>
  <c r="X76" i="23" s="1"/>
  <c r="AN73" i="23"/>
  <c r="Y80" i="23"/>
  <c r="Y53" i="23"/>
  <c r="AL71" i="23"/>
  <c r="Y67" i="23" l="1"/>
  <c r="AN54" i="23"/>
  <c r="AA52" i="23"/>
  <c r="AP74" i="23"/>
  <c r="AQ65" i="23"/>
  <c r="AP66" i="23"/>
  <c r="AN72" i="23"/>
  <c r="AN44" i="23"/>
  <c r="AO55" i="23"/>
  <c r="AN49" i="23"/>
  <c r="AM71" i="23"/>
  <c r="W70" i="23"/>
  <c r="Z80" i="23"/>
  <c r="Z53" i="23"/>
  <c r="AO73" i="23"/>
  <c r="AP73" i="23" l="1"/>
  <c r="AA80" i="23"/>
  <c r="AA53" i="23"/>
  <c r="AO71" i="23"/>
  <c r="AO54" i="23"/>
  <c r="Y75" i="23"/>
  <c r="Y68" i="23"/>
  <c r="Y69" i="23" s="1"/>
  <c r="Y76" i="23" s="1"/>
  <c r="Z67" i="23"/>
  <c r="AO72" i="23"/>
  <c r="AP55" i="23"/>
  <c r="AO49" i="23"/>
  <c r="AO44" i="23"/>
  <c r="AQ74" i="23"/>
  <c r="AR65" i="23"/>
  <c r="AQ66" i="23"/>
  <c r="AB50" i="23"/>
  <c r="AN71" i="23"/>
  <c r="X70" i="23"/>
  <c r="AQ73" i="23" l="1"/>
  <c r="AP72" i="23"/>
  <c r="AP44" i="23"/>
  <c r="AQ55" i="23"/>
  <c r="AP49" i="23"/>
  <c r="AA67" i="23"/>
  <c r="AB52" i="23"/>
  <c r="AR74" i="23"/>
  <c r="AR66" i="23"/>
  <c r="AS65" i="23"/>
  <c r="AT65" i="23" s="1"/>
  <c r="Z75" i="23"/>
  <c r="Z68" i="23"/>
  <c r="Z69" i="23" s="1"/>
  <c r="Z76" i="23" s="1"/>
  <c r="AP71" i="23"/>
  <c r="AP54" i="23"/>
  <c r="Y70" i="23" l="1"/>
  <c r="AR73" i="23"/>
  <c r="AB80" i="23"/>
  <c r="AB53" i="23"/>
  <c r="AQ54" i="23"/>
  <c r="AC50" i="23"/>
  <c r="AA75" i="23"/>
  <c r="AA68" i="23"/>
  <c r="AA69" i="23" s="1"/>
  <c r="AA76" i="23" s="1"/>
  <c r="AR55" i="23"/>
  <c r="AQ49" i="23"/>
  <c r="AQ72" i="23"/>
  <c r="AQ44" i="23"/>
  <c r="Z70" i="23" l="1"/>
  <c r="AR54" i="23"/>
  <c r="AR71" i="23" s="1"/>
  <c r="AB67" i="23"/>
  <c r="AR72" i="23"/>
  <c r="AR44" i="23"/>
  <c r="AR49" i="23"/>
  <c r="AC52" i="23"/>
  <c r="AQ71" i="23"/>
  <c r="AA70" i="23" l="1"/>
  <c r="AC80" i="23"/>
  <c r="AC53" i="23"/>
  <c r="AB75" i="23"/>
  <c r="AB68" i="23"/>
  <c r="AB69" i="23" s="1"/>
  <c r="AB76" i="23" s="1"/>
  <c r="AD50" i="23"/>
  <c r="AD52" i="23" l="1"/>
  <c r="AC67" i="23"/>
  <c r="AD53" i="23" l="1"/>
  <c r="AD80" i="23"/>
  <c r="AC75" i="23"/>
  <c r="AC68" i="23"/>
  <c r="AC69" i="23" s="1"/>
  <c r="AC76" i="23" s="1"/>
  <c r="AE50" i="23"/>
  <c r="AB70" i="23"/>
  <c r="AD67" i="23" l="1"/>
  <c r="AE52" i="23"/>
  <c r="AC70" i="23" l="1"/>
  <c r="AE80" i="23"/>
  <c r="AE53" i="23"/>
  <c r="AD75" i="23"/>
  <c r="AD68" i="23"/>
  <c r="AD69" i="23" s="1"/>
  <c r="AD76" i="23" s="1"/>
  <c r="AF50" i="23"/>
  <c r="AF52" i="23" l="1"/>
  <c r="AG50" i="23" s="1"/>
  <c r="AE67" i="23"/>
  <c r="AE75" i="23" l="1"/>
  <c r="AE68" i="23"/>
  <c r="AE69" i="23" s="1"/>
  <c r="AE76" i="23" s="1"/>
  <c r="AG52" i="23"/>
  <c r="AD70" i="23"/>
  <c r="AF80" i="23"/>
  <c r="AF53" i="23"/>
  <c r="AF67" i="23" l="1"/>
  <c r="AG80" i="23"/>
  <c r="AG53" i="23"/>
  <c r="AH50" i="23"/>
  <c r="AH52" i="23" l="1"/>
  <c r="AI50" i="23" s="1"/>
  <c r="AF75" i="23"/>
  <c r="AF68" i="23"/>
  <c r="AF69" i="23" s="1"/>
  <c r="AF76" i="23" s="1"/>
  <c r="AE70" i="23"/>
  <c r="AG67" i="23"/>
  <c r="AI52" i="23" l="1"/>
  <c r="AG75" i="23"/>
  <c r="AG68" i="23"/>
  <c r="AG69" i="23" s="1"/>
  <c r="AG76" i="23" s="1"/>
  <c r="AH80" i="23"/>
  <c r="AH53" i="23"/>
  <c r="AI80" i="23" l="1"/>
  <c r="AI53" i="23"/>
  <c r="AH67" i="23"/>
  <c r="AF70" i="23"/>
  <c r="AJ50" i="23"/>
  <c r="AH75" i="23" l="1"/>
  <c r="AH68" i="23"/>
  <c r="AH69" i="23" s="1"/>
  <c r="AH76" i="23" s="1"/>
  <c r="AJ52" i="23"/>
  <c r="AK50" i="23" s="1"/>
  <c r="AG70" i="23"/>
  <c r="AI67" i="23"/>
  <c r="AK52" i="23" l="1"/>
  <c r="AI75" i="23"/>
  <c r="AI68" i="23"/>
  <c r="AI69" i="23" s="1"/>
  <c r="AI76" i="23" s="1"/>
  <c r="AJ80" i="23"/>
  <c r="AJ53" i="23"/>
  <c r="AK80" i="23" l="1"/>
  <c r="AK53" i="23"/>
  <c r="AH70" i="23"/>
  <c r="AJ67" i="23"/>
  <c r="AL50" i="23"/>
  <c r="AL52" i="23" l="1"/>
  <c r="AM50" i="23" s="1"/>
  <c r="AI70" i="23"/>
  <c r="AJ75" i="23"/>
  <c r="AJ68" i="23"/>
  <c r="AJ69" i="23" s="1"/>
  <c r="AJ76" i="23" s="1"/>
  <c r="AK67" i="23"/>
  <c r="AM52" i="23" l="1"/>
  <c r="AK75" i="23"/>
  <c r="AK68" i="23"/>
  <c r="AK69" i="23" s="1"/>
  <c r="AK76" i="23" s="1"/>
  <c r="AL53" i="23"/>
  <c r="AL80" i="23"/>
  <c r="AL67" i="23" l="1"/>
  <c r="AM80" i="23"/>
  <c r="AM53" i="23"/>
  <c r="AN50" i="23"/>
  <c r="AJ70" i="23"/>
  <c r="AK70" i="23" l="1"/>
  <c r="AN52" i="23"/>
  <c r="AO50" i="23" s="1"/>
  <c r="AL75" i="23"/>
  <c r="AL68" i="23"/>
  <c r="AL69" i="23" s="1"/>
  <c r="AL76" i="23" s="1"/>
  <c r="AM67" i="23"/>
  <c r="AM75" i="23" l="1"/>
  <c r="AM68" i="23"/>
  <c r="AM69" i="23" s="1"/>
  <c r="AM76" i="23" s="1"/>
  <c r="AO52" i="23"/>
  <c r="AN80" i="23"/>
  <c r="AN53" i="23"/>
  <c r="AL70" i="23" l="1"/>
  <c r="AN67" i="23"/>
  <c r="AO80" i="23"/>
  <c r="AO53" i="23"/>
  <c r="AP50" i="23"/>
  <c r="AP52" i="23" l="1"/>
  <c r="AQ50" i="23" s="1"/>
  <c r="AN75" i="23"/>
  <c r="AN68" i="23"/>
  <c r="AN69" i="23" s="1"/>
  <c r="AN76" i="23" s="1"/>
  <c r="AM70" i="23"/>
  <c r="AO67" i="23"/>
  <c r="AQ52" i="23" l="1"/>
  <c r="AO75" i="23"/>
  <c r="AO68" i="23"/>
  <c r="AO69" i="23" s="1"/>
  <c r="AO76" i="23" s="1"/>
  <c r="AP80" i="23"/>
  <c r="AP53" i="23"/>
  <c r="AQ80" i="23" l="1"/>
  <c r="AQ53" i="23"/>
  <c r="AP67" i="23"/>
  <c r="AN70" i="23"/>
  <c r="AR50" i="23"/>
  <c r="AR52" i="23" s="1"/>
  <c r="AP75" i="23" l="1"/>
  <c r="AP68" i="23"/>
  <c r="AP69" i="23" s="1"/>
  <c r="AP76" i="23" s="1"/>
  <c r="AR80" i="23"/>
  <c r="AR53" i="23"/>
  <c r="AO70" i="23"/>
  <c r="AQ67" i="23"/>
  <c r="AQ75" i="23" l="1"/>
  <c r="AQ68" i="23"/>
  <c r="AQ69" i="23" s="1"/>
  <c r="AQ76" i="23" s="1"/>
  <c r="AR67" i="23"/>
  <c r="AR75" i="23" l="1"/>
  <c r="AR68" i="23"/>
  <c r="AR69" i="23" s="1"/>
  <c r="AR76" i="23" s="1"/>
  <c r="AP70" i="23"/>
  <c r="AQ70" i="23" l="1"/>
  <c r="AR70" i="23" l="1"/>
  <c r="B77" i="23"/>
  <c r="B81" i="23"/>
  <c r="B84" i="23" l="1"/>
  <c r="B87" i="23"/>
  <c r="B86" i="23"/>
  <c r="C77" i="23"/>
  <c r="C81" i="23" l="1"/>
  <c r="D77" i="23"/>
  <c r="B85" i="23"/>
  <c r="B88" i="23" s="1"/>
  <c r="D81" i="23" l="1"/>
  <c r="C84" i="23"/>
  <c r="D82" i="23"/>
  <c r="C82" i="23"/>
  <c r="C87" i="23" s="1"/>
  <c r="C86" i="23"/>
  <c r="E77" i="23"/>
  <c r="D87" i="23" l="1"/>
  <c r="D84" i="23"/>
  <c r="D86" i="23"/>
  <c r="E81" i="23"/>
  <c r="E82" i="23"/>
  <c r="E87" i="23" s="1"/>
  <c r="C85" i="23"/>
  <c r="C88" i="23" s="1"/>
  <c r="F77" i="23"/>
  <c r="F81" i="23" l="1"/>
  <c r="E84" i="23"/>
  <c r="E86" i="23"/>
  <c r="D85" i="23"/>
  <c r="D88" i="23" s="1"/>
  <c r="F82" i="23"/>
  <c r="F87" i="23" s="1"/>
  <c r="F86" i="23"/>
  <c r="G77" i="23"/>
  <c r="G81" i="23" l="1"/>
  <c r="H77" i="23"/>
  <c r="H81" i="23" s="1"/>
  <c r="H84" i="23" s="1"/>
  <c r="H86" i="23"/>
  <c r="E85" i="23"/>
  <c r="E88" i="23" s="1"/>
  <c r="F84" i="23"/>
  <c r="F85" i="23" l="1"/>
  <c r="F88" i="23" s="1"/>
  <c r="I77" i="23"/>
  <c r="G84" i="23"/>
  <c r="G85" i="23" s="1"/>
  <c r="G88" i="23" s="1"/>
  <c r="G86" i="23"/>
  <c r="H82" i="23"/>
  <c r="H87" i="23" s="1"/>
  <c r="G82" i="23"/>
  <c r="G87" i="23" s="1"/>
  <c r="I81" i="23" l="1"/>
  <c r="J77" i="23"/>
  <c r="J81" i="23" s="1"/>
  <c r="K77" i="23"/>
  <c r="K81" i="23" s="1"/>
  <c r="L77" i="23"/>
  <c r="L81" i="23" s="1"/>
  <c r="H85" i="23"/>
  <c r="H88" i="23" s="1"/>
  <c r="L84" i="23" l="1"/>
  <c r="L86" i="23"/>
  <c r="K84" i="23"/>
  <c r="K86" i="23"/>
  <c r="J84" i="23"/>
  <c r="J86" i="23"/>
  <c r="M77" i="23"/>
  <c r="I84" i="23"/>
  <c r="I85" i="23" s="1"/>
  <c r="I88" i="23" s="1"/>
  <c r="K82" i="23"/>
  <c r="I86" i="23"/>
  <c r="L82" i="23"/>
  <c r="J82" i="23"/>
  <c r="J87" i="23" s="1"/>
  <c r="I82" i="23"/>
  <c r="I87" i="23" s="1"/>
  <c r="K87" i="23" l="1"/>
  <c r="L87" i="23"/>
  <c r="M81" i="23"/>
  <c r="N77" i="23"/>
  <c r="J85" i="23"/>
  <c r="J88" i="23" s="1"/>
  <c r="K85" i="23"/>
  <c r="K88" i="23" s="1"/>
  <c r="L85" i="23"/>
  <c r="N81" i="23" l="1"/>
  <c r="O77" i="23"/>
  <c r="L88" i="23"/>
  <c r="M84" i="23"/>
  <c r="M85" i="23" s="1"/>
  <c r="M88" i="23" s="1"/>
  <c r="M86" i="23"/>
  <c r="M82" i="23"/>
  <c r="M87" i="23" s="1"/>
  <c r="O81" i="23" l="1"/>
  <c r="P77" i="23"/>
  <c r="N84" i="23"/>
  <c r="N85" i="23" s="1"/>
  <c r="N88" i="23" s="1"/>
  <c r="N86" i="23"/>
  <c r="N82" i="23"/>
  <c r="N87" i="23" s="1"/>
  <c r="P81" i="23" l="1"/>
  <c r="Q77" i="23"/>
  <c r="O84" i="23"/>
  <c r="O85" i="23" s="1"/>
  <c r="O88" i="23" s="1"/>
  <c r="O86" i="23"/>
  <c r="O82" i="23"/>
  <c r="O87" i="23" s="1"/>
  <c r="Q81" i="23" l="1"/>
  <c r="R77" i="23"/>
  <c r="P84" i="23"/>
  <c r="P85" i="23" s="1"/>
  <c r="P88" i="23" s="1"/>
  <c r="P86" i="23"/>
  <c r="P82" i="23"/>
  <c r="P87" i="23" s="1"/>
  <c r="R81" i="23" l="1"/>
  <c r="S77" i="23"/>
  <c r="Q84" i="23"/>
  <c r="Q85" i="23" s="1"/>
  <c r="Q88" i="23" s="1"/>
  <c r="Q86" i="23"/>
  <c r="Q82" i="23"/>
  <c r="Q87" i="23" s="1"/>
  <c r="S81" i="23" l="1"/>
  <c r="T77" i="23"/>
  <c r="R84" i="23"/>
  <c r="R85" i="23" s="1"/>
  <c r="R88" i="23" s="1"/>
  <c r="R86" i="23"/>
  <c r="R82" i="23"/>
  <c r="R87" i="23" s="1"/>
  <c r="T81" i="23" l="1"/>
  <c r="U77" i="23"/>
  <c r="S84" i="23"/>
  <c r="S85" i="23" s="1"/>
  <c r="S88" i="23" s="1"/>
  <c r="S86" i="23"/>
  <c r="S82" i="23"/>
  <c r="S87" i="23" s="1"/>
  <c r="U81" i="23" l="1"/>
  <c r="V77" i="23"/>
  <c r="T84" i="23"/>
  <c r="T85" i="23" s="1"/>
  <c r="T88" i="23" s="1"/>
  <c r="T86" i="23"/>
  <c r="T82" i="23"/>
  <c r="T87" i="23" s="1"/>
  <c r="V81" i="23" l="1"/>
  <c r="W77" i="23"/>
  <c r="U84" i="23"/>
  <c r="U85" i="23" s="1"/>
  <c r="U88" i="23" s="1"/>
  <c r="U86" i="23"/>
  <c r="U82" i="23"/>
  <c r="U87" i="23" s="1"/>
  <c r="W81" i="23" l="1"/>
  <c r="X77" i="23"/>
  <c r="V84" i="23"/>
  <c r="V85" i="23" s="1"/>
  <c r="V88" i="23" s="1"/>
  <c r="V86" i="23"/>
  <c r="V82" i="23"/>
  <c r="V87" i="23" s="1"/>
  <c r="X81" i="23" l="1"/>
  <c r="Y77" i="23"/>
  <c r="W84" i="23"/>
  <c r="W85" i="23" s="1"/>
  <c r="W88" i="23" s="1"/>
  <c r="W86" i="23"/>
  <c r="W82" i="23"/>
  <c r="W87" i="23" s="1"/>
  <c r="Y81" i="23" l="1"/>
  <c r="Z77" i="23"/>
  <c r="X84" i="23"/>
  <c r="X85" i="23" s="1"/>
  <c r="X88" i="23" s="1"/>
  <c r="X86" i="23"/>
  <c r="X82" i="23"/>
  <c r="X87" i="23" s="1"/>
  <c r="Z81" i="23" l="1"/>
  <c r="AA77" i="23"/>
  <c r="Y84" i="23"/>
  <c r="Y85" i="23" s="1"/>
  <c r="Y88" i="23" s="1"/>
  <c r="Y86" i="23"/>
  <c r="Y82" i="23"/>
  <c r="Y87" i="23" s="1"/>
  <c r="AA81" i="23" l="1"/>
  <c r="AB77" i="23"/>
  <c r="Z84" i="23"/>
  <c r="Z85" i="23" s="1"/>
  <c r="Z88" i="23" s="1"/>
  <c r="Z86" i="23"/>
  <c r="Z82" i="23"/>
  <c r="Z87" i="23" s="1"/>
  <c r="AB81" i="23" l="1"/>
  <c r="AC77" i="23"/>
  <c r="AA84" i="23"/>
  <c r="AA85" i="23" s="1"/>
  <c r="AA88" i="23" s="1"/>
  <c r="AA86" i="23"/>
  <c r="AA82" i="23"/>
  <c r="AA87" i="23" s="1"/>
  <c r="AC81" i="23" l="1"/>
  <c r="AD77" i="23"/>
  <c r="AB84" i="23"/>
  <c r="AB85" i="23" s="1"/>
  <c r="AB88" i="23" s="1"/>
  <c r="AB86" i="23"/>
  <c r="AB82" i="23"/>
  <c r="AB87" i="23" s="1"/>
  <c r="AD81" i="23" l="1"/>
  <c r="AE77" i="23"/>
  <c r="AC84" i="23"/>
  <c r="AC85" i="23" s="1"/>
  <c r="AC88" i="23" s="1"/>
  <c r="AC86" i="23"/>
  <c r="AC82" i="23"/>
  <c r="AC87" i="23" s="1"/>
  <c r="AE81" i="23" l="1"/>
  <c r="AF77" i="23"/>
  <c r="AD84" i="23"/>
  <c r="AD85" i="23" s="1"/>
  <c r="AD88" i="23" s="1"/>
  <c r="AD86" i="23"/>
  <c r="AD82" i="23"/>
  <c r="AD87" i="23" s="1"/>
  <c r="AF81" i="23" l="1"/>
  <c r="AG77" i="23"/>
  <c r="AE84" i="23"/>
  <c r="AE85" i="23" s="1"/>
  <c r="AE88" i="23" s="1"/>
  <c r="AE86" i="23"/>
  <c r="AE82" i="23"/>
  <c r="AE87" i="23" s="1"/>
  <c r="AF84" i="23" l="1"/>
  <c r="AF85" i="23" s="1"/>
  <c r="AF88" i="23" s="1"/>
  <c r="AF86" i="23"/>
  <c r="AF82" i="23"/>
  <c r="AF87" i="23" s="1"/>
  <c r="AG81" i="23"/>
  <c r="AH77" i="23"/>
  <c r="AG84" i="23" l="1"/>
  <c r="AG85" i="23" s="1"/>
  <c r="AG88" i="23" s="1"/>
  <c r="AG86" i="23"/>
  <c r="AG82" i="23"/>
  <c r="AG87" i="23" s="1"/>
  <c r="AH81" i="23"/>
  <c r="AI77" i="23"/>
  <c r="AH84" i="23" l="1"/>
  <c r="AH85" i="23" s="1"/>
  <c r="AH88" i="23" s="1"/>
  <c r="AH86" i="23"/>
  <c r="AH82" i="23"/>
  <c r="AH87" i="23" s="1"/>
  <c r="AI81" i="23"/>
  <c r="AJ77" i="23"/>
  <c r="AI84" i="23" l="1"/>
  <c r="AI85" i="23" s="1"/>
  <c r="AI88" i="23" s="1"/>
  <c r="AI86" i="23"/>
  <c r="AI82" i="23"/>
  <c r="AI87" i="23" s="1"/>
  <c r="AJ81" i="23"/>
  <c r="AK77" i="23"/>
  <c r="AJ84" i="23" l="1"/>
  <c r="AJ85" i="23" s="1"/>
  <c r="AJ88" i="23" s="1"/>
  <c r="AJ86" i="23"/>
  <c r="AJ82" i="23"/>
  <c r="AJ87" i="23" s="1"/>
  <c r="AK81" i="23"/>
  <c r="AL77" i="23"/>
  <c r="AK84" i="23" l="1"/>
  <c r="AK85" i="23" s="1"/>
  <c r="AK88" i="23" s="1"/>
  <c r="AK86" i="23"/>
  <c r="AK82" i="23"/>
  <c r="AK87" i="23" s="1"/>
  <c r="AL81" i="23"/>
  <c r="AM77" i="23"/>
  <c r="AL84" i="23" l="1"/>
  <c r="AL85" i="23" s="1"/>
  <c r="AL88" i="23" s="1"/>
  <c r="AL86" i="23"/>
  <c r="AL82" i="23"/>
  <c r="AL87" i="23" s="1"/>
  <c r="AM81" i="23"/>
  <c r="AN77" i="23"/>
  <c r="AM84" i="23" l="1"/>
  <c r="AM85" i="23" s="1"/>
  <c r="AM88" i="23" s="1"/>
  <c r="AM86" i="23"/>
  <c r="AM82" i="23"/>
  <c r="AM87" i="23" s="1"/>
  <c r="AN81" i="23"/>
  <c r="AO77" i="23"/>
  <c r="AN84" i="23" l="1"/>
  <c r="AN85" i="23" s="1"/>
  <c r="AN88" i="23" s="1"/>
  <c r="AN86" i="23"/>
  <c r="AN82" i="23"/>
  <c r="AN87" i="23" s="1"/>
  <c r="AO81" i="23"/>
  <c r="AP77" i="23"/>
  <c r="AO84" i="23" l="1"/>
  <c r="AO85" i="23" s="1"/>
  <c r="AO88" i="23" s="1"/>
  <c r="AO86" i="23"/>
  <c r="AO82" i="23"/>
  <c r="AO87" i="23" s="1"/>
  <c r="AP81" i="23"/>
  <c r="AQ77" i="23"/>
  <c r="AP84" i="23" l="1"/>
  <c r="AP85" i="23" s="1"/>
  <c r="AP88" i="23" s="1"/>
  <c r="AP86" i="23"/>
  <c r="AP82" i="23"/>
  <c r="AP87" i="23" s="1"/>
  <c r="AQ81" i="23"/>
  <c r="AR77" i="23"/>
  <c r="AR81" i="23" s="1"/>
  <c r="AQ84" i="23" l="1"/>
  <c r="AQ85" i="23" s="1"/>
  <c r="AQ88" i="23" s="1"/>
  <c r="AQ86" i="23"/>
  <c r="AQ82" i="23"/>
  <c r="AQ87" i="23" s="1"/>
  <c r="AR84" i="23"/>
  <c r="AR85" i="23" s="1"/>
  <c r="AR86" i="23"/>
  <c r="AR82" i="23"/>
  <c r="AR87" i="23" s="1"/>
  <c r="G25" i="23" s="1"/>
  <c r="AR88" i="23" l="1"/>
  <c r="G26" i="23" s="1"/>
  <c r="G27" i="23"/>
  <c r="G28" i="23" s="1"/>
</calcChain>
</file>

<file path=xl/sharedStrings.xml><?xml version="1.0" encoding="utf-8"?>
<sst xmlns="http://schemas.openxmlformats.org/spreadsheetml/2006/main" count="1115" uniqueCount="622">
  <si>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</si>
  <si>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</si>
  <si>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</si>
  <si>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</si>
  <si>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</si>
  <si>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</si>
  <si>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</si>
  <si>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</si>
  <si>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</si>
  <si>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</si>
  <si>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</si>
  <si>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</si>
  <si>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</si>
  <si>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</si>
  <si>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</si>
  <si>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</si>
  <si>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</si>
  <si>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</si>
  <si>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</si>
  <si>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</si>
  <si>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</si>
  <si>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</si>
  <si>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</si>
  <si>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</si>
  <si>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</si>
  <si>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</si>
  <si>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</si>
  <si>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</si>
  <si>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</si>
  <si>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</si>
  <si>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</si>
  <si>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</si>
  <si>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</si>
  <si>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</si>
  <si>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</si>
  <si>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</si>
  <si>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</si>
  <si>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</si>
  <si>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</si>
  <si>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</si>
  <si>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</si>
  <si>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</si>
  <si>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</si>
  <si>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</si>
  <si>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</si>
  <si>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</si>
  <si>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</si>
  <si>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</si>
  <si>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</si>
  <si>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</si>
  <si>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</si>
  <si>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</si>
  <si>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</si>
  <si>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</si>
  <si>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</si>
  <si>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</si>
  <si>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</si>
  <si>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</si>
  <si>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</si>
  <si>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</si>
  <si>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</si>
  <si>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</si>
  <si>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</si>
  <si>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</si>
  <si>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</si>
  <si>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</si>
  <si>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</si>
  <si>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</si>
  <si>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</si>
  <si>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</si>
  <si>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</si>
  <si>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</si>
  <si>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</si>
  <si>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</si>
  <si>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</si>
  <si>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</si>
  <si>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</si>
  <si>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</si>
  <si>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</si>
  <si>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</si>
  <si>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</si>
  <si>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</si>
  <si>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</si>
  <si>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</si>
  <si>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</si>
  <si>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</si>
  <si>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</si>
  <si>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</si>
  <si>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</si>
  <si>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</si>
  <si>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</si>
  <si>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</si>
  <si>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</si>
  <si>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</si>
  <si>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</si>
  <si>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</si>
  <si>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</si>
  <si>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</si>
  <si>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</si>
  <si>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</si>
  <si>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</si>
  <si>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</si>
  <si>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</si>
  <si>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</si>
  <si>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</si>
  <si>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</si>
  <si>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</si>
  <si>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</si>
  <si>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</si>
  <si>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</si>
  <si>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</si>
  <si>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</si>
  <si>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</si>
  <si>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</si>
  <si>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</si>
  <si>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</si>
  <si>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</si>
  <si>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</si>
  <si>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</si>
  <si>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</si>
  <si>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</si>
  <si>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</si>
  <si>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</si>
  <si>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</si>
  <si>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</si>
  <si>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</si>
  <si>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</si>
  <si>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</si>
  <si>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</si>
  <si>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</si>
  <si>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</si>
  <si>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</si>
  <si>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</si>
  <si>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</si>
  <si>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</si>
  <si>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</si>
  <si>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</si>
  <si>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</si>
  <si>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</si>
  <si>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</si>
  <si>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</si>
  <si>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</si>
  <si>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</si>
  <si>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</si>
  <si>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</si>
  <si>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</si>
  <si>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</si>
  <si>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</si>
  <si>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</si>
  <si>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</si>
  <si>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</si>
  <si>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</si>
  <si>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</si>
  <si>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</si>
  <si>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</si>
  <si>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</si>
  <si>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</si>
  <si>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</si>
  <si>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</si>
  <si>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</si>
  <si>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</si>
  <si>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</si>
  <si>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</si>
  <si>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</si>
  <si>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</si>
  <si>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</si>
  <si>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</si>
  <si>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</si>
  <si>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</si>
  <si>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</si>
  <si>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</si>
  <si>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</si>
  <si>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</si>
  <si>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</si>
  <si>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</si>
  <si>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</si>
  <si>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</si>
  <si>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</si>
  <si>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</si>
  <si>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</si>
  <si>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</si>
  <si>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</si>
  <si>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</si>
  <si>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</si>
  <si>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</si>
  <si>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</si>
  <si>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</si>
  <si>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</si>
  <si>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</si>
  <si>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</si>
  <si>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</si>
  <si>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</si>
  <si>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</si>
  <si>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</si>
  <si>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</si>
  <si>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</si>
  <si>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</si>
  <si>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</si>
  <si>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</si>
  <si>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</si>
  <si>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</si>
  <si>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</si>
  <si>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</si>
  <si>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</si>
  <si>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</si>
  <si>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</si>
  <si>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</si>
  <si>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</si>
  <si>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</si>
  <si>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</si>
  <si>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</si>
  <si>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</si>
  <si>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</si>
  <si>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</si>
  <si>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</si>
  <si>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</si>
  <si>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</si>
  <si>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</si>
  <si>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</si>
  <si>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</si>
  <si>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</si>
  <si>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</si>
  <si>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</si>
  <si>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</si>
  <si>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</si>
  <si>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</si>
  <si>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</si>
  <si>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</si>
  <si>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</si>
  <si>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</si>
  <si>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</si>
  <si>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</si>
  <si>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</si>
  <si>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</si>
  <si>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</si>
  <si>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</si>
  <si>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</si>
  <si>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</si>
  <si>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</si>
  <si>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</si>
  <si>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</si>
  <si>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</si>
  <si>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</si>
  <si>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</si>
  <si>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</si>
  <si>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</si>
  <si>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</si>
  <si>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</si>
  <si>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</si>
  <si>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</si>
  <si>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</si>
  <si>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</si>
  <si>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</si>
  <si>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</si>
  <si>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</si>
  <si>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</si>
  <si>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</si>
  <si>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</si>
  <si>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</si>
  <si>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</si>
  <si>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</si>
  <si>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</si>
  <si>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</si>
  <si>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</si>
  <si>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</si>
  <si>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</si>
  <si>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</si>
  <si>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</si>
  <si>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</si>
  <si>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</si>
  <si>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</si>
  <si>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</si>
  <si>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</si>
  <si>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</si>
  <si>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</si>
  <si>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</si>
  <si>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</si>
  <si>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</si>
  <si>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</si>
  <si>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</si>
  <si>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</si>
  <si>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</si>
  <si>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</si>
  <si>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</si>
  <si>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</si>
  <si>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</si>
  <si>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</si>
  <si>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</si>
  <si>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</si>
  <si>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</si>
  <si>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</si>
  <si>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</si>
  <si>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</si>
  <si>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</si>
  <si>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</si>
  <si>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</si>
  <si>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</si>
  <si>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</si>
  <si>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</si>
  <si>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</si>
  <si>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</si>
  <si>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</si>
  <si>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</si>
  <si>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</si>
  <si>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</si>
  <si>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</si>
  <si>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</si>
  <si>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</si>
  <si>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</si>
  <si>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</si>
  <si>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</si>
  <si>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</si>
  <si>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</si>
  <si>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</si>
  <si>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</si>
  <si>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</si>
  <si>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</si>
  <si>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</si>
  <si>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</si>
  <si>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</si>
  <si>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</si>
  <si>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</si>
  <si>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</si>
  <si>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</si>
  <si>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</si>
  <si>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</si>
  <si>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</si>
  <si>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</si>
  <si>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</si>
  <si>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</si>
  <si>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</si>
  <si>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</si>
  <si>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</si>
  <si>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</si>
  <si>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</si>
  <si>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</si>
  <si>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</si>
  <si>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</si>
  <si>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</si>
  <si>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</si>
  <si>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</si>
  <si>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</si>
  <si>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</si>
  <si>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</si>
  <si>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</si>
  <si>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</si>
  <si>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</si>
  <si>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</si>
  <si>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</si>
  <si>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</si>
  <si>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</si>
  <si>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</si>
  <si>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</si>
  <si>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</si>
  <si>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</si>
  <si>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</si>
  <si>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</si>
  <si>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</si>
  <si>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</si>
  <si>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</si>
  <si>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</si>
  <si>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</si>
  <si>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</si>
  <si>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</si>
  <si>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</si>
  <si>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</si>
  <si>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</si>
  <si>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</si>
  <si>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</si>
  <si>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</si>
  <si>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</si>
  <si>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</si>
  <si>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</si>
  <si>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</si>
  <si>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</si>
  <si>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</si>
  <si>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</si>
  <si>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</si>
  <si>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</si>
  <si>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</si>
  <si>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</si>
  <si>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</si>
  <si>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</si>
  <si>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</si>
  <si>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</si>
  <si>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</si>
  <si>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</si>
  <si>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</si>
  <si>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</si>
  <si>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</si>
  <si>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</si>
  <si>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</si>
  <si>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</si>
  <si>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</si>
  <si>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</si>
  <si>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</si>
  <si>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</si>
  <si>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</si>
  <si>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</si>
  <si>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</si>
  <si>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</si>
  <si>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</si>
  <si>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</si>
  <si>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</si>
  <si>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</si>
  <si>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</si>
  <si>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</si>
  <si>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</si>
  <si>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</si>
  <si>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</si>
  <si>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</si>
  <si>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</si>
  <si>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</si>
  <si>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</si>
  <si>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</si>
  <si>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</si>
  <si>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</si>
  <si>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</si>
  <si>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</si>
  <si>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</si>
  <si>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</si>
  <si>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</si>
  <si>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</si>
  <si>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</si>
  <si>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</si>
  <si>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</si>
  <si>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</si>
  <si>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</si>
  <si>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</si>
  <si>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</si>
  <si>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</si>
  <si>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</si>
  <si>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</si>
  <si>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</si>
  <si>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</si>
  <si>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</si>
  <si>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</si>
  <si>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</si>
  <si>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</si>
  <si>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</si>
  <si>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</si>
  <si>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</si>
  <si>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</si>
  <si>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</si>
  <si>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</si>
  <si>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</si>
  <si>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</si>
  <si>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</si>
  <si>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</si>
  <si>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</si>
  <si>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</si>
  <si>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</si>
  <si>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</si>
  <si>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</si>
  <si>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</si>
  <si>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</si>
  <si>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</si>
  <si>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</si>
  <si>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</si>
  <si>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</si>
  <si>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</si>
  <si>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</si>
  <si>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</si>
  <si>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</si>
  <si>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</si>
  <si>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</si>
  <si>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</si>
  <si>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</si>
  <si>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</si>
  <si>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</si>
  <si>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</si>
  <si>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</si>
  <si>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</si>
  <si>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</si>
  <si>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</si>
  <si>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</si>
  <si>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</si>
  <si>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</si>
  <si>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</si>
  <si>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</si>
  <si>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</si>
  <si>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Прочее новое строительство</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</si>
  <si>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</si>
  <si>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</si>
  <si>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</si>
  <si>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</si>
  <si>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</si>
  <si>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</si>
  <si>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</si>
  <si>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Обеспечение функционирования энергосистемы Калининградской области в изолированном от энергосистем сопредельных стран режиме</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</si>
  <si>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</si>
  <si>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Проектировние</t>
  </si>
  <si>
    <t xml:space="preserve">Обеспечение реализаций мероприятий по реализации Схемы выдачи мощности в электрические сети     </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</si>
  <si>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</si>
  <si>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</si>
  <si>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</si>
  <si>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</si>
  <si>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</si>
  <si>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</si>
  <si>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</si>
  <si>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</si>
  <si>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</si>
  <si>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</si>
  <si>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</si>
  <si>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</si>
  <si>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</si>
  <si>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</si>
  <si>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</si>
  <si>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</si>
  <si>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</si>
  <si>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</si>
  <si>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</si>
  <si>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</si>
  <si>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</si>
  <si>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</si>
  <si>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</si>
  <si>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</si>
  <si>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</si>
  <si>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</si>
  <si>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</si>
  <si>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Выполнение (план)</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</si>
  <si>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</si>
  <si>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</si>
  <si>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</si>
  <si>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</si>
  <si>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</si>
  <si>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</si>
  <si>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</si>
  <si>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</si>
  <si>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</si>
  <si>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</si>
  <si>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</si>
  <si>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</si>
  <si>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</si>
  <si>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</si>
  <si>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</si>
  <si>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 xml:space="preserve"> по состоянию на 01.01.2015 года </t>
  </si>
  <si>
    <t xml:space="preserve">Факт 20015 года </t>
  </si>
  <si>
    <t>Новое строительство</t>
  </si>
  <si>
    <t>Проектирование</t>
  </si>
  <si>
    <t>Укрупненный сметный расчет</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</si>
  <si>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</si>
  <si>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</si>
  <si>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</si>
  <si>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район г. Советска</t>
  </si>
  <si>
    <t>950.03 млн.руб.</t>
  </si>
  <si>
    <t>805.11 млн. руб.</t>
  </si>
  <si>
    <t>15.02.2017 14.05.2017</t>
  </si>
  <si>
    <t>14.04.2017 14.07.2017</t>
  </si>
  <si>
    <t>15.04.2017 15.07.2017</t>
  </si>
  <si>
    <t>15.05.2017 15.08.2017</t>
  </si>
  <si>
    <t>15.06.2017 15.09.2017</t>
  </si>
  <si>
    <t>01.07.2017 01.10.2017</t>
  </si>
  <si>
    <t>01.06.2017 01.09.2017</t>
  </si>
  <si>
    <t>30.06.2017 30.09.2017</t>
  </si>
  <si>
    <t>Калининградская область, район г. Советска</t>
  </si>
  <si>
    <t>116,9 (116,9)</t>
  </si>
  <si>
    <t>ПСД   № 18 от 15/01/2016   -   Оптима Энергострой    в ценах 2016 года с НДС, млн. руб.</t>
  </si>
  <si>
    <t xml:space="preserve">                              G_4584                              </t>
  </si>
  <si>
    <t>Объект нового строительства</t>
  </si>
  <si>
    <t>Обеспечение выдачи мощности Талаховской ТЭС - 176,4 МВт</t>
  </si>
  <si>
    <t>Распоряжение 1623р</t>
  </si>
  <si>
    <t>АО «ОПТИМА ЭНЕРГОСТРОЙ». Проектно-изыскательские работы. Договор № 18 от 15.01.2016[юридическое лицо, вид услуг/ подряда, предмет договора, дата заключения/ расторжения и номер договора/ соглашений к договору]</t>
  </si>
  <si>
    <t>высокоманевренных электростанций на базе газопоршневых агрегатов суммарной мощностью 160 МВт (топливо: газ и дизельное топливо) в городе Советске для регулирования суточного графика электрических нагрузок, использования в аварийных случаях</t>
  </si>
  <si>
    <t>НД</t>
  </si>
  <si>
    <t>№ 508/02/16 от 11.02.2016 г.</t>
  </si>
  <si>
    <t>Заключен</t>
  </si>
  <si>
    <t>Талаховская ТЭС</t>
  </si>
  <si>
    <t>Калининградская обл, Советск г, Чапаева пер</t>
  </si>
  <si>
    <t xml:space="preserve">на зажимах натяжной гирлянды линейного портала ВЛ 110 кВ Талаховская ТЭС – Советск-330 №1 (Л-112) в РУ 110 кВ Талаховской ТЭС;
на зажимах натяжной гирлянды линейного портала ВЛ 110 кВ Талаховская ТЭС – Советск-330 №2 (Л-124) в РУ 110 кВ Талаховской ТЭС;
на зажимах натяжной гирлянды линейного портала ВЛ 110 кВ Талаховская ТЭС – Советск-330 №3 (Л-106) в РУ 110 кВ Талаховской ТЭС;
на зажимах натяжной гирлянды линейного портала ВЛ 110 кВ Талаховская ТЭС – О-4 Черняховск с отпайкой на ПС О-32 Черняховск-2 (Л-186) в РУ 110 кВ Талаховской ТЭС;
на зажимах натяжной гирлянды линейного портала ВЛ 110 кВ Талаховская ТЭС – О-3 Знаменск с отпайками (Л-184) в РУ 110 кВ Талаховской ТЭС;
на зажимах натяжной гирлянды линейного портала ВЛ 110 кВ Талаховская ТЭС – О-26 Лесная (Л-185) в РУ 110 кВ Талаховской ТЭС.
</t>
  </si>
  <si>
    <t xml:space="preserve">На I этапе:
1.1. Сооружение Талаховской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Советск-330 - О-4 Черняховск c отпайкой на ПС О-32 Черняховск-2 (Л-106) в РУ 110 кВ Талаховской ТЭС, ориентировочной протяженностью 2х20,5 км и маркой провода АС-240 (уточнить при проектировании), с образованием ВЛ 110 кВ Талаховская ТЭС – Советск-330 №3 (Л-106) и ВЛ 110 кВ Талаховская ТЭС – О-4 Черняховск с отпайкой на ПС О-32 Черняховск-2 (Л-186). 
1.3. Сооружение заходов двухцепной ВЛ 110 кВ Советск-330 - О-3 Знаменск с отпайками (Л-112)/ Советск-330 - О-26 Лесная (Л-124) в РУ 110 кВ Талаховской ТЭС, ориентировочной протяженностью 18,5 км, 19,5 км, 18,7 км, 19,2 км и маркой провода АС-240 (уточнить при проектировании),  с образованием ВЛ 110 кВ Талаховская ТЭС – Советск-330 №1 (Л-112), ВЛ 110 кВ Талаховская ТЭС – О-3 Знаменск с отпайками (Л-184), ВЛ 110 кВ Талаховская ТЭС – Советск-330 №2 (Л-124) и ВЛ 110 кВ Талаховская ТЭС – О-26 Лесная (Л-185). 
На II этапе:
1.4.  Сооружение Талаховской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</si>
  <si>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r>
      <t>1.1.</t>
    </r>
    <r>
      <rPr>
        <b/>
        <sz val="7"/>
        <color theme="1"/>
        <rFont val="Times New Roman"/>
        <family val="1"/>
        <charset val="204"/>
      </rPr>
      <t xml:space="preserve">   </t>
    </r>
    <r>
      <rPr>
        <b/>
        <sz val="12"/>
        <color theme="1"/>
        <rFont val="Times New Roman"/>
        <family val="1"/>
        <charset val="204"/>
      </rPr>
      <t xml:space="preserve">Строительство заходов ВЛ 110 кВ Советск-330 – О-3 Знаменск (Л-112) инв. № 5321344 на Талаховскую ТЭС - 18,5+19,5 км                                                                                                     2.2. Строительство заходов ВЛ 110 кВ Советск-330 – О-26 Лесная (Л-124) на Талаховскую ТЭС - 18,7+19,2 км                                                                                                                                                       2.3. Строительство заходов ВЛ 110 кВ Советск-330 – О-4 Черняховск (Л-106) инв. №5321340 на Талаховскую ТЭС - 20,5+20,5 км </t>
    </r>
  </si>
  <si>
    <t>ВЛ 110 кВ ПС Советск-330 - ПС О-4 Черняховск с отпайкой на О-32 Черняховск-2 (Л-106)</t>
  </si>
  <si>
    <t>ВЛ 110 кВ ПС Советск-330 - ПС О-26 Лесная (Л-124)</t>
  </si>
  <si>
    <t>ВЛ 110 кВ ПС Советск-330 - ПС О-3 Знаменск с отпайками (Л-112)</t>
  </si>
  <si>
    <t>ВЛ 110 кВ Талаховская ТЭС - Советск-330 (Л-106)</t>
  </si>
  <si>
    <t>ВЛ 110 кВ Талаховская ТЭС - О-4 Черняховск с отпайкой на О-32 Черняховск-2 (Л-186)</t>
  </si>
  <si>
    <t>ВЛ 110 кВ Талаховская ТЭС - Советск-330 (Л-124)</t>
  </si>
  <si>
    <t>ВЛ 110 кВ Талаховская ТЭС - О-26 Лесная (Л-185)</t>
  </si>
  <si>
    <t>ВЛ 110 кВ Талаховская ТЭС - Советск-330 (Л-112)</t>
  </si>
  <si>
    <t>ВЛ 110 кВ Талаховская ТЭС - О-3 Знаменск (Л-184)</t>
  </si>
  <si>
    <t>от Талаховской ТЭС до опоры №213 Л-106</t>
  </si>
  <si>
    <t>от Талаховской ТЭС до опоры №211 Л-106</t>
  </si>
  <si>
    <t>от Талаховской ТЭС до опоры №34 Л-124</t>
  </si>
  <si>
    <t>от Талаховской ТЭС до опоры №36 Л-124</t>
  </si>
  <si>
    <t>от Талаховской ТЭС до опоры №34 Л-112</t>
  </si>
  <si>
    <t>от Талаховской ТЭС до опоры №36 Л-112</t>
  </si>
  <si>
    <t>110 кВ</t>
  </si>
  <si>
    <t>240 мм2</t>
  </si>
  <si>
    <t>воздушная</t>
  </si>
  <si>
    <t>анкерно-угловые - металлические решетчатые; промежуточные - металлические многогранные</t>
  </si>
  <si>
    <t>Соглашение об установлении сервитута, заключенное с Территориальным управлением Росимущества в Калининградской области</t>
  </si>
  <si>
    <t>ПИР по титулу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</si>
  <si>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ПИР</t>
  </si>
  <si>
    <t>ОЗП</t>
  </si>
  <si>
    <t>42</t>
  </si>
  <si>
    <t>УР</t>
  </si>
  <si>
    <t>"ОПТИМА ЭНЕРГОСТРОЙ" АО</t>
  </si>
  <si>
    <t>"ЭССП" АО</t>
  </si>
  <si>
    <t>"Институт "ЭНЕРГОСЕТЬПРОЕКТ" ОАО</t>
  </si>
  <si>
    <t>"Северэнергопроект" ООО</t>
  </si>
  <si>
    <t>587293</t>
  </si>
  <si>
    <t>b2b-mrsk.ru</t>
  </si>
  <si>
    <t>03.12.2015</t>
  </si>
  <si>
    <t>29.12.2015</t>
  </si>
  <si>
    <t>15.01.2016</t>
  </si>
  <si>
    <t>30.10.2016</t>
  </si>
  <si>
    <t>СМР «Схема выдачи мощности в электрические сети АО «Янтарьэнерго» Талаховской ТЭС. Строительство заходов: ВЛ 110 кВ Советск 330 – О-3 Знаменск (Л-112) инв. № 5321344; ВЛ 110 кВ Советск 330 – О-26 Лесная (Л-124) инв. №5321345; ВЛ 110 кВ Советск 330 – О-4 Черняховск (Л-106) инв. № 5321340, на Талаховскую ТЭС»</t>
  </si>
  <si>
    <t>СМР</t>
  </si>
  <si>
    <t>ООК</t>
  </si>
  <si>
    <t>49743</t>
  </si>
  <si>
    <t>27.06.2016</t>
  </si>
  <si>
    <t>18.07.2016</t>
  </si>
  <si>
    <t>22.08.2016</t>
  </si>
  <si>
    <t>Идет прием предложений</t>
  </si>
  <si>
    <t>Есть</t>
  </si>
  <si>
    <t>Возможно реализовать в установленные сроки [возможность реализации в установленный срок, отставание от установленного срока, причины отставания, возможный срок ввода объекта]</t>
  </si>
  <si>
    <t>20,5 км</t>
  </si>
  <si>
    <t>18,5 км</t>
  </si>
  <si>
    <t>19,5 км</t>
  </si>
  <si>
    <t>18,7 км</t>
  </si>
  <si>
    <t>19,2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</si>
</sst>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
    <numFmt numFmtId="173"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b/>
      <sz val="7"/>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0" fontId="11"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3" xfId="2" applyFont="1" applyFill="1" applyBorder="1" applyAlignment="1">
      <alignment horizontal="justify"/>
    </xf>
    <xf numFmtId="0" fontId="40" fillId="0" borderId="33" xfId="2" applyFont="1" applyFill="1" applyBorder="1" applyAlignment="1">
      <alignment horizontal="justify"/>
    </xf>
    <xf numFmtId="0" fontId="40" fillId="0" borderId="34" xfId="2" applyFont="1" applyFill="1" applyBorder="1" applyAlignment="1">
      <alignment horizontal="justify"/>
    </xf>
    <xf numFmtId="0" fontId="41" fillId="0" borderId="33" xfId="2" applyFont="1" applyFill="1" applyBorder="1" applyAlignment="1">
      <alignment vertical="top" wrapText="1"/>
    </xf>
    <xf numFmtId="0" fontId="41" fillId="0" borderId="35" xfId="2" applyFont="1" applyFill="1" applyBorder="1" applyAlignment="1">
      <alignment vertical="top" wrapText="1"/>
    </xf>
    <xf numFmtId="0" fontId="40" fillId="0" borderId="36" xfId="2" applyFont="1" applyFill="1" applyBorder="1" applyAlignment="1">
      <alignment horizontal="justify" vertical="top" wrapText="1"/>
    </xf>
    <xf numFmtId="0" fontId="41" fillId="0" borderId="34" xfId="2" applyFont="1" applyFill="1" applyBorder="1" applyAlignment="1">
      <alignment vertical="top" wrapText="1"/>
    </xf>
    <xf numFmtId="0" fontId="40" fillId="0" borderId="33" xfId="2" applyFont="1" applyFill="1" applyBorder="1" applyAlignment="1">
      <alignment horizontal="justify"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0" fillId="0" borderId="37" xfId="2" applyFont="1" applyFill="1" applyBorder="1" applyAlignment="1">
      <alignment vertical="top" wrapText="1"/>
    </xf>
    <xf numFmtId="0" fontId="40" fillId="0" borderId="35" xfId="2" applyFont="1" applyFill="1" applyBorder="1" applyAlignment="1">
      <alignment vertical="top" wrapText="1"/>
    </xf>
    <xf numFmtId="0" fontId="41" fillId="0" borderId="35"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0" fillId="0" borderId="38" xfId="2" quotePrefix="1" applyFont="1" applyFill="1" applyBorder="1" applyAlignment="1">
      <alignment horizontal="justify" vertical="top" wrapText="1"/>
    </xf>
    <xf numFmtId="0" fontId="40" fillId="0" borderId="39" xfId="2" applyFont="1" applyFill="1" applyBorder="1" applyAlignment="1">
      <alignment horizontal="justify" vertical="top" wrapText="1"/>
    </xf>
    <xf numFmtId="0" fontId="40" fillId="0" borderId="38" xfId="2" applyFont="1" applyFill="1" applyBorder="1" applyAlignment="1">
      <alignment vertical="top" wrapText="1"/>
    </xf>
    <xf numFmtId="0" fontId="41" fillId="0" borderId="34" xfId="2" applyFont="1" applyFill="1" applyBorder="1" applyAlignment="1">
      <alignment horizontal="left" vertical="center" wrapText="1"/>
    </xf>
    <xf numFmtId="0" fontId="40" fillId="0" borderId="38" xfId="2" applyFont="1" applyFill="1" applyBorder="1" applyAlignment="1">
      <alignment horizontal="justify" vertical="top" wrapText="1"/>
    </xf>
    <xf numFmtId="0" fontId="41" fillId="0" borderId="34" xfId="2" applyFont="1" applyFill="1" applyBorder="1" applyAlignment="1">
      <alignment horizontal="center" vertical="center" wrapText="1"/>
    </xf>
    <xf numFmtId="0" fontId="40" fillId="0" borderId="3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167" fontId="7" fillId="0" borderId="0" xfId="67" applyNumberFormat="1" applyFont="1" applyAlignment="1">
      <alignment horizontal="center" vertical="center"/>
    </xf>
    <xf numFmtId="167" fontId="7" fillId="0" borderId="4" xfId="67" applyNumberFormat="1" applyFont="1" applyBorder="1" applyAlignment="1">
      <alignment horizontal="center" vertical="center"/>
    </xf>
    <xf numFmtId="0" fontId="7" fillId="0" borderId="0" xfId="68" applyFont="1" applyFill="1" applyAlignment="1">
      <alignment vertical="center"/>
    </xf>
    <xf numFmtId="0" fontId="61"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xf>
    <xf numFmtId="0" fontId="63" fillId="0" borderId="0" xfId="68" applyFont="1" applyFill="1" applyAlignment="1">
      <alignment horizontal="left" vertical="center"/>
    </xf>
    <xf numFmtId="0" fontId="60" fillId="0" borderId="0" xfId="68" applyFont="1" applyFill="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0" fontId="7" fillId="0" borderId="1" xfId="68" applyFont="1" applyFill="1" applyBorder="1" applyAlignment="1">
      <alignment vertical="center"/>
    </xf>
    <xf numFmtId="4" fontId="60" fillId="0" borderId="1" xfId="68" applyNumberFormat="1" applyFont="1" applyFill="1" applyBorder="1" applyAlignment="1">
      <alignment horizontal="center" vertical="center"/>
    </xf>
    <xf numFmtId="3" fontId="60" fillId="0" borderId="1" xfId="68" applyNumberFormat="1" applyFont="1" applyFill="1" applyBorder="1" applyAlignment="1">
      <alignment horizontal="center" vertical="center"/>
    </xf>
    <xf numFmtId="0" fontId="60" fillId="0" borderId="1" xfId="68" applyFont="1" applyFill="1" applyBorder="1" applyAlignment="1">
      <alignment horizontal="center" vertical="center"/>
    </xf>
    <xf numFmtId="0" fontId="7" fillId="0" borderId="46" xfId="68" applyFont="1" applyFill="1" applyBorder="1" applyAlignment="1">
      <alignment vertical="center"/>
    </xf>
    <xf numFmtId="3" fontId="36" fillId="0" borderId="47" xfId="68" applyNumberFormat="1" applyFont="1" applyFill="1" applyBorder="1" applyAlignment="1">
      <alignment vertical="center"/>
    </xf>
    <xf numFmtId="10" fontId="36" fillId="0" borderId="45" xfId="68" applyNumberFormat="1" applyFont="1" applyFill="1" applyBorder="1" applyAlignment="1">
      <alignment vertical="center"/>
    </xf>
    <xf numFmtId="9" fontId="36" fillId="0" borderId="47" xfId="68" applyNumberFormat="1" applyFont="1" applyFill="1" applyBorder="1" applyAlignment="1">
      <alignment vertical="center"/>
    </xf>
    <xf numFmtId="0" fontId="7" fillId="0" borderId="31" xfId="68" applyFont="1" applyFill="1" applyBorder="1" applyAlignment="1">
      <alignment vertical="center"/>
    </xf>
    <xf numFmtId="3" fontId="36" fillId="0" borderId="40" xfId="68" applyNumberFormat="1" applyFont="1" applyFill="1" applyBorder="1" applyAlignment="1">
      <alignment vertical="center"/>
    </xf>
    <xf numFmtId="0" fontId="64" fillId="0" borderId="0" xfId="62" applyFont="1" applyFill="1" applyBorder="1"/>
    <xf numFmtId="0" fontId="7" fillId="0" borderId="26" xfId="68" applyFont="1" applyFill="1" applyBorder="1" applyAlignment="1">
      <alignment vertical="center"/>
    </xf>
    <xf numFmtId="10" fontId="36" fillId="0" borderId="48" xfId="68" applyNumberFormat="1" applyFont="1" applyFill="1" applyBorder="1" applyAlignment="1">
      <alignment vertical="center"/>
    </xf>
    <xf numFmtId="10" fontId="36" fillId="0" borderId="42" xfId="68" applyNumberFormat="1" applyFont="1" applyFill="1" applyBorder="1" applyAlignment="1">
      <alignment vertical="center"/>
    </xf>
    <xf numFmtId="0" fontId="7" fillId="0" borderId="49" xfId="68" applyFont="1" applyFill="1" applyBorder="1" applyAlignment="1">
      <alignment vertical="center"/>
    </xf>
    <xf numFmtId="10" fontId="36" fillId="0" borderId="46" xfId="68" applyNumberFormat="1" applyFont="1" applyFill="1" applyBorder="1" applyAlignment="1">
      <alignment vertical="center"/>
    </xf>
    <xf numFmtId="0" fontId="65"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6" fillId="0" borderId="0" xfId="62" applyFont="1" applyFill="1" applyBorder="1"/>
    <xf numFmtId="0" fontId="7" fillId="0" borderId="0" xfId="68" applyFont="1" applyFill="1" applyBorder="1" applyAlignment="1">
      <alignment vertical="center"/>
    </xf>
    <xf numFmtId="3" fontId="65"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7" fillId="0" borderId="5" xfId="68" applyNumberFormat="1" applyFont="1" applyFill="1" applyBorder="1" applyAlignment="1">
      <alignment vertical="center"/>
    </xf>
    <xf numFmtId="3" fontId="67"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8"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0" fontId="59" fillId="0" borderId="0" xfId="1" applyFont="1" applyAlignment="1">
      <alignment vertical="center"/>
    </xf>
    <xf numFmtId="0" fontId="59" fillId="0" borderId="0" xfId="1" applyFont="1" applyAlignment="1">
      <alignment vertical="center" wrapText="1"/>
    </xf>
    <xf numFmtId="0" fontId="60"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70" fillId="0" borderId="10" xfId="62" applyNumberFormat="1" applyFont="1" applyFill="1" applyBorder="1" applyAlignment="1" applyProtection="1">
      <alignment horizontal="center" vertical="top" wrapText="1"/>
    </xf>
    <xf numFmtId="0" fontId="62" fillId="0" borderId="56" xfId="62" applyFont="1" applyFill="1" applyBorder="1" applyAlignment="1" applyProtection="1">
      <alignment horizontal="center" vertical="center" wrapText="1"/>
    </xf>
    <xf numFmtId="0" fontId="62" fillId="0" borderId="57" xfId="62" applyFont="1" applyFill="1" applyBorder="1" applyAlignment="1" applyProtection="1">
      <alignment horizontal="center" vertical="center" wrapText="1"/>
    </xf>
    <xf numFmtId="0" fontId="62" fillId="0" borderId="57" xfId="62" applyNumberFormat="1" applyFont="1" applyFill="1" applyBorder="1" applyAlignment="1" applyProtection="1">
      <alignment horizontal="center" vertical="top" wrapText="1"/>
    </xf>
    <xf numFmtId="0" fontId="62" fillId="0" borderId="57" xfId="62" applyNumberFormat="1" applyFont="1" applyFill="1" applyBorder="1" applyAlignment="1" applyProtection="1">
      <alignment horizontal="center" vertical="center" wrapText="1"/>
    </xf>
    <xf numFmtId="0" fontId="62" fillId="0" borderId="58" xfId="62" applyNumberFormat="1" applyFont="1" applyFill="1" applyBorder="1" applyAlignment="1" applyProtection="1">
      <alignment horizontal="center" vertical="center" wrapText="1"/>
    </xf>
    <xf numFmtId="0" fontId="60" fillId="0" borderId="29" xfId="0" applyFont="1" applyBorder="1" applyAlignment="1">
      <alignment horizontal="left" vertical="top"/>
    </xf>
    <xf numFmtId="49" fontId="69" fillId="0" borderId="28" xfId="62" applyNumberFormat="1" applyFont="1" applyFill="1" applyBorder="1" applyAlignment="1">
      <alignment horizontal="left" vertical="center" wrapText="1"/>
    </xf>
    <xf numFmtId="49" fontId="71" fillId="0" borderId="28" xfId="62" applyNumberFormat="1" applyFont="1" applyFill="1" applyBorder="1" applyProtection="1"/>
    <xf numFmtId="0" fontId="71" fillId="0" borderId="59" xfId="62" applyNumberFormat="1" applyFont="1" applyFill="1" applyBorder="1" applyAlignment="1" applyProtection="1">
      <alignment horizontal="left" wrapText="1"/>
    </xf>
    <xf numFmtId="0" fontId="60" fillId="0" borderId="30" xfId="0" applyFont="1" applyBorder="1" applyAlignment="1">
      <alignment horizontal="left" vertical="top"/>
    </xf>
    <xf numFmtId="49" fontId="71" fillId="0" borderId="2" xfId="62" applyNumberFormat="1" applyFont="1" applyFill="1" applyBorder="1" applyAlignment="1">
      <alignment horizontal="left" vertical="center" wrapText="1"/>
    </xf>
    <xf numFmtId="49" fontId="71" fillId="0" borderId="2" xfId="62" applyNumberFormat="1" applyFont="1" applyFill="1" applyBorder="1" applyProtection="1"/>
    <xf numFmtId="0" fontId="71" fillId="0" borderId="60" xfId="62" applyNumberFormat="1" applyFont="1" applyFill="1" applyBorder="1" applyAlignment="1" applyProtection="1">
      <alignment horizontal="left" wrapText="1"/>
    </xf>
    <xf numFmtId="0" fontId="60" fillId="0" borderId="27" xfId="0" applyFont="1" applyBorder="1" applyAlignment="1">
      <alignment horizontal="left" vertical="top"/>
    </xf>
    <xf numFmtId="49" fontId="71" fillId="0" borderId="1" xfId="62" applyNumberFormat="1" applyFont="1" applyFill="1" applyBorder="1" applyAlignment="1">
      <alignment horizontal="left" vertical="center" wrapText="1"/>
    </xf>
    <xf numFmtId="172" fontId="71" fillId="0" borderId="1" xfId="62" applyNumberFormat="1" applyFont="1" applyFill="1" applyBorder="1" applyAlignment="1" applyProtection="1">
      <alignment horizontal="center" vertical="center"/>
      <protection locked="0"/>
    </xf>
    <xf numFmtId="0" fontId="71" fillId="0" borderId="61" xfId="62" applyNumberFormat="1" applyFont="1" applyFill="1" applyBorder="1" applyAlignment="1" applyProtection="1">
      <alignment horizontal="left" vertical="center" wrapText="1"/>
      <protection locked="0"/>
    </xf>
    <xf numFmtId="49" fontId="69" fillId="0" borderId="1" xfId="62" applyNumberFormat="1" applyFont="1" applyFill="1" applyBorder="1" applyAlignment="1">
      <alignment horizontal="left" vertical="center" wrapText="1"/>
    </xf>
    <xf numFmtId="49" fontId="71" fillId="0" borderId="1" xfId="62" applyNumberFormat="1" applyFont="1" applyFill="1" applyBorder="1" applyProtection="1"/>
    <xf numFmtId="0" fontId="71" fillId="0" borderId="61" xfId="62" applyNumberFormat="1" applyFont="1" applyFill="1" applyBorder="1" applyAlignment="1" applyProtection="1">
      <alignment horizontal="left" wrapText="1"/>
    </xf>
    <xf numFmtId="0" fontId="60" fillId="0" borderId="25" xfId="0" applyFont="1" applyBorder="1" applyAlignment="1">
      <alignment horizontal="left" vertical="top"/>
    </xf>
    <xf numFmtId="49" fontId="71" fillId="0" borderId="24" xfId="62" applyNumberFormat="1" applyFont="1" applyFill="1" applyBorder="1" applyAlignment="1">
      <alignment horizontal="left" vertical="center" wrapText="1"/>
    </xf>
    <xf numFmtId="172" fontId="71" fillId="0" borderId="24" xfId="62" applyNumberFormat="1" applyFont="1" applyFill="1" applyBorder="1" applyAlignment="1" applyProtection="1">
      <alignment horizontal="center" vertical="center"/>
      <protection locked="0"/>
    </xf>
    <xf numFmtId="0" fontId="71" fillId="0" borderId="62" xfId="62" applyNumberFormat="1" applyFont="1" applyFill="1" applyBorder="1" applyAlignment="1" applyProtection="1">
      <alignment horizontal="left" vertical="center" wrapText="1"/>
      <protection locked="0"/>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xf>
    <xf numFmtId="0" fontId="47" fillId="0" borderId="1" xfId="45" applyFont="1" applyFill="1" applyBorder="1" applyAlignment="1">
      <alignment horizontal="center" vertical="center" wrapText="1"/>
    </xf>
    <xf numFmtId="0" fontId="11" fillId="0" borderId="1" xfId="2" applyFont="1" applyBorder="1" applyAlignment="1">
      <alignment horizontal="center"/>
    </xf>
    <xf numFmtId="0" fontId="47" fillId="0" borderId="2" xfId="45"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61" fillId="0" borderId="0" xfId="0" applyFont="1" applyFill="1"/>
    <xf numFmtId="0" fontId="64" fillId="0" borderId="0" xfId="0" applyFont="1" applyFill="1" applyBorder="1"/>
    <xf numFmtId="0" fontId="66" fillId="0" borderId="0" xfId="0" applyFont="1" applyFill="1" applyBorder="1"/>
    <xf numFmtId="3" fontId="36" fillId="0" borderId="1" xfId="68" applyNumberFormat="1" applyFont="1" applyFill="1" applyBorder="1" applyAlignment="1">
      <alignment vertical="center"/>
    </xf>
    <xf numFmtId="3" fontId="36" fillId="0" borderId="41" xfId="68" applyNumberFormat="1" applyFont="1" applyFill="1" applyBorder="1" applyAlignment="1">
      <alignment vertical="center"/>
    </xf>
    <xf numFmtId="49" fontId="71" fillId="0" borderId="1" xfId="62" applyNumberFormat="1" applyFont="1" applyFill="1" applyBorder="1" applyProtection="1"/>
    <xf numFmtId="14" fontId="71" fillId="0" borderId="2" xfId="62" applyNumberFormat="1" applyFont="1" applyFill="1" applyBorder="1" applyAlignment="1" applyProtection="1">
      <alignment horizontal="center" vertical="center" wrapText="1"/>
      <protection locked="0"/>
    </xf>
    <xf numFmtId="49" fontId="69" fillId="0" borderId="1" xfId="62" applyNumberFormat="1" applyFont="1" applyFill="1" applyBorder="1" applyProtection="1"/>
    <xf numFmtId="14" fontId="71" fillId="0" borderId="6" xfId="62" applyNumberFormat="1" applyFont="1" applyFill="1" applyBorder="1" applyAlignment="1" applyProtection="1">
      <alignment horizontal="center" vertical="center" wrapText="1"/>
      <protection locked="0"/>
    </xf>
    <xf numFmtId="14" fontId="71" fillId="0" borderId="1" xfId="62" applyNumberFormat="1" applyFont="1" applyFill="1" applyBorder="1" applyAlignment="1" applyProtection="1">
      <alignment horizontal="center" vertical="center" wrapText="1"/>
      <protection locked="0"/>
    </xf>
    <xf numFmtId="49" fontId="71" fillId="0" borderId="2" xfId="62" applyNumberFormat="1" applyFont="1" applyFill="1" applyBorder="1" applyAlignment="1" applyProtection="1">
      <alignment wrapText="1"/>
    </xf>
    <xf numFmtId="49" fontId="71" fillId="0" borderId="1" xfId="62" applyNumberFormat="1" applyFont="1" applyFill="1" applyBorder="1" applyAlignment="1" applyProtection="1">
      <alignment wrapText="1"/>
    </xf>
    <xf numFmtId="14" fontId="71" fillId="0" borderId="24" xfId="62" applyNumberFormat="1" applyFont="1" applyFill="1" applyBorder="1" applyAlignment="1" applyProtection="1">
      <alignment horizontal="center" vertical="center" wrapText="1"/>
      <protection locked="0"/>
    </xf>
    <xf numFmtId="0" fontId="40" fillId="0" borderId="34" xfId="2" applyFont="1" applyFill="1" applyBorder="1" applyAlignment="1">
      <alignment horizontal="left" vertical="top" wrapText="1"/>
    </xf>
    <xf numFmtId="173" fontId="40" fillId="0" borderId="33" xfId="2" applyNumberFormat="1" applyFont="1" applyFill="1" applyBorder="1" applyAlignment="1">
      <alignment horizontal="justify" vertical="top" wrapText="1"/>
    </xf>
    <xf numFmtId="0" fontId="40" fillId="25" borderId="33" xfId="2" applyFont="1" applyFill="1" applyBorder="1" applyAlignment="1">
      <alignment horizontal="justify" vertical="top" wrapText="1"/>
    </xf>
    <xf numFmtId="173" fontId="40" fillId="25" borderId="33" xfId="2" applyNumberFormat="1" applyFont="1" applyFill="1" applyBorder="1" applyAlignment="1">
      <alignment horizontal="justify" vertical="top" wrapText="1"/>
    </xf>
    <xf numFmtId="0" fontId="11" fillId="25" borderId="0" xfId="2" applyFill="1"/>
    <xf numFmtId="10" fontId="40" fillId="0" borderId="33" xfId="2" applyNumberFormat="1" applyFont="1" applyFill="1" applyBorder="1" applyAlignment="1">
      <alignment horizontal="justify" vertical="top" wrapText="1"/>
    </xf>
    <xf numFmtId="10" fontId="40" fillId="0" borderId="39" xfId="2" applyNumberFormat="1" applyFont="1" applyFill="1" applyBorder="1" applyAlignment="1">
      <alignment horizontal="justify" vertical="top" wrapText="1"/>
    </xf>
    <xf numFmtId="173" fontId="42" fillId="0" borderId="42" xfId="62" applyNumberFormat="1" applyFont="1" applyFill="1" applyBorder="1" applyAlignment="1">
      <alignment horizontal="left" vertical="center" wrapText="1"/>
    </xf>
    <xf numFmtId="0" fontId="36" fillId="0" borderId="1" xfId="1" applyFont="1" applyBorder="1" applyAlignment="1">
      <alignment horizontal="center" vertical="center"/>
    </xf>
    <xf numFmtId="164" fontId="7" fillId="0" borderId="0" xfId="67" applyNumberFormat="1" applyFont="1" applyAlignment="1">
      <alignment horizontal="center" vertical="center"/>
    </xf>
    <xf numFmtId="0" fontId="39" fillId="0" borderId="0" xfId="0" applyFont="1" applyAlignment="1">
      <alignment horizontal="center" wrapText="1"/>
    </xf>
    <xf numFmtId="49" fontId="11" fillId="0" borderId="1" xfId="62" applyNumberFormat="1" applyFont="1" applyBorder="1" applyAlignment="1">
      <alignment horizontal="center" vertical="center" wrapText="1"/>
    </xf>
    <xf numFmtId="0" fontId="36" fillId="0" borderId="1" xfId="49" applyFont="1" applyBorder="1"/>
    <xf numFmtId="0" fontId="36" fillId="0" borderId="0" xfId="49" applyFont="1" applyAlignment="1">
      <alignment wrapText="1"/>
    </xf>
    <xf numFmtId="0" fontId="37" fillId="0" borderId="1" xfId="49" applyFont="1" applyBorder="1" applyAlignment="1">
      <alignment horizontal="center" vertical="center" wrapText="1"/>
    </xf>
    <xf numFmtId="49" fontId="7" fillId="0" borderId="1" xfId="49" applyNumberFormat="1" applyFont="1" applyBorder="1" applyAlignment="1">
      <alignment horizontal="center" vertical="center" wrapText="1"/>
    </xf>
    <xf numFmtId="0" fontId="36" fillId="0" borderId="1" xfId="49" applyFont="1" applyBorder="1" applyAlignment="1">
      <alignment wrapText="1"/>
    </xf>
    <xf numFmtId="49" fontId="62" fillId="0" borderId="1" xfId="0" applyNumberFormat="1" applyFont="1" applyFill="1" applyBorder="1" applyAlignment="1">
      <alignment horizontal="center" vertical="center" wrapText="1"/>
    </xf>
    <xf numFmtId="4" fontId="62" fillId="0" borderId="1" xfId="0" applyNumberFormat="1" applyFont="1" applyFill="1" applyBorder="1" applyAlignment="1">
      <alignment horizontal="center" vertical="center" wrapText="1"/>
    </xf>
    <xf numFmtId="14" fontId="62" fillId="0" borderId="1" xfId="0" applyNumberFormat="1" applyFont="1" applyFill="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0" borderId="1"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3" fillId="0" borderId="0" xfId="1" applyFont="1" applyAlignment="1">
      <alignment horizontal="center" vertical="center"/>
    </xf>
    <xf numFmtId="0" fontId="73" fillId="0" borderId="0" xfId="1" applyFont="1" applyAlignment="1">
      <alignment horizontal="center" vertical="center" wrapText="1"/>
    </xf>
    <xf numFmtId="0" fontId="74"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60" fillId="0" borderId="1" xfId="68" applyFont="1" applyFill="1" applyBorder="1" applyAlignment="1">
      <alignment horizontal="center" vertical="center"/>
    </xf>
    <xf numFmtId="0" fontId="42" fillId="0" borderId="0" xfId="2" applyFont="1" applyFill="1" applyAlignment="1">
      <alignment horizontal="center" vertical="top" wrapText="1"/>
    </xf>
    <xf numFmtId="49" fontId="71" fillId="0" borderId="4" xfId="62" applyNumberFormat="1" applyFont="1" applyFill="1" applyBorder="1" applyAlignment="1" applyProtection="1">
      <alignment horizontal="center"/>
    </xf>
    <xf numFmtId="49" fontId="71" fillId="0" borderId="3" xfId="62" applyNumberFormat="1" applyFont="1" applyFill="1" applyBorder="1" applyAlignment="1" applyProtection="1">
      <alignment horizontal="center"/>
    </xf>
    <xf numFmtId="0" fontId="11" fillId="0" borderId="0" xfId="0" applyFont="1" applyFill="1" applyBorder="1" applyAlignment="1">
      <alignment horizontal="left" wrapText="1"/>
    </xf>
    <xf numFmtId="0" fontId="11" fillId="0" borderId="0" xfId="0" applyFont="1" applyBorder="1" applyAlignment="1"/>
    <xf numFmtId="0" fontId="69" fillId="0" borderId="50" xfId="62" applyNumberFormat="1" applyFont="1" applyFill="1" applyBorder="1" applyAlignment="1" applyProtection="1">
      <alignment horizontal="center" vertical="center" wrapText="1"/>
    </xf>
    <xf numFmtId="0" fontId="69" fillId="0" borderId="32" xfId="62" applyNumberFormat="1" applyFont="1" applyFill="1" applyBorder="1" applyAlignment="1" applyProtection="1">
      <alignment horizontal="center" vertical="center" wrapText="1"/>
    </xf>
    <xf numFmtId="0" fontId="69" fillId="0" borderId="54" xfId="62" applyNumberFormat="1" applyFont="1" applyFill="1" applyBorder="1" applyAlignment="1" applyProtection="1">
      <alignment horizontal="center" vertical="center" wrapText="1"/>
    </xf>
    <xf numFmtId="0" fontId="70" fillId="0" borderId="51" xfId="62" applyFont="1" applyFill="1" applyBorder="1" applyAlignment="1" applyProtection="1">
      <alignment horizontal="center" vertical="center" wrapText="1"/>
    </xf>
    <xf numFmtId="0" fontId="70" fillId="0" borderId="6" xfId="62" applyFont="1" applyFill="1" applyBorder="1" applyAlignment="1" applyProtection="1">
      <alignment horizontal="center" vertical="center" wrapText="1"/>
    </xf>
    <xf numFmtId="0" fontId="70" fillId="0" borderId="55" xfId="62" applyFont="1" applyFill="1" applyBorder="1" applyAlignment="1" applyProtection="1">
      <alignment horizontal="center" vertical="center" wrapText="1"/>
    </xf>
    <xf numFmtId="0" fontId="70" fillId="0" borderId="28" xfId="62" applyFont="1" applyFill="1" applyBorder="1" applyAlignment="1" applyProtection="1">
      <alignment horizontal="center" vertical="center" wrapText="1"/>
    </xf>
    <xf numFmtId="0" fontId="70" fillId="0" borderId="1" xfId="62" applyFont="1" applyFill="1" applyBorder="1" applyAlignment="1" applyProtection="1">
      <alignment horizontal="center" vertical="center" wrapText="1"/>
    </xf>
    <xf numFmtId="0" fontId="70" fillId="0" borderId="51" xfId="62" applyNumberFormat="1" applyFont="1" applyFill="1" applyBorder="1" applyAlignment="1" applyProtection="1">
      <alignment horizontal="center" vertical="center" wrapText="1"/>
    </xf>
    <xf numFmtId="0" fontId="70" fillId="0" borderId="6" xfId="62" applyNumberFormat="1" applyFont="1" applyFill="1" applyBorder="1" applyAlignment="1" applyProtection="1">
      <alignment horizontal="center" vertical="center" wrapText="1"/>
    </xf>
    <xf numFmtId="0" fontId="70" fillId="0" borderId="52" xfId="62" applyNumberFormat="1" applyFont="1" applyFill="1" applyBorder="1" applyAlignment="1" applyProtection="1">
      <alignment horizontal="center" vertical="center" wrapText="1"/>
    </xf>
    <xf numFmtId="0" fontId="70" fillId="0" borderId="53" xfId="62" applyNumberFormat="1" applyFont="1" applyFill="1" applyBorder="1" applyAlignment="1" applyProtection="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4" xfId="2" applyFont="1" applyFill="1" applyBorder="1" applyAlignment="1">
      <alignment horizontal="left" vertical="top" wrapText="1"/>
    </xf>
    <xf numFmtId="0" fontId="40" fillId="0" borderId="37" xfId="2" applyFont="1" applyFill="1" applyBorder="1" applyAlignment="1">
      <alignment horizontal="left" vertical="top" wrapText="1"/>
    </xf>
    <xf numFmtId="0" fontId="40" fillId="0" borderId="35" xfId="2" applyFont="1" applyFill="1" applyBorder="1" applyAlignment="1">
      <alignment horizontal="left" vertical="top" wrapText="1"/>
    </xf>
    <xf numFmtId="0" fontId="75"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46824976"/>
        <c:axId val="146825368"/>
      </c:lineChart>
      <c:catAx>
        <c:axId val="146824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6825368"/>
        <c:crosses val="autoZero"/>
        <c:auto val="1"/>
        <c:lblAlgn val="ctr"/>
        <c:lblOffset val="100"/>
        <c:noMultiLvlLbl val="0"/>
      </c:catAx>
      <c:valAx>
        <c:axId val="146825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682497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18" t="s">
        <v>542</v>
      </c>
      <c r="B5" s="318"/>
      <c r="C5" s="318"/>
      <c r="D5" s="159"/>
      <c r="E5" s="159"/>
      <c r="F5" s="159"/>
      <c r="G5" s="159"/>
      <c r="H5" s="159"/>
      <c r="I5" s="159"/>
      <c r="J5" s="159"/>
    </row>
    <row r="6" spans="1:22" s="12" customFormat="1" ht="18.75" x14ac:dyDescent="0.3">
      <c r="A6" s="17"/>
      <c r="F6" s="16"/>
      <c r="G6" s="16"/>
      <c r="H6" s="15"/>
    </row>
    <row r="7" spans="1:22" s="12" customFormat="1" ht="18.75" x14ac:dyDescent="0.2">
      <c r="A7" s="322" t="s">
        <v>9</v>
      </c>
      <c r="B7" s="322"/>
      <c r="C7" s="32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3" t="s">
        <v>480</v>
      </c>
      <c r="B9" s="323"/>
      <c r="C9" s="323"/>
      <c r="D9" s="8"/>
      <c r="E9" s="8"/>
      <c r="F9" s="8"/>
      <c r="G9" s="8"/>
      <c r="H9" s="8"/>
      <c r="I9" s="13"/>
      <c r="J9" s="13"/>
      <c r="K9" s="13"/>
      <c r="L9" s="13"/>
      <c r="M9" s="13"/>
      <c r="N9" s="13"/>
      <c r="O9" s="13"/>
      <c r="P9" s="13"/>
      <c r="Q9" s="13"/>
      <c r="R9" s="13"/>
      <c r="S9" s="13"/>
      <c r="T9" s="13"/>
      <c r="U9" s="13"/>
      <c r="V9" s="13"/>
    </row>
    <row r="10" spans="1:22" s="12" customFormat="1" ht="18.75" x14ac:dyDescent="0.2">
      <c r="A10" s="319" t="s">
        <v>8</v>
      </c>
      <c r="B10" s="319"/>
      <c r="C10" s="31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3" t="s">
        <v>558</v>
      </c>
      <c r="B12" s="323"/>
      <c r="C12" s="323"/>
      <c r="D12" s="8"/>
      <c r="E12" s="8"/>
      <c r="F12" s="8"/>
      <c r="G12" s="8"/>
      <c r="H12" s="8"/>
      <c r="I12" s="13"/>
      <c r="J12" s="13"/>
      <c r="K12" s="13"/>
      <c r="L12" s="13"/>
      <c r="M12" s="13"/>
      <c r="N12" s="13"/>
      <c r="O12" s="13"/>
      <c r="P12" s="13"/>
      <c r="Q12" s="13"/>
      <c r="R12" s="13"/>
      <c r="S12" s="13"/>
      <c r="T12" s="13"/>
      <c r="U12" s="13"/>
      <c r="V12" s="13"/>
    </row>
    <row r="13" spans="1:22" s="12" customFormat="1" ht="18.75" x14ac:dyDescent="0.2">
      <c r="A13" s="319" t="s">
        <v>7</v>
      </c>
      <c r="B13" s="319"/>
      <c r="C13" s="31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24" t="s">
        <v>543</v>
      </c>
      <c r="B15" s="324"/>
      <c r="C15" s="324"/>
      <c r="D15" s="8"/>
      <c r="E15" s="8"/>
      <c r="F15" s="8"/>
      <c r="G15" s="8"/>
      <c r="H15" s="8"/>
      <c r="I15" s="8"/>
      <c r="J15" s="8"/>
      <c r="K15" s="8"/>
      <c r="L15" s="8"/>
      <c r="M15" s="8"/>
      <c r="N15" s="8"/>
      <c r="O15" s="8"/>
      <c r="P15" s="8"/>
      <c r="Q15" s="8"/>
      <c r="R15" s="8"/>
      <c r="S15" s="8"/>
      <c r="T15" s="8"/>
      <c r="U15" s="8"/>
      <c r="V15" s="8"/>
    </row>
    <row r="16" spans="1:22" s="3" customFormat="1" ht="15" customHeight="1" x14ac:dyDescent="0.2">
      <c r="A16" s="319" t="s">
        <v>6</v>
      </c>
      <c r="B16" s="319"/>
      <c r="C16" s="31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463</v>
      </c>
      <c r="B18" s="321"/>
      <c r="C18" s="32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326</v>
      </c>
      <c r="C22" s="36" t="s">
        <v>481</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63</v>
      </c>
      <c r="B23" s="35" t="s">
        <v>488</v>
      </c>
      <c r="C23" s="36" t="s">
        <v>489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15"/>
      <c r="B24" s="316"/>
      <c r="C24" s="31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56" t="s">
        <v>411</v>
      </c>
      <c r="C25" s="172" t="s">
        <v>482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56" t="s">
        <v>74</v>
      </c>
      <c r="C26" s="172" t="s">
        <v>483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56" t="s">
        <v>73</v>
      </c>
      <c r="C27" s="172" t="s">
        <v>544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56" t="s">
        <v>412</v>
      </c>
      <c r="C28" s="172"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56" t="s">
        <v>413</v>
      </c>
      <c r="C29" s="172"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56" t="s">
        <v>414</v>
      </c>
      <c r="C30" s="172"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415</v>
      </c>
      <c r="C31" s="172" t="s">
        <v>591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416</v>
      </c>
      <c r="C32" s="172"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417</v>
      </c>
      <c r="C33" s="36" t="s">
        <v>486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432</v>
      </c>
      <c r="B34" s="39" t="s">
        <v>418</v>
      </c>
      <c r="C34" s="36" t="s">
        <v>487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421</v>
      </c>
      <c r="B35" s="39" t="s">
        <v>71</v>
      </c>
      <c r="C35" s="36" t="s">
        <v>485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433</v>
      </c>
      <c r="B36" s="39" t="s">
        <v>419</v>
      </c>
      <c r="C36" s="36" t="s">
        <v>484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422</v>
      </c>
      <c r="B37" s="39" t="s">
        <v>420</v>
      </c>
      <c r="C37" s="36" t="s">
        <v>484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434</v>
      </c>
      <c r="B38" s="39" t="s">
        <v>222</v>
      </c>
      <c r="C38" s="36" t="s">
        <v>484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5"/>
      <c r="B39" s="316"/>
      <c r="C39" s="317"/>
      <c r="D39" s="23"/>
      <c r="E39" s="23"/>
      <c r="F39" s="23"/>
      <c r="G39" s="23"/>
      <c r="H39" s="23"/>
      <c r="I39" s="23"/>
      <c r="J39" s="23"/>
      <c r="K39" s="23"/>
      <c r="L39" s="23"/>
      <c r="M39" s="23"/>
      <c r="N39" s="23"/>
      <c r="O39" s="23"/>
      <c r="P39" s="23"/>
      <c r="Q39" s="23"/>
      <c r="R39" s="23"/>
      <c r="S39" s="23"/>
      <c r="T39" s="23"/>
      <c r="U39" s="23"/>
      <c r="V39" s="23"/>
    </row>
    <row r="40" spans="1:22" ht="63" x14ac:dyDescent="0.25">
      <c r="A40" s="24" t="s">
        <v>423</v>
      </c>
      <c r="B40" s="39" t="s">
        <v>476</v>
      </c>
      <c r="C40" s="300" t="s">
        <v>560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435</v>
      </c>
      <c r="B41" s="39" t="s">
        <v>458</v>
      </c>
      <c r="C41" s="314" t="s">
        <v>615</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424</v>
      </c>
      <c r="B42" s="39" t="s">
        <v>473</v>
      </c>
      <c r="C42" s="39" t="s">
        <v>563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438</v>
      </c>
      <c r="B43" s="39" t="s">
        <v>439</v>
      </c>
      <c r="C43" s="36" t="s">
        <v>564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425</v>
      </c>
      <c r="B44" s="39" t="s">
        <v>464</v>
      </c>
      <c r="C44" s="301" t="s">
        <v>564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459</v>
      </c>
      <c r="B45" s="39" t="s">
        <v>465</v>
      </c>
      <c r="C45" s="301" t="s">
        <v>564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426</v>
      </c>
      <c r="B46" s="39" t="s">
        <v>466</v>
      </c>
      <c r="C46" s="300" t="s">
        <v>559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5"/>
      <c r="B47" s="316"/>
      <c r="C47" s="31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460</v>
      </c>
      <c r="B48" s="39" t="s">
        <v>474</v>
      </c>
      <c r="C48" s="174" t="s">
        <v>545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427</v>
      </c>
      <c r="B49" s="39" t="s">
        <v>475</v>
      </c>
      <c r="C49" s="173" t="s">
        <v>546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topLeftCell="A19" zoomScale="90" zoomScaleNormal="70" zoomScaleSheetLayoutView="90" workbookViewId="0">
      <pane xSplit="2" ySplit="5" topLeftCell="C24" activePane="bottomRight" state="frozen"/>
      <selection activeCell="A19" sqref="A19"/>
      <selection pane="topRight" activeCell="C19" sqref="C19"/>
      <selection pane="bottomLeft" activeCell="A24" sqref="A24"/>
      <selection pane="bottomRight" activeCell="I36" sqref="I36"/>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9.5703125" style="65" customWidth="1"/>
    <col min="13" max="13" width="5.28515625" style="65" customWidth="1"/>
    <col min="14" max="14" width="8.5703125" style="65" customWidth="1"/>
    <col min="15" max="15" width="6.140625" style="65" customWidth="1"/>
    <col min="16" max="16" width="9.85546875" style="65" customWidth="1"/>
    <col min="17" max="17" width="6.140625" style="65" customWidth="1"/>
    <col min="18" max="18" width="13.140625" style="65" bestFit="1" customWidth="1"/>
    <col min="19"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68</v>
      </c>
    </row>
    <row r="2" spans="1:21" ht="18.75" x14ac:dyDescent="0.3">
      <c r="A2" s="66"/>
      <c r="B2" s="66"/>
      <c r="C2" s="66"/>
      <c r="D2" s="66"/>
      <c r="E2" s="66"/>
      <c r="F2" s="66"/>
      <c r="L2" s="66"/>
      <c r="M2" s="66"/>
      <c r="U2" s="15" t="s">
        <v>10</v>
      </c>
    </row>
    <row r="3" spans="1:21" ht="18.75" x14ac:dyDescent="0.3">
      <c r="A3" s="66"/>
      <c r="B3" s="66"/>
      <c r="C3" s="66"/>
      <c r="D3" s="66"/>
      <c r="E3" s="66"/>
      <c r="F3" s="66"/>
      <c r="L3" s="66"/>
      <c r="M3" s="66"/>
      <c r="U3" s="15" t="s">
        <v>67</v>
      </c>
    </row>
    <row r="4" spans="1:21" ht="18.75" customHeight="1" x14ac:dyDescent="0.25">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c r="T4" s="318"/>
      <c r="U4" s="318"/>
    </row>
    <row r="5" spans="1:21" ht="18.75" x14ac:dyDescent="0.3">
      <c r="A5" s="66"/>
      <c r="B5" s="66"/>
      <c r="C5" s="66"/>
      <c r="D5" s="66"/>
      <c r="E5" s="66"/>
      <c r="F5" s="66"/>
      <c r="L5" s="66"/>
      <c r="M5" s="66"/>
      <c r="U5" s="15"/>
    </row>
    <row r="6" spans="1:21" ht="18.75" x14ac:dyDescent="0.25">
      <c r="A6" s="322" t="s">
        <v>9</v>
      </c>
      <c r="B6" s="322"/>
      <c r="C6" s="322"/>
      <c r="D6" s="322"/>
      <c r="E6" s="322"/>
      <c r="F6" s="322"/>
      <c r="G6" s="322"/>
      <c r="H6" s="322"/>
      <c r="I6" s="322"/>
      <c r="J6" s="322"/>
      <c r="K6" s="322"/>
      <c r="L6" s="322"/>
      <c r="M6" s="322"/>
      <c r="N6" s="322"/>
      <c r="O6" s="322"/>
      <c r="P6" s="322"/>
      <c r="Q6" s="322"/>
      <c r="R6" s="322"/>
      <c r="S6" s="322"/>
      <c r="T6" s="322"/>
      <c r="U6" s="322"/>
    </row>
    <row r="7" spans="1:21" ht="18.75" x14ac:dyDescent="0.25">
      <c r="A7" s="13"/>
      <c r="B7" s="13"/>
      <c r="C7" s="13"/>
      <c r="D7" s="13"/>
      <c r="E7" s="13"/>
      <c r="F7" s="13"/>
      <c r="G7" s="13"/>
      <c r="H7" s="13"/>
      <c r="I7" s="13"/>
      <c r="J7" s="90"/>
      <c r="K7" s="90"/>
      <c r="L7" s="90"/>
      <c r="M7" s="90"/>
      <c r="N7" s="90"/>
      <c r="O7" s="90"/>
      <c r="P7" s="90"/>
      <c r="Q7" s="90"/>
      <c r="R7" s="90"/>
      <c r="S7" s="90"/>
      <c r="T7" s="90"/>
      <c r="U7" s="90"/>
    </row>
    <row r="8" spans="1:21" x14ac:dyDescent="0.25">
      <c r="A8" s="328" t="str">
        <f>'1. паспорт местоположение'!A9:C9</f>
        <v xml:space="preserve">                         АО "Янтарьэнерго"                         </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19" t="s">
        <v>8</v>
      </c>
      <c r="B9" s="319"/>
      <c r="C9" s="319"/>
      <c r="D9" s="319"/>
      <c r="E9" s="319"/>
      <c r="F9" s="319"/>
      <c r="G9" s="319"/>
      <c r="H9" s="319"/>
      <c r="I9" s="319"/>
      <c r="J9" s="319"/>
      <c r="K9" s="319"/>
      <c r="L9" s="319"/>
      <c r="M9" s="319"/>
      <c r="N9" s="319"/>
      <c r="O9" s="319"/>
      <c r="P9" s="319"/>
      <c r="Q9" s="319"/>
      <c r="R9" s="319"/>
      <c r="S9" s="319"/>
      <c r="T9" s="319"/>
      <c r="U9" s="319"/>
    </row>
    <row r="10" spans="1:21" ht="18.75" x14ac:dyDescent="0.25">
      <c r="A10" s="13"/>
      <c r="B10" s="13"/>
      <c r="C10" s="13"/>
      <c r="D10" s="13"/>
      <c r="E10" s="13"/>
      <c r="F10" s="13"/>
      <c r="G10" s="13"/>
      <c r="H10" s="13"/>
      <c r="I10" s="13"/>
      <c r="J10" s="90"/>
      <c r="K10" s="90"/>
      <c r="L10" s="90"/>
      <c r="M10" s="90"/>
      <c r="N10" s="90"/>
      <c r="O10" s="90"/>
      <c r="P10" s="90"/>
      <c r="Q10" s="90"/>
      <c r="R10" s="90"/>
      <c r="S10" s="90"/>
      <c r="T10" s="90"/>
      <c r="U10" s="90"/>
    </row>
    <row r="11" spans="1:21" x14ac:dyDescent="0.25">
      <c r="A11" s="328" t="str">
        <f>'1. паспорт местоположение'!A12:C12</f>
        <v xml:space="preserve">                              G_4584                              </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19" t="s">
        <v>7</v>
      </c>
      <c r="B12" s="319"/>
      <c r="C12" s="319"/>
      <c r="D12" s="319"/>
      <c r="E12" s="319"/>
      <c r="F12" s="319"/>
      <c r="G12" s="319"/>
      <c r="H12" s="319"/>
      <c r="I12" s="319"/>
      <c r="J12" s="319"/>
      <c r="K12" s="319"/>
      <c r="L12" s="319"/>
      <c r="M12" s="319"/>
      <c r="N12" s="319"/>
      <c r="O12" s="319"/>
      <c r="P12" s="319"/>
      <c r="Q12" s="319"/>
      <c r="R12" s="319"/>
      <c r="S12" s="319"/>
      <c r="T12" s="319"/>
      <c r="U12" s="319"/>
    </row>
    <row r="13" spans="1:21" ht="16.5" customHeight="1" x14ac:dyDescent="0.3">
      <c r="A13" s="11"/>
      <c r="B13" s="11"/>
      <c r="C13" s="11"/>
      <c r="D13" s="11"/>
      <c r="E13" s="11"/>
      <c r="F13" s="11"/>
      <c r="G13" s="11"/>
      <c r="H13" s="11"/>
      <c r="I13" s="11"/>
      <c r="J13" s="89"/>
      <c r="K13" s="89"/>
      <c r="L13" s="89"/>
      <c r="M13" s="89"/>
      <c r="N13" s="89"/>
      <c r="O13" s="89"/>
      <c r="P13" s="89"/>
      <c r="Q13" s="89"/>
      <c r="R13" s="89"/>
      <c r="S13" s="89"/>
      <c r="T13" s="89"/>
      <c r="U13" s="89"/>
    </row>
    <row r="14" spans="1:21" ht="36" customHeight="1" x14ac:dyDescent="0.25">
      <c r="A14"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25"/>
      <c r="C14" s="325"/>
      <c r="D14" s="325"/>
      <c r="E14" s="325"/>
      <c r="F14" s="325"/>
      <c r="G14" s="325"/>
      <c r="H14" s="325"/>
      <c r="I14" s="325"/>
      <c r="J14" s="325"/>
      <c r="K14" s="325"/>
      <c r="L14" s="325"/>
      <c r="M14" s="325"/>
      <c r="N14" s="325"/>
      <c r="O14" s="325"/>
      <c r="P14" s="325"/>
      <c r="Q14" s="325"/>
      <c r="R14" s="325"/>
      <c r="S14" s="325"/>
      <c r="T14" s="325"/>
      <c r="U14" s="325"/>
    </row>
    <row r="15" spans="1:21" ht="15.75" customHeight="1" x14ac:dyDescent="0.25">
      <c r="A15" s="319" t="s">
        <v>6</v>
      </c>
      <c r="B15" s="319"/>
      <c r="C15" s="319"/>
      <c r="D15" s="319"/>
      <c r="E15" s="319"/>
      <c r="F15" s="319"/>
      <c r="G15" s="319"/>
      <c r="H15" s="319"/>
      <c r="I15" s="319"/>
      <c r="J15" s="319"/>
      <c r="K15" s="319"/>
      <c r="L15" s="319"/>
      <c r="M15" s="319"/>
      <c r="N15" s="319"/>
      <c r="O15" s="319"/>
      <c r="P15" s="319"/>
      <c r="Q15" s="319"/>
      <c r="R15" s="319"/>
      <c r="S15" s="319"/>
      <c r="T15" s="319"/>
      <c r="U15" s="319"/>
    </row>
    <row r="16" spans="1:21" x14ac:dyDescent="0.25">
      <c r="A16" s="389"/>
      <c r="B16" s="389"/>
      <c r="C16" s="389"/>
      <c r="D16" s="389"/>
      <c r="E16" s="389"/>
      <c r="F16" s="389"/>
      <c r="G16" s="389"/>
      <c r="H16" s="389"/>
      <c r="I16" s="389"/>
      <c r="J16" s="389"/>
      <c r="K16" s="389"/>
      <c r="L16" s="389"/>
      <c r="M16" s="389"/>
      <c r="N16" s="389"/>
      <c r="O16" s="389"/>
      <c r="P16" s="389"/>
      <c r="Q16" s="389"/>
      <c r="R16" s="389"/>
      <c r="S16" s="389"/>
      <c r="T16" s="389"/>
      <c r="U16" s="389"/>
    </row>
    <row r="17" spans="1:24" x14ac:dyDescent="0.25">
      <c r="A17" s="66"/>
      <c r="L17" s="66"/>
      <c r="M17" s="66"/>
      <c r="N17" s="66"/>
      <c r="O17" s="66"/>
      <c r="P17" s="66"/>
      <c r="Q17" s="66"/>
      <c r="R17" s="66"/>
      <c r="S17" s="66"/>
      <c r="T17" s="66"/>
    </row>
    <row r="18" spans="1:24" x14ac:dyDescent="0.25">
      <c r="A18" s="394" t="s">
        <v>448</v>
      </c>
      <c r="B18" s="394"/>
      <c r="C18" s="394"/>
      <c r="D18" s="394"/>
      <c r="E18" s="394"/>
      <c r="F18" s="394"/>
      <c r="G18" s="394"/>
      <c r="H18" s="394"/>
      <c r="I18" s="394"/>
      <c r="J18" s="394"/>
      <c r="K18" s="394"/>
      <c r="L18" s="394"/>
      <c r="M18" s="394"/>
      <c r="N18" s="394"/>
      <c r="O18" s="394"/>
      <c r="P18" s="394"/>
      <c r="Q18" s="394"/>
      <c r="R18" s="394"/>
      <c r="S18" s="394"/>
      <c r="T18" s="394"/>
      <c r="U18" s="394"/>
    </row>
    <row r="19" spans="1:24" x14ac:dyDescent="0.25">
      <c r="A19" s="66"/>
      <c r="B19" s="66"/>
      <c r="C19" s="66"/>
      <c r="D19" s="66"/>
      <c r="E19" s="66"/>
      <c r="F19" s="66"/>
      <c r="L19" s="66"/>
      <c r="M19" s="66"/>
      <c r="N19" s="66"/>
      <c r="O19" s="66"/>
      <c r="P19" s="66"/>
      <c r="Q19" s="66"/>
      <c r="R19" s="66"/>
      <c r="S19" s="66"/>
      <c r="T19" s="66"/>
    </row>
    <row r="20" spans="1:24" ht="33" customHeight="1" x14ac:dyDescent="0.25">
      <c r="A20" s="390" t="s">
        <v>199</v>
      </c>
      <c r="B20" s="390" t="s">
        <v>198</v>
      </c>
      <c r="C20" s="388" t="s">
        <v>197</v>
      </c>
      <c r="D20" s="388"/>
      <c r="E20" s="393" t="s">
        <v>196</v>
      </c>
      <c r="F20" s="393"/>
      <c r="G20" s="390" t="s">
        <v>537</v>
      </c>
      <c r="H20" s="399">
        <v>2016</v>
      </c>
      <c r="I20" s="400"/>
      <c r="J20" s="400"/>
      <c r="K20" s="400"/>
      <c r="L20" s="399">
        <v>2017</v>
      </c>
      <c r="M20" s="400"/>
      <c r="N20" s="400"/>
      <c r="O20" s="400"/>
      <c r="P20" s="399">
        <v>2018</v>
      </c>
      <c r="Q20" s="400"/>
      <c r="R20" s="400"/>
      <c r="S20" s="400"/>
      <c r="T20" s="395" t="s">
        <v>195</v>
      </c>
      <c r="U20" s="396"/>
      <c r="V20" s="88"/>
      <c r="W20" s="88"/>
      <c r="X20" s="88"/>
    </row>
    <row r="21" spans="1:24" ht="99.75" customHeight="1" x14ac:dyDescent="0.25">
      <c r="A21" s="391"/>
      <c r="B21" s="391"/>
      <c r="C21" s="388"/>
      <c r="D21" s="388"/>
      <c r="E21" s="393"/>
      <c r="F21" s="393"/>
      <c r="G21" s="391"/>
      <c r="H21" s="388" t="s">
        <v>2</v>
      </c>
      <c r="I21" s="388"/>
      <c r="J21" s="388" t="s">
        <v>11</v>
      </c>
      <c r="K21" s="388"/>
      <c r="L21" s="388" t="s">
        <v>2</v>
      </c>
      <c r="M21" s="388"/>
      <c r="N21" s="388" t="s">
        <v>192</v>
      </c>
      <c r="O21" s="388"/>
      <c r="P21" s="388" t="s">
        <v>2</v>
      </c>
      <c r="Q21" s="388"/>
      <c r="R21" s="388" t="s">
        <v>192</v>
      </c>
      <c r="S21" s="388"/>
      <c r="T21" s="397"/>
      <c r="U21" s="398"/>
    </row>
    <row r="22" spans="1:24" ht="89.25" customHeight="1" x14ac:dyDescent="0.25">
      <c r="A22" s="392"/>
      <c r="B22" s="392"/>
      <c r="C22" s="85" t="s">
        <v>2</v>
      </c>
      <c r="D22" s="85" t="s">
        <v>192</v>
      </c>
      <c r="E22" s="87" t="s">
        <v>536</v>
      </c>
      <c r="F22" s="87" t="s">
        <v>194</v>
      </c>
      <c r="G22" s="392"/>
      <c r="H22" s="86" t="s">
        <v>428</v>
      </c>
      <c r="I22" s="86" t="s">
        <v>429</v>
      </c>
      <c r="J22" s="86" t="s">
        <v>428</v>
      </c>
      <c r="K22" s="86" t="s">
        <v>429</v>
      </c>
      <c r="L22" s="86" t="s">
        <v>428</v>
      </c>
      <c r="M22" s="86" t="s">
        <v>429</v>
      </c>
      <c r="N22" s="86" t="s">
        <v>428</v>
      </c>
      <c r="O22" s="86" t="s">
        <v>429</v>
      </c>
      <c r="P22" s="86" t="s">
        <v>428</v>
      </c>
      <c r="Q22" s="86" t="s">
        <v>429</v>
      </c>
      <c r="R22" s="86" t="s">
        <v>428</v>
      </c>
      <c r="S22" s="86" t="s">
        <v>429</v>
      </c>
      <c r="T22" s="85" t="s">
        <v>193</v>
      </c>
      <c r="U22" s="85" t="s">
        <v>192</v>
      </c>
    </row>
    <row r="23" spans="1:24" ht="19.5" customHeight="1" x14ac:dyDescent="0.25">
      <c r="A23" s="78">
        <v>1</v>
      </c>
      <c r="B23" s="78">
        <v>2</v>
      </c>
      <c r="C23" s="78">
        <v>3</v>
      </c>
      <c r="D23" s="78">
        <v>4</v>
      </c>
      <c r="E23" s="78">
        <v>5</v>
      </c>
      <c r="F23" s="78">
        <v>6</v>
      </c>
      <c r="G23" s="151">
        <v>7</v>
      </c>
      <c r="H23" s="151">
        <v>8</v>
      </c>
      <c r="I23" s="151">
        <v>9</v>
      </c>
      <c r="J23" s="151">
        <v>10</v>
      </c>
      <c r="K23" s="151">
        <v>11</v>
      </c>
      <c r="L23" s="151">
        <v>12</v>
      </c>
      <c r="M23" s="151">
        <v>13</v>
      </c>
      <c r="N23" s="151">
        <v>14</v>
      </c>
      <c r="O23" s="151">
        <v>15</v>
      </c>
      <c r="P23" s="151">
        <v>16</v>
      </c>
      <c r="Q23" s="151">
        <v>17</v>
      </c>
      <c r="R23" s="151">
        <v>18</v>
      </c>
      <c r="S23" s="151">
        <v>19</v>
      </c>
      <c r="T23" s="151">
        <v>20</v>
      </c>
      <c r="U23" s="151">
        <v>21</v>
      </c>
    </row>
    <row r="24" spans="1:24" ht="47.25" customHeight="1" x14ac:dyDescent="0.25">
      <c r="A24" s="83">
        <v>1</v>
      </c>
      <c r="B24" s="82" t="s">
        <v>191</v>
      </c>
      <c r="C24" s="267">
        <f>SUM(C25:C29)</f>
        <v>950.03</v>
      </c>
      <c r="D24" s="267"/>
      <c r="E24" s="267">
        <f>SUM(E25:E29)</f>
        <v>950.03</v>
      </c>
      <c r="F24" s="269"/>
      <c r="G24" s="267"/>
      <c r="H24" s="267">
        <f>SUM(H25:H29)</f>
        <v>54.169999999999995</v>
      </c>
      <c r="I24" s="267">
        <f t="shared" ref="I24:K24" si="0">SUM(I25:I29)</f>
        <v>0</v>
      </c>
      <c r="J24" s="267">
        <f t="shared" si="0"/>
        <v>15.5406</v>
      </c>
      <c r="K24" s="267">
        <f t="shared" si="0"/>
        <v>0</v>
      </c>
      <c r="L24" s="267">
        <f>SUM(L25:L29)</f>
        <v>761.48</v>
      </c>
      <c r="M24" s="267"/>
      <c r="N24" s="267"/>
      <c r="O24" s="267"/>
      <c r="P24" s="267">
        <f>SUM(P25:P29)</f>
        <v>134.38</v>
      </c>
      <c r="Q24" s="267"/>
      <c r="R24" s="267"/>
      <c r="S24" s="267"/>
      <c r="T24" s="267">
        <f>H24+L24+P24</f>
        <v>950.03</v>
      </c>
      <c r="U24" s="267"/>
    </row>
    <row r="25" spans="1:24" ht="24" customHeight="1" x14ac:dyDescent="0.25">
      <c r="A25" s="80" t="s">
        <v>190</v>
      </c>
      <c r="B25" s="50" t="s">
        <v>189</v>
      </c>
      <c r="C25" s="267"/>
      <c r="D25" s="267"/>
      <c r="E25" s="269"/>
      <c r="F25" s="269"/>
      <c r="G25" s="267"/>
      <c r="H25" s="267"/>
      <c r="I25" s="267"/>
      <c r="J25" s="267"/>
      <c r="K25" s="267"/>
      <c r="L25" s="267"/>
      <c r="M25" s="267"/>
      <c r="N25" s="267"/>
      <c r="O25" s="267"/>
      <c r="P25" s="267"/>
      <c r="Q25" s="267"/>
      <c r="R25" s="267"/>
      <c r="S25" s="267"/>
      <c r="T25" s="269"/>
      <c r="U25" s="269"/>
    </row>
    <row r="26" spans="1:24" x14ac:dyDescent="0.25">
      <c r="A26" s="80" t="s">
        <v>188</v>
      </c>
      <c r="B26" s="50" t="s">
        <v>187</v>
      </c>
      <c r="C26" s="268"/>
      <c r="D26" s="268"/>
      <c r="E26" s="268"/>
      <c r="F26" s="268"/>
      <c r="G26" s="267"/>
      <c r="H26" s="267"/>
      <c r="I26" s="267"/>
      <c r="J26" s="267"/>
      <c r="K26" s="267"/>
      <c r="L26" s="267"/>
      <c r="M26" s="267"/>
      <c r="N26" s="267"/>
      <c r="O26" s="268"/>
      <c r="P26" s="268"/>
      <c r="Q26" s="268"/>
      <c r="R26" s="268"/>
      <c r="S26" s="268"/>
      <c r="T26" s="269"/>
      <c r="U26" s="269"/>
    </row>
    <row r="27" spans="1:24" ht="31.5" x14ac:dyDescent="0.25">
      <c r="A27" s="80" t="s">
        <v>186</v>
      </c>
      <c r="B27" s="50" t="s">
        <v>409</v>
      </c>
      <c r="C27" s="268"/>
      <c r="D27" s="268"/>
      <c r="E27" s="268"/>
      <c r="F27" s="268"/>
      <c r="G27" s="268"/>
      <c r="H27" s="268"/>
      <c r="I27" s="268"/>
      <c r="J27" s="268"/>
      <c r="K27" s="268"/>
      <c r="L27" s="268"/>
      <c r="M27" s="268"/>
      <c r="N27" s="268"/>
      <c r="O27" s="268"/>
      <c r="P27" s="268"/>
      <c r="Q27" s="268"/>
      <c r="R27" s="268"/>
      <c r="S27" s="268"/>
      <c r="T27" s="269"/>
      <c r="U27" s="269"/>
    </row>
    <row r="28" spans="1:24" x14ac:dyDescent="0.25">
      <c r="A28" s="80" t="s">
        <v>185</v>
      </c>
      <c r="B28" s="50" t="s">
        <v>184</v>
      </c>
      <c r="C28" s="268">
        <f>T28</f>
        <v>805.11</v>
      </c>
      <c r="D28" s="268"/>
      <c r="E28" s="268">
        <f>T28</f>
        <v>805.11</v>
      </c>
      <c r="F28" s="268"/>
      <c r="G28" s="268"/>
      <c r="H28" s="268">
        <v>45.91</v>
      </c>
      <c r="I28" s="268"/>
      <c r="J28" s="268">
        <v>13.17</v>
      </c>
      <c r="K28" s="268"/>
      <c r="L28" s="268">
        <v>645.32000000000005</v>
      </c>
      <c r="M28" s="268"/>
      <c r="N28" s="268"/>
      <c r="O28" s="268"/>
      <c r="P28" s="268">
        <v>113.88</v>
      </c>
      <c r="Q28" s="268"/>
      <c r="R28" s="268"/>
      <c r="S28" s="268"/>
      <c r="T28" s="268">
        <f>H28+L28+P28</f>
        <v>805.11</v>
      </c>
      <c r="U28" s="268"/>
    </row>
    <row r="29" spans="1:24" x14ac:dyDescent="0.25">
      <c r="A29" s="80" t="s">
        <v>183</v>
      </c>
      <c r="B29" s="84" t="s">
        <v>182</v>
      </c>
      <c r="C29" s="268">
        <f>T29</f>
        <v>144.92000000000002</v>
      </c>
      <c r="D29" s="268"/>
      <c r="E29" s="268">
        <f>T29</f>
        <v>144.92000000000002</v>
      </c>
      <c r="F29" s="268"/>
      <c r="G29" s="268"/>
      <c r="H29" s="268">
        <v>8.26</v>
      </c>
      <c r="I29" s="268"/>
      <c r="J29" s="268">
        <v>2.3706</v>
      </c>
      <c r="K29" s="268"/>
      <c r="L29" s="268">
        <v>116.16</v>
      </c>
      <c r="M29" s="268"/>
      <c r="N29" s="268"/>
      <c r="O29" s="268"/>
      <c r="P29" s="268">
        <v>20.5</v>
      </c>
      <c r="Q29" s="268"/>
      <c r="R29" s="268"/>
      <c r="S29" s="268"/>
      <c r="T29" s="268">
        <f>H29+L29+P29</f>
        <v>144.92000000000002</v>
      </c>
      <c r="U29" s="268"/>
    </row>
    <row r="30" spans="1:24" s="266" customFormat="1" ht="47.25" x14ac:dyDescent="0.25">
      <c r="A30" s="83" t="s">
        <v>63</v>
      </c>
      <c r="B30" s="82" t="s">
        <v>181</v>
      </c>
      <c r="C30" s="267">
        <f>C31+C32+C33+C34</f>
        <v>805.11</v>
      </c>
      <c r="D30" s="267"/>
      <c r="E30" s="267">
        <f>E31+E32+E33+E34</f>
        <v>805.11</v>
      </c>
      <c r="F30" s="267"/>
      <c r="G30" s="267"/>
      <c r="H30" s="267">
        <f>H31+H32+H33+H34</f>
        <v>45.908000000000001</v>
      </c>
      <c r="I30" s="267"/>
      <c r="J30" s="267"/>
      <c r="K30" s="267"/>
      <c r="L30" s="267">
        <v>744.59500000000003</v>
      </c>
      <c r="M30" s="267"/>
      <c r="N30" s="267"/>
      <c r="O30" s="267"/>
      <c r="P30" s="267">
        <v>14.61</v>
      </c>
      <c r="Q30" s="267"/>
      <c r="R30" s="267"/>
      <c r="S30" s="267"/>
      <c r="T30" s="267">
        <f>H30+L30+P30</f>
        <v>805.11300000000006</v>
      </c>
      <c r="U30" s="267"/>
    </row>
    <row r="31" spans="1:24" x14ac:dyDescent="0.25">
      <c r="A31" s="83" t="s">
        <v>180</v>
      </c>
      <c r="B31" s="50" t="s">
        <v>179</v>
      </c>
      <c r="C31" s="268">
        <v>43.9</v>
      </c>
      <c r="D31" s="268"/>
      <c r="E31" s="268">
        <f>C31</f>
        <v>43.9</v>
      </c>
      <c r="F31" s="268"/>
      <c r="G31" s="268"/>
      <c r="H31" s="268">
        <v>43.9</v>
      </c>
      <c r="I31" s="268"/>
      <c r="J31" s="268"/>
      <c r="K31" s="268"/>
      <c r="L31" s="268"/>
      <c r="M31" s="268"/>
      <c r="N31" s="268"/>
      <c r="O31" s="268"/>
      <c r="P31" s="268"/>
      <c r="Q31" s="268"/>
      <c r="R31" s="268"/>
      <c r="S31" s="268"/>
      <c r="T31" s="268">
        <f>C31</f>
        <v>43.9</v>
      </c>
      <c r="U31" s="268"/>
    </row>
    <row r="32" spans="1:24" ht="31.5" x14ac:dyDescent="0.25">
      <c r="A32" s="83" t="s">
        <v>178</v>
      </c>
      <c r="B32" s="50" t="s">
        <v>177</v>
      </c>
      <c r="C32" s="268">
        <v>581.08000000000004</v>
      </c>
      <c r="D32" s="268"/>
      <c r="E32" s="268">
        <f>C32</f>
        <v>581.08000000000004</v>
      </c>
      <c r="F32" s="268"/>
      <c r="G32" s="268"/>
      <c r="H32" s="268"/>
      <c r="I32" s="268"/>
      <c r="J32" s="268"/>
      <c r="K32" s="268"/>
      <c r="L32" s="268"/>
      <c r="M32" s="268"/>
      <c r="N32" s="268"/>
      <c r="O32" s="268"/>
      <c r="P32" s="268"/>
      <c r="Q32" s="268"/>
      <c r="R32" s="268"/>
      <c r="S32" s="268"/>
      <c r="T32" s="268">
        <f>C32</f>
        <v>581.08000000000004</v>
      </c>
      <c r="U32" s="268"/>
    </row>
    <row r="33" spans="1:21" x14ac:dyDescent="0.25">
      <c r="A33" s="83" t="s">
        <v>176</v>
      </c>
      <c r="B33" s="50" t="s">
        <v>175</v>
      </c>
      <c r="C33" s="268"/>
      <c r="D33" s="268"/>
      <c r="E33" s="268"/>
      <c r="F33" s="268"/>
      <c r="G33" s="268"/>
      <c r="H33" s="268"/>
      <c r="I33" s="268"/>
      <c r="J33" s="268"/>
      <c r="K33" s="268"/>
      <c r="L33" s="268"/>
      <c r="M33" s="268"/>
      <c r="N33" s="268"/>
      <c r="O33" s="268"/>
      <c r="P33" s="268"/>
      <c r="Q33" s="268"/>
      <c r="R33" s="268"/>
      <c r="S33" s="268"/>
      <c r="T33" s="268">
        <f>C33</f>
        <v>0</v>
      </c>
      <c r="U33" s="268"/>
    </row>
    <row r="34" spans="1:21" x14ac:dyDescent="0.25">
      <c r="A34" s="83" t="s">
        <v>174</v>
      </c>
      <c r="B34" s="50" t="s">
        <v>173</v>
      </c>
      <c r="C34" s="268">
        <v>180.13</v>
      </c>
      <c r="D34" s="268"/>
      <c r="E34" s="268">
        <f>C34</f>
        <v>180.13</v>
      </c>
      <c r="F34" s="268"/>
      <c r="G34" s="268"/>
      <c r="H34" s="268">
        <v>2.008</v>
      </c>
      <c r="I34" s="268"/>
      <c r="J34" s="268"/>
      <c r="K34" s="268"/>
      <c r="L34" s="268"/>
      <c r="M34" s="268"/>
      <c r="N34" s="268"/>
      <c r="O34" s="268"/>
      <c r="P34" s="268"/>
      <c r="Q34" s="268"/>
      <c r="R34" s="268"/>
      <c r="S34" s="268"/>
      <c r="T34" s="268">
        <f>C34</f>
        <v>180.13</v>
      </c>
      <c r="U34" s="268"/>
    </row>
    <row r="35" spans="1:21" s="266" customFormat="1" ht="31.5" x14ac:dyDescent="0.25">
      <c r="A35" s="83" t="s">
        <v>62</v>
      </c>
      <c r="B35" s="82" t="s">
        <v>172</v>
      </c>
      <c r="C35" s="171"/>
      <c r="D35" s="267"/>
      <c r="E35" s="267"/>
      <c r="F35" s="267"/>
      <c r="G35" s="267"/>
      <c r="H35" s="267"/>
      <c r="I35" s="267"/>
      <c r="J35" s="267"/>
      <c r="K35" s="267"/>
      <c r="L35" s="267"/>
      <c r="M35" s="267"/>
      <c r="N35" s="267"/>
      <c r="O35" s="267"/>
      <c r="P35" s="267"/>
      <c r="Q35" s="267"/>
      <c r="R35" s="267"/>
      <c r="S35" s="267"/>
      <c r="T35" s="267"/>
      <c r="U35" s="267"/>
    </row>
    <row r="36" spans="1:21" ht="31.5" x14ac:dyDescent="0.25">
      <c r="A36" s="80" t="s">
        <v>171</v>
      </c>
      <c r="B36" s="79" t="s">
        <v>170</v>
      </c>
      <c r="C36" s="270"/>
      <c r="D36" s="267"/>
      <c r="E36" s="268"/>
      <c r="F36" s="268"/>
      <c r="G36" s="268"/>
      <c r="H36" s="268"/>
      <c r="I36" s="268"/>
      <c r="J36" s="268"/>
      <c r="K36" s="268"/>
      <c r="L36" s="268"/>
      <c r="M36" s="268"/>
      <c r="N36" s="268"/>
      <c r="O36" s="268"/>
      <c r="P36" s="268"/>
      <c r="Q36" s="268"/>
      <c r="R36" s="268"/>
      <c r="S36" s="268"/>
      <c r="T36" s="268"/>
      <c r="U36" s="269"/>
    </row>
    <row r="37" spans="1:21" x14ac:dyDescent="0.25">
      <c r="A37" s="80" t="s">
        <v>169</v>
      </c>
      <c r="B37" s="79" t="s">
        <v>159</v>
      </c>
      <c r="C37" s="270"/>
      <c r="D37" s="267"/>
      <c r="E37" s="268"/>
      <c r="F37" s="268"/>
      <c r="G37" s="268"/>
      <c r="H37" s="268"/>
      <c r="I37" s="268"/>
      <c r="J37" s="268"/>
      <c r="K37" s="268"/>
      <c r="L37" s="268"/>
      <c r="M37" s="268"/>
      <c r="N37" s="268"/>
      <c r="O37" s="268"/>
      <c r="P37" s="268"/>
      <c r="Q37" s="268"/>
      <c r="R37" s="268"/>
      <c r="S37" s="268"/>
      <c r="T37" s="268"/>
      <c r="U37" s="269"/>
    </row>
    <row r="38" spans="1:21" x14ac:dyDescent="0.25">
      <c r="A38" s="80" t="s">
        <v>168</v>
      </c>
      <c r="B38" s="79" t="s">
        <v>157</v>
      </c>
      <c r="C38" s="270"/>
      <c r="D38" s="267"/>
      <c r="E38" s="268"/>
      <c r="F38" s="268"/>
      <c r="G38" s="268"/>
      <c r="H38" s="268"/>
      <c r="I38" s="268"/>
      <c r="J38" s="268"/>
      <c r="K38" s="268"/>
      <c r="L38" s="268"/>
      <c r="M38" s="268"/>
      <c r="N38" s="268"/>
      <c r="O38" s="268"/>
      <c r="P38" s="268"/>
      <c r="Q38" s="268"/>
      <c r="R38" s="268"/>
      <c r="S38" s="268"/>
      <c r="T38" s="268"/>
      <c r="U38" s="269"/>
    </row>
    <row r="39" spans="1:21" ht="31.5" x14ac:dyDescent="0.25">
      <c r="A39" s="80" t="s">
        <v>167</v>
      </c>
      <c r="B39" s="50" t="s">
        <v>155</v>
      </c>
      <c r="C39" s="77"/>
      <c r="D39" s="268"/>
      <c r="E39" s="268"/>
      <c r="F39" s="268"/>
      <c r="G39" s="268"/>
      <c r="H39" s="268"/>
      <c r="I39" s="268"/>
      <c r="J39" s="268"/>
      <c r="K39" s="268"/>
      <c r="L39" s="268"/>
      <c r="M39" s="268"/>
      <c r="N39" s="268"/>
      <c r="O39" s="268"/>
      <c r="P39" s="268"/>
      <c r="Q39" s="268"/>
      <c r="R39" s="268"/>
      <c r="S39" s="268"/>
      <c r="T39" s="268"/>
      <c r="U39" s="268"/>
    </row>
    <row r="40" spans="1:21" ht="31.5" x14ac:dyDescent="0.25">
      <c r="A40" s="80" t="s">
        <v>166</v>
      </c>
      <c r="B40" s="50" t="s">
        <v>153</v>
      </c>
      <c r="C40" s="268">
        <f>E40</f>
        <v>116.9</v>
      </c>
      <c r="E40" s="268">
        <f>T40</f>
        <v>116.9</v>
      </c>
      <c r="F40" s="268"/>
      <c r="G40" s="268"/>
      <c r="H40" s="268"/>
      <c r="I40" s="268"/>
      <c r="J40" s="268"/>
      <c r="K40" s="268"/>
      <c r="L40" s="268">
        <v>116.9</v>
      </c>
      <c r="M40" s="268"/>
      <c r="O40" s="268"/>
      <c r="P40" s="268"/>
      <c r="Q40" s="268"/>
      <c r="R40" s="268"/>
      <c r="S40" s="268"/>
      <c r="T40" s="268">
        <f>L40</f>
        <v>116.9</v>
      </c>
    </row>
    <row r="41" spans="1:21" x14ac:dyDescent="0.25">
      <c r="A41" s="80" t="s">
        <v>165</v>
      </c>
      <c r="B41" s="50" t="s">
        <v>151</v>
      </c>
      <c r="C41" s="77"/>
      <c r="D41" s="267"/>
      <c r="E41" s="268"/>
      <c r="F41" s="268"/>
      <c r="G41" s="268"/>
      <c r="H41" s="268"/>
      <c r="I41" s="268"/>
      <c r="J41" s="268"/>
      <c r="K41" s="268"/>
      <c r="L41" s="268"/>
      <c r="M41" s="268"/>
      <c r="N41" s="268"/>
      <c r="O41" s="268"/>
      <c r="P41" s="268"/>
      <c r="Q41" s="268"/>
      <c r="R41" s="268"/>
      <c r="S41" s="268"/>
      <c r="T41" s="268"/>
      <c r="U41" s="269"/>
    </row>
    <row r="42" spans="1:21" ht="18.75" x14ac:dyDescent="0.25">
      <c r="A42" s="80" t="s">
        <v>164</v>
      </c>
      <c r="B42" s="79" t="s">
        <v>149</v>
      </c>
      <c r="C42" s="270"/>
      <c r="D42" s="267"/>
      <c r="E42" s="268"/>
      <c r="F42" s="268"/>
      <c r="G42" s="268"/>
      <c r="H42" s="268"/>
      <c r="I42" s="268"/>
      <c r="J42" s="268"/>
      <c r="K42" s="268"/>
      <c r="L42" s="268"/>
      <c r="M42" s="268"/>
      <c r="N42" s="268"/>
      <c r="O42" s="268"/>
      <c r="P42" s="268"/>
      <c r="Q42" s="268"/>
      <c r="R42" s="268"/>
      <c r="S42" s="268"/>
      <c r="T42" s="268"/>
      <c r="U42" s="269"/>
    </row>
    <row r="43" spans="1:21" x14ac:dyDescent="0.25">
      <c r="A43" s="83" t="s">
        <v>61</v>
      </c>
      <c r="B43" s="82" t="s">
        <v>163</v>
      </c>
      <c r="C43" s="171"/>
      <c r="D43" s="267"/>
      <c r="E43" s="267"/>
      <c r="F43" s="268"/>
      <c r="G43" s="268"/>
      <c r="H43" s="268"/>
      <c r="I43" s="268"/>
      <c r="J43" s="268"/>
      <c r="K43" s="268"/>
      <c r="L43" s="268"/>
      <c r="M43" s="268"/>
      <c r="N43" s="268"/>
      <c r="O43" s="268"/>
      <c r="P43" s="268"/>
      <c r="Q43" s="268"/>
      <c r="R43" s="267"/>
      <c r="S43" s="268"/>
      <c r="T43" s="268"/>
      <c r="U43" s="267"/>
    </row>
    <row r="44" spans="1:21" x14ac:dyDescent="0.25">
      <c r="A44" s="80" t="s">
        <v>162</v>
      </c>
      <c r="B44" s="50" t="s">
        <v>161</v>
      </c>
      <c r="C44" s="77"/>
      <c r="D44" s="267"/>
      <c r="E44" s="268"/>
      <c r="F44" s="268"/>
      <c r="G44" s="268"/>
      <c r="H44" s="268"/>
      <c r="I44" s="268"/>
      <c r="J44" s="268"/>
      <c r="K44" s="268"/>
      <c r="L44" s="268"/>
      <c r="M44" s="268"/>
      <c r="N44" s="268"/>
      <c r="O44" s="268"/>
      <c r="P44" s="268"/>
      <c r="Q44" s="268"/>
      <c r="R44" s="268"/>
      <c r="S44" s="268"/>
      <c r="T44" s="268"/>
      <c r="U44" s="269"/>
    </row>
    <row r="45" spans="1:21" x14ac:dyDescent="0.25">
      <c r="A45" s="80" t="s">
        <v>160</v>
      </c>
      <c r="B45" s="50" t="s">
        <v>159</v>
      </c>
      <c r="C45" s="77"/>
      <c r="D45" s="267"/>
      <c r="E45" s="268"/>
      <c r="F45" s="268"/>
      <c r="G45" s="268"/>
      <c r="H45" s="268"/>
      <c r="I45" s="268"/>
      <c r="J45" s="268"/>
      <c r="K45" s="268"/>
      <c r="L45" s="268"/>
      <c r="M45" s="268"/>
      <c r="N45" s="268"/>
      <c r="O45" s="268"/>
      <c r="P45" s="268"/>
      <c r="Q45" s="268"/>
      <c r="R45" s="268"/>
      <c r="S45" s="268"/>
      <c r="T45" s="268"/>
      <c r="U45" s="269"/>
    </row>
    <row r="46" spans="1:21" x14ac:dyDescent="0.25">
      <c r="A46" s="80" t="s">
        <v>158</v>
      </c>
      <c r="B46" s="50" t="s">
        <v>157</v>
      </c>
      <c r="C46" s="77"/>
      <c r="D46" s="267"/>
      <c r="E46" s="268"/>
      <c r="F46" s="268"/>
      <c r="G46" s="268"/>
      <c r="H46" s="268"/>
      <c r="I46" s="268"/>
      <c r="J46" s="268"/>
      <c r="K46" s="268"/>
      <c r="L46" s="268"/>
      <c r="M46" s="268"/>
      <c r="N46" s="268"/>
      <c r="O46" s="268"/>
      <c r="P46" s="268"/>
      <c r="Q46" s="268"/>
      <c r="R46" s="268"/>
      <c r="S46" s="268"/>
      <c r="T46" s="268"/>
      <c r="U46" s="269"/>
    </row>
    <row r="47" spans="1:21" ht="31.5" x14ac:dyDescent="0.25">
      <c r="A47" s="80" t="s">
        <v>156</v>
      </c>
      <c r="B47" s="50" t="s">
        <v>155</v>
      </c>
      <c r="C47" s="77"/>
      <c r="D47" s="268"/>
      <c r="E47" s="268"/>
      <c r="F47" s="268"/>
      <c r="G47" s="268"/>
      <c r="H47" s="268"/>
      <c r="I47" s="268"/>
      <c r="J47" s="268"/>
      <c r="K47" s="268"/>
      <c r="L47" s="268"/>
      <c r="M47" s="268"/>
      <c r="N47" s="268"/>
      <c r="O47" s="268"/>
      <c r="P47" s="268"/>
      <c r="Q47" s="268"/>
      <c r="R47" s="268"/>
      <c r="S47" s="268"/>
      <c r="T47" s="268"/>
      <c r="U47" s="268"/>
    </row>
    <row r="48" spans="1:21" ht="31.5" x14ac:dyDescent="0.25">
      <c r="A48" s="80" t="s">
        <v>154</v>
      </c>
      <c r="B48" s="50" t="s">
        <v>153</v>
      </c>
      <c r="C48" s="268">
        <f>E48</f>
        <v>116.9</v>
      </c>
      <c r="E48" s="268">
        <f>T48</f>
        <v>116.9</v>
      </c>
      <c r="F48" s="268"/>
      <c r="G48" s="268"/>
      <c r="H48" s="268"/>
      <c r="I48" s="268"/>
      <c r="J48" s="268"/>
      <c r="K48" s="268"/>
      <c r="L48" s="268"/>
      <c r="M48" s="268"/>
      <c r="N48" s="268"/>
      <c r="O48" s="268"/>
      <c r="P48" s="268">
        <v>116.9</v>
      </c>
      <c r="Q48" s="268"/>
      <c r="S48" s="268"/>
      <c r="T48" s="268">
        <f>P48</f>
        <v>116.9</v>
      </c>
    </row>
    <row r="49" spans="1:21" x14ac:dyDescent="0.25">
      <c r="A49" s="80" t="s">
        <v>152</v>
      </c>
      <c r="B49" s="50" t="s">
        <v>151</v>
      </c>
      <c r="C49" s="77"/>
      <c r="D49" s="267"/>
      <c r="E49" s="268"/>
      <c r="F49" s="268"/>
      <c r="G49" s="268"/>
      <c r="H49" s="268"/>
      <c r="I49" s="268"/>
      <c r="J49" s="268"/>
      <c r="K49" s="268"/>
      <c r="L49" s="268"/>
      <c r="M49" s="268"/>
      <c r="N49" s="268"/>
      <c r="O49" s="268"/>
      <c r="P49" s="268"/>
      <c r="Q49" s="268"/>
      <c r="R49" s="268"/>
      <c r="S49" s="268"/>
      <c r="T49" s="268"/>
      <c r="U49" s="269"/>
    </row>
    <row r="50" spans="1:21" ht="18.75" x14ac:dyDescent="0.25">
      <c r="A50" s="80" t="s">
        <v>150</v>
      </c>
      <c r="B50" s="79" t="s">
        <v>149</v>
      </c>
      <c r="C50" s="270"/>
      <c r="D50" s="267"/>
      <c r="E50" s="268"/>
      <c r="F50" s="268"/>
      <c r="G50" s="268"/>
      <c r="H50" s="268"/>
      <c r="I50" s="268"/>
      <c r="J50" s="268"/>
      <c r="K50" s="268"/>
      <c r="L50" s="268"/>
      <c r="M50" s="268"/>
      <c r="N50" s="268"/>
      <c r="O50" s="268"/>
      <c r="P50" s="268"/>
      <c r="Q50" s="268"/>
      <c r="R50" s="268"/>
      <c r="S50" s="268"/>
      <c r="T50" s="268"/>
      <c r="U50" s="269"/>
    </row>
    <row r="51" spans="1:21" ht="35.25" customHeight="1" x14ac:dyDescent="0.25">
      <c r="A51" s="83" t="s">
        <v>59</v>
      </c>
      <c r="B51" s="82" t="s">
        <v>148</v>
      </c>
      <c r="C51" s="171"/>
      <c r="D51" s="267"/>
      <c r="E51" s="267"/>
      <c r="F51" s="268"/>
      <c r="G51" s="268"/>
      <c r="H51" s="268"/>
      <c r="I51" s="268"/>
      <c r="J51" s="268"/>
      <c r="K51" s="268"/>
      <c r="L51" s="268"/>
      <c r="M51" s="268"/>
      <c r="N51" s="268"/>
      <c r="O51" s="268"/>
      <c r="P51" s="268"/>
      <c r="Q51" s="268"/>
      <c r="R51" s="267"/>
      <c r="S51" s="268"/>
      <c r="T51" s="268"/>
      <c r="U51" s="267"/>
    </row>
    <row r="52" spans="1:21" x14ac:dyDescent="0.25">
      <c r="A52" s="80" t="s">
        <v>147</v>
      </c>
      <c r="B52" s="50" t="s">
        <v>146</v>
      </c>
      <c r="C52" s="268">
        <f>E52</f>
        <v>805.11</v>
      </c>
      <c r="D52" s="268"/>
      <c r="E52" s="268">
        <f>T52</f>
        <v>805.11</v>
      </c>
      <c r="F52" s="268"/>
      <c r="G52" s="268"/>
      <c r="H52" s="268"/>
      <c r="I52" s="268"/>
      <c r="J52" s="268"/>
      <c r="K52" s="268"/>
      <c r="L52" s="268"/>
      <c r="M52" s="268"/>
      <c r="N52" s="268"/>
      <c r="O52" s="268"/>
      <c r="P52" s="268">
        <v>805.11</v>
      </c>
      <c r="Q52" s="268"/>
      <c r="R52" s="268"/>
      <c r="S52" s="268"/>
      <c r="T52" s="268">
        <f>P52</f>
        <v>805.11</v>
      </c>
      <c r="U52" s="268"/>
    </row>
    <row r="53" spans="1:21" x14ac:dyDescent="0.25">
      <c r="A53" s="80" t="s">
        <v>145</v>
      </c>
      <c r="B53" s="50" t="s">
        <v>139</v>
      </c>
      <c r="C53" s="267"/>
      <c r="D53" s="267"/>
      <c r="E53" s="268"/>
      <c r="F53" s="268"/>
      <c r="G53" s="268"/>
      <c r="H53" s="268"/>
      <c r="I53" s="268"/>
      <c r="J53" s="268"/>
      <c r="K53" s="268"/>
      <c r="L53" s="268"/>
      <c r="M53" s="268"/>
      <c r="N53" s="268"/>
      <c r="O53" s="268"/>
      <c r="P53" s="268"/>
      <c r="Q53" s="268"/>
      <c r="R53" s="268"/>
      <c r="S53" s="268"/>
      <c r="T53" s="269"/>
      <c r="U53" s="269"/>
    </row>
    <row r="54" spans="1:21" x14ac:dyDescent="0.25">
      <c r="A54" s="80" t="s">
        <v>144</v>
      </c>
      <c r="B54" s="79" t="s">
        <v>138</v>
      </c>
      <c r="C54" s="267"/>
      <c r="D54" s="267"/>
      <c r="E54" s="268"/>
      <c r="F54" s="268"/>
      <c r="G54" s="268"/>
      <c r="H54" s="268"/>
      <c r="I54" s="268"/>
      <c r="J54" s="268"/>
      <c r="K54" s="268"/>
      <c r="L54" s="268"/>
      <c r="M54" s="268"/>
      <c r="N54" s="268"/>
      <c r="O54" s="268"/>
      <c r="P54" s="268"/>
      <c r="Q54" s="268"/>
      <c r="R54" s="268"/>
      <c r="S54" s="268"/>
      <c r="T54" s="269"/>
      <c r="U54" s="269"/>
    </row>
    <row r="55" spans="1:21" x14ac:dyDescent="0.25">
      <c r="A55" s="80" t="s">
        <v>143</v>
      </c>
      <c r="B55" s="79" t="s">
        <v>137</v>
      </c>
      <c r="C55" s="268"/>
      <c r="D55" s="268"/>
      <c r="E55" s="268"/>
      <c r="F55" s="268"/>
      <c r="G55" s="268"/>
      <c r="H55" s="268"/>
      <c r="I55" s="268"/>
      <c r="J55" s="268"/>
      <c r="K55" s="268"/>
      <c r="L55" s="268"/>
      <c r="M55" s="268"/>
      <c r="N55" s="268"/>
      <c r="O55" s="268"/>
      <c r="P55" s="268"/>
      <c r="Q55" s="268"/>
      <c r="R55" s="268"/>
      <c r="S55" s="268"/>
      <c r="T55" s="268"/>
      <c r="U55" s="268"/>
    </row>
    <row r="56" spans="1:21" x14ac:dyDescent="0.25">
      <c r="A56" s="80" t="s">
        <v>142</v>
      </c>
      <c r="B56" s="79" t="s">
        <v>136</v>
      </c>
      <c r="C56" s="268">
        <f>E56</f>
        <v>116.9</v>
      </c>
      <c r="D56" s="268"/>
      <c r="E56" s="268">
        <f>T56</f>
        <v>116.9</v>
      </c>
      <c r="F56" s="268"/>
      <c r="G56" s="268"/>
      <c r="H56" s="268"/>
      <c r="I56" s="268"/>
      <c r="J56" s="268"/>
      <c r="K56" s="268"/>
      <c r="L56" s="268"/>
      <c r="M56" s="268"/>
      <c r="N56" s="268"/>
      <c r="O56" s="268"/>
      <c r="P56" s="268">
        <v>116.9</v>
      </c>
      <c r="Q56" s="268"/>
      <c r="R56" s="268"/>
      <c r="S56" s="268"/>
      <c r="T56" s="268">
        <f>P56</f>
        <v>116.9</v>
      </c>
      <c r="U56" s="268"/>
    </row>
    <row r="57" spans="1:21" ht="18.75" x14ac:dyDescent="0.25">
      <c r="A57" s="80" t="s">
        <v>141</v>
      </c>
      <c r="B57" s="79" t="s">
        <v>135</v>
      </c>
      <c r="C57" s="270"/>
      <c r="D57" s="171"/>
      <c r="E57" s="171"/>
      <c r="F57" s="171"/>
      <c r="G57" s="77"/>
      <c r="H57" s="77"/>
      <c r="I57" s="77"/>
      <c r="J57" s="77"/>
      <c r="K57" s="77"/>
      <c r="L57" s="77"/>
      <c r="M57" s="77"/>
      <c r="N57" s="77"/>
      <c r="O57" s="77"/>
      <c r="P57" s="77"/>
      <c r="Q57" s="77"/>
      <c r="R57" s="77"/>
      <c r="S57" s="77"/>
      <c r="T57" s="77"/>
      <c r="U57" s="271"/>
    </row>
    <row r="58" spans="1:21" ht="36.75" customHeight="1" x14ac:dyDescent="0.25">
      <c r="A58" s="83" t="s">
        <v>58</v>
      </c>
      <c r="B58" s="93" t="s">
        <v>219</v>
      </c>
      <c r="C58" s="270"/>
      <c r="D58" s="171"/>
      <c r="E58" s="171"/>
      <c r="F58" s="171"/>
      <c r="G58" s="77"/>
      <c r="H58" s="77"/>
      <c r="I58" s="77"/>
      <c r="J58" s="77"/>
      <c r="K58" s="77"/>
      <c r="L58" s="77"/>
      <c r="M58" s="77"/>
      <c r="N58" s="77"/>
      <c r="O58" s="77"/>
      <c r="P58" s="77"/>
      <c r="Q58" s="77"/>
      <c r="R58" s="77"/>
      <c r="S58" s="77"/>
      <c r="T58" s="77"/>
      <c r="U58" s="271"/>
    </row>
    <row r="59" spans="1:21" x14ac:dyDescent="0.25">
      <c r="A59" s="83" t="s">
        <v>56</v>
      </c>
      <c r="B59" s="82" t="s">
        <v>140</v>
      </c>
      <c r="C59" s="171"/>
      <c r="D59" s="171"/>
      <c r="E59" s="77"/>
      <c r="F59" s="77"/>
      <c r="G59" s="77"/>
      <c r="H59" s="77"/>
      <c r="I59" s="77"/>
      <c r="J59" s="77"/>
      <c r="K59" s="77"/>
      <c r="L59" s="77"/>
      <c r="M59" s="77"/>
      <c r="N59" s="77"/>
      <c r="O59" s="77"/>
      <c r="P59" s="77"/>
      <c r="Q59" s="77"/>
      <c r="R59" s="77"/>
      <c r="S59" s="77"/>
      <c r="T59" s="77"/>
      <c r="U59" s="271"/>
    </row>
    <row r="60" spans="1:21" x14ac:dyDescent="0.25">
      <c r="A60" s="80" t="s">
        <v>213</v>
      </c>
      <c r="B60" s="81" t="s">
        <v>161</v>
      </c>
      <c r="C60" s="272"/>
      <c r="D60" s="171"/>
      <c r="E60" s="77"/>
      <c r="F60" s="77"/>
      <c r="G60" s="77"/>
      <c r="H60" s="77"/>
      <c r="I60" s="77"/>
      <c r="J60" s="77"/>
      <c r="K60" s="77"/>
      <c r="L60" s="77"/>
      <c r="M60" s="77"/>
      <c r="N60" s="77"/>
      <c r="O60" s="77"/>
      <c r="P60" s="77"/>
      <c r="Q60" s="77"/>
      <c r="R60" s="77"/>
      <c r="S60" s="77"/>
      <c r="T60" s="77"/>
      <c r="U60" s="271"/>
    </row>
    <row r="61" spans="1:21" x14ac:dyDescent="0.25">
      <c r="A61" s="80" t="s">
        <v>214</v>
      </c>
      <c r="B61" s="81" t="s">
        <v>159</v>
      </c>
      <c r="C61" s="272"/>
      <c r="D61" s="171"/>
      <c r="E61" s="77"/>
      <c r="F61" s="77"/>
      <c r="G61" s="77"/>
      <c r="H61" s="77"/>
      <c r="I61" s="77"/>
      <c r="J61" s="77"/>
      <c r="K61" s="77"/>
      <c r="L61" s="77"/>
      <c r="M61" s="77"/>
      <c r="N61" s="77"/>
      <c r="O61" s="77"/>
      <c r="P61" s="77"/>
      <c r="Q61" s="77"/>
      <c r="R61" s="77"/>
      <c r="S61" s="77"/>
      <c r="T61" s="77"/>
      <c r="U61" s="271"/>
    </row>
    <row r="62" spans="1:21" x14ac:dyDescent="0.25">
      <c r="A62" s="80" t="s">
        <v>215</v>
      </c>
      <c r="B62" s="81" t="s">
        <v>157</v>
      </c>
      <c r="C62" s="272"/>
      <c r="D62" s="171"/>
      <c r="E62" s="77"/>
      <c r="F62" s="77"/>
      <c r="G62" s="77"/>
      <c r="H62" s="77"/>
      <c r="I62" s="77"/>
      <c r="J62" s="77"/>
      <c r="K62" s="77"/>
      <c r="L62" s="77"/>
      <c r="M62" s="77"/>
      <c r="N62" s="77"/>
      <c r="O62" s="77"/>
      <c r="P62" s="77"/>
      <c r="Q62" s="77"/>
      <c r="R62" s="77"/>
      <c r="S62" s="77"/>
      <c r="T62" s="77"/>
      <c r="U62" s="271"/>
    </row>
    <row r="63" spans="1:21" x14ac:dyDescent="0.25">
      <c r="A63" s="80" t="s">
        <v>216</v>
      </c>
      <c r="B63" s="81" t="s">
        <v>218</v>
      </c>
      <c r="C63" s="272"/>
      <c r="D63" s="171"/>
      <c r="E63" s="77"/>
      <c r="F63" s="77"/>
      <c r="G63" s="77"/>
      <c r="H63" s="77"/>
      <c r="I63" s="77"/>
      <c r="J63" s="77"/>
      <c r="K63" s="77"/>
      <c r="L63" s="77"/>
      <c r="M63" s="77"/>
      <c r="N63" s="77"/>
      <c r="O63" s="77"/>
      <c r="P63" s="77"/>
      <c r="Q63" s="77"/>
      <c r="R63" s="77"/>
      <c r="S63" s="77"/>
      <c r="T63" s="77"/>
      <c r="U63" s="271"/>
    </row>
    <row r="64" spans="1:21" ht="18.75" x14ac:dyDescent="0.25">
      <c r="A64" s="80" t="s">
        <v>217</v>
      </c>
      <c r="B64" s="79" t="s">
        <v>135</v>
      </c>
      <c r="C64" s="270"/>
      <c r="D64" s="171"/>
      <c r="E64" s="77"/>
      <c r="F64" s="77"/>
      <c r="G64" s="77"/>
      <c r="H64" s="77"/>
      <c r="I64" s="77"/>
      <c r="J64" s="77"/>
      <c r="K64" s="77"/>
      <c r="L64" s="77"/>
      <c r="M64" s="77"/>
      <c r="N64" s="77"/>
      <c r="O64" s="77"/>
      <c r="P64" s="77"/>
      <c r="Q64" s="77"/>
      <c r="R64" s="77"/>
      <c r="S64" s="77"/>
      <c r="T64" s="77"/>
      <c r="U64" s="271"/>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403"/>
      <c r="C66" s="403"/>
      <c r="D66" s="403"/>
      <c r="E66" s="403"/>
      <c r="F66" s="403"/>
      <c r="G66" s="403"/>
      <c r="H66" s="403"/>
      <c r="I66" s="403"/>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404"/>
      <c r="C68" s="404"/>
      <c r="D68" s="404"/>
      <c r="E68" s="404"/>
      <c r="F68" s="404"/>
      <c r="G68" s="404"/>
      <c r="H68" s="404"/>
      <c r="I68" s="404"/>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403"/>
      <c r="C70" s="403"/>
      <c r="D70" s="403"/>
      <c r="E70" s="403"/>
      <c r="F70" s="403"/>
      <c r="G70" s="403"/>
      <c r="H70" s="403"/>
      <c r="I70" s="403"/>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403"/>
      <c r="C72" s="403"/>
      <c r="D72" s="403"/>
      <c r="E72" s="403"/>
      <c r="F72" s="403"/>
      <c r="G72" s="403"/>
      <c r="H72" s="403"/>
      <c r="I72" s="403"/>
      <c r="J72" s="70"/>
      <c r="K72" s="70"/>
      <c r="L72" s="66"/>
      <c r="M72" s="66"/>
      <c r="N72" s="72"/>
      <c r="O72" s="66"/>
      <c r="P72" s="66"/>
      <c r="Q72" s="66"/>
      <c r="R72" s="66"/>
      <c r="S72" s="66"/>
      <c r="T72" s="66"/>
    </row>
    <row r="73" spans="1:20" ht="32.25" customHeight="1" x14ac:dyDescent="0.25">
      <c r="A73" s="66"/>
      <c r="B73" s="404"/>
      <c r="C73" s="404"/>
      <c r="D73" s="404"/>
      <c r="E73" s="404"/>
      <c r="F73" s="404"/>
      <c r="G73" s="404"/>
      <c r="H73" s="404"/>
      <c r="I73" s="404"/>
      <c r="J73" s="71"/>
      <c r="K73" s="71"/>
      <c r="L73" s="66"/>
      <c r="M73" s="66"/>
      <c r="N73" s="66"/>
      <c r="O73" s="66"/>
      <c r="P73" s="66"/>
      <c r="Q73" s="66"/>
      <c r="R73" s="66"/>
      <c r="S73" s="66"/>
      <c r="T73" s="66"/>
    </row>
    <row r="74" spans="1:20" ht="51.75" customHeight="1" x14ac:dyDescent="0.25">
      <c r="A74" s="66"/>
      <c r="B74" s="403"/>
      <c r="C74" s="403"/>
      <c r="D74" s="403"/>
      <c r="E74" s="403"/>
      <c r="F74" s="403"/>
      <c r="G74" s="403"/>
      <c r="H74" s="403"/>
      <c r="I74" s="403"/>
      <c r="J74" s="70"/>
      <c r="K74" s="70"/>
      <c r="L74" s="66"/>
      <c r="M74" s="66"/>
      <c r="N74" s="66"/>
      <c r="O74" s="66"/>
      <c r="P74" s="66"/>
      <c r="Q74" s="66"/>
      <c r="R74" s="66"/>
      <c r="S74" s="66"/>
      <c r="T74" s="66"/>
    </row>
    <row r="75" spans="1:20" ht="21.75" customHeight="1" x14ac:dyDescent="0.25">
      <c r="A75" s="66"/>
      <c r="B75" s="401"/>
      <c r="C75" s="401"/>
      <c r="D75" s="401"/>
      <c r="E75" s="401"/>
      <c r="F75" s="401"/>
      <c r="G75" s="401"/>
      <c r="H75" s="401"/>
      <c r="I75" s="401"/>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402"/>
      <c r="C77" s="402"/>
      <c r="D77" s="402"/>
      <c r="E77" s="402"/>
      <c r="F77" s="402"/>
      <c r="G77" s="402"/>
      <c r="H77" s="402"/>
      <c r="I77" s="402"/>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6" zoomScale="85" zoomScaleSheetLayoutView="85" workbookViewId="0">
      <selection activeCell="G34" sqref="G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5.42578125" style="19" customWidth="1"/>
    <col min="14" max="14" width="61.140625" style="305" customWidth="1"/>
    <col min="15" max="15" width="19.28515625" style="19" customWidth="1"/>
    <col min="16" max="16" width="18" style="19" customWidth="1"/>
    <col min="17" max="17" width="17.85546875" style="19" customWidth="1"/>
    <col min="18" max="18" width="17" style="19" customWidth="1"/>
    <col min="19" max="19" width="11.85546875" style="19" customWidth="1"/>
    <col min="20" max="20" width="12.5703125" style="19" customWidth="1"/>
    <col min="21" max="21" width="11.42578125" style="19" customWidth="1"/>
    <col min="22" max="22" width="12.7109375" style="19" customWidth="1"/>
    <col min="23" max="23" width="31.7109375" style="19" customWidth="1"/>
    <col min="24" max="24" width="19.42578125" style="19" customWidth="1"/>
    <col min="25" max="25" width="28.28515625" style="19" customWidth="1"/>
    <col min="26" max="26" width="7.7109375" style="19" customWidth="1"/>
    <col min="27" max="27" width="20.28515625" style="19" customWidth="1"/>
    <col min="28" max="28" width="24.140625" style="19" customWidth="1"/>
    <col min="29" max="29" width="23.7109375" style="19" customWidth="1"/>
    <col min="30" max="30" width="20.140625" style="19" customWidth="1"/>
    <col min="31" max="31" width="23.5703125" style="19" customWidth="1"/>
    <col min="32" max="32" width="20" style="19" customWidth="1"/>
    <col min="33" max="33" width="17.42578125" style="19" customWidth="1"/>
    <col min="34" max="34" width="14.7109375" style="19" customWidth="1"/>
    <col min="35" max="35" width="16.28515625" style="19" customWidth="1"/>
    <col min="36" max="36" width="20" style="19" customWidth="1"/>
    <col min="37" max="37" width="21.5703125" style="19" customWidth="1"/>
    <col min="38" max="38" width="21" style="19" customWidth="1"/>
    <col min="39" max="39" width="18.5703125" style="19" customWidth="1"/>
    <col min="40" max="41" width="9.7109375" style="19" customWidth="1"/>
    <col min="42" max="42" width="17.42578125" style="19" customWidth="1"/>
    <col min="43" max="43" width="18.5703125" style="19" customWidth="1"/>
    <col min="44" max="44" width="24" style="19" customWidth="1"/>
    <col min="45" max="45" width="20" style="19" customWidth="1"/>
    <col min="46" max="46" width="20.7109375" style="19" customWidth="1"/>
    <col min="47" max="47" width="21.425781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5"/>
    </row>
    <row r="7" spans="1:48" ht="18.75" x14ac:dyDescent="0.25">
      <c r="A7" s="322" t="s">
        <v>9</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ht="15.75" x14ac:dyDescent="0.25">
      <c r="A9" s="328" t="str">
        <f>'1. паспорт местоположение'!A9:C9</f>
        <v xml:space="preserve">                         АО "Янтарьэнерго"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9" t="s">
        <v>8</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ht="15.75" x14ac:dyDescent="0.25">
      <c r="A12" s="328" t="str">
        <f>'1. паспорт местоположение'!A12:C12</f>
        <v xml:space="preserve">                              G_4584                              </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9" t="s">
        <v>7</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ht="15.75" x14ac:dyDescent="0.25">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9" t="s">
        <v>6</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2" customFormat="1" x14ac:dyDescent="0.25">
      <c r="A21" s="405" t="s">
        <v>461</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406" t="s">
        <v>52</v>
      </c>
      <c r="B22" s="409" t="s">
        <v>24</v>
      </c>
      <c r="C22" s="406" t="s">
        <v>51</v>
      </c>
      <c r="D22" s="406" t="s">
        <v>50</v>
      </c>
      <c r="E22" s="412" t="s">
        <v>472</v>
      </c>
      <c r="F22" s="413"/>
      <c r="G22" s="413"/>
      <c r="H22" s="413"/>
      <c r="I22" s="413"/>
      <c r="J22" s="413"/>
      <c r="K22" s="413"/>
      <c r="L22" s="414"/>
      <c r="M22" s="406" t="s">
        <v>49</v>
      </c>
      <c r="N22" s="406" t="s">
        <v>48</v>
      </c>
      <c r="O22" s="406" t="s">
        <v>47</v>
      </c>
      <c r="P22" s="415" t="s">
        <v>249</v>
      </c>
      <c r="Q22" s="415" t="s">
        <v>46</v>
      </c>
      <c r="R22" s="415" t="s">
        <v>45</v>
      </c>
      <c r="S22" s="415" t="s">
        <v>44</v>
      </c>
      <c r="T22" s="415"/>
      <c r="U22" s="416" t="s">
        <v>43</v>
      </c>
      <c r="V22" s="416" t="s">
        <v>42</v>
      </c>
      <c r="W22" s="415" t="s">
        <v>41</v>
      </c>
      <c r="X22" s="415" t="s">
        <v>40</v>
      </c>
      <c r="Y22" s="415" t="s">
        <v>39</v>
      </c>
      <c r="Z22" s="429"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19" t="s">
        <v>25</v>
      </c>
    </row>
    <row r="23" spans="1:48" s="22" customFormat="1" ht="64.5" customHeight="1" x14ac:dyDescent="0.25">
      <c r="A23" s="407"/>
      <c r="B23" s="410"/>
      <c r="C23" s="407"/>
      <c r="D23" s="407"/>
      <c r="E23" s="421" t="s">
        <v>23</v>
      </c>
      <c r="F23" s="423" t="s">
        <v>139</v>
      </c>
      <c r="G23" s="423" t="s">
        <v>138</v>
      </c>
      <c r="H23" s="423" t="s">
        <v>137</v>
      </c>
      <c r="I23" s="427" t="s">
        <v>406</v>
      </c>
      <c r="J23" s="427" t="s">
        <v>407</v>
      </c>
      <c r="K23" s="427" t="s">
        <v>408</v>
      </c>
      <c r="L23" s="423" t="s">
        <v>79</v>
      </c>
      <c r="M23" s="407"/>
      <c r="N23" s="407"/>
      <c r="O23" s="407"/>
      <c r="P23" s="415"/>
      <c r="Q23" s="415"/>
      <c r="R23" s="415"/>
      <c r="S23" s="425" t="s">
        <v>2</v>
      </c>
      <c r="T23" s="425" t="s">
        <v>11</v>
      </c>
      <c r="U23" s="416"/>
      <c r="V23" s="416"/>
      <c r="W23" s="415"/>
      <c r="X23" s="415"/>
      <c r="Y23" s="415"/>
      <c r="Z23" s="415"/>
      <c r="AA23" s="415"/>
      <c r="AB23" s="415"/>
      <c r="AC23" s="415"/>
      <c r="AD23" s="415"/>
      <c r="AE23" s="415"/>
      <c r="AF23" s="415" t="s">
        <v>22</v>
      </c>
      <c r="AG23" s="415"/>
      <c r="AH23" s="415" t="s">
        <v>21</v>
      </c>
      <c r="AI23" s="415"/>
      <c r="AJ23" s="406" t="s">
        <v>20</v>
      </c>
      <c r="AK23" s="406" t="s">
        <v>19</v>
      </c>
      <c r="AL23" s="406" t="s">
        <v>18</v>
      </c>
      <c r="AM23" s="406" t="s">
        <v>17</v>
      </c>
      <c r="AN23" s="406" t="s">
        <v>16</v>
      </c>
      <c r="AO23" s="406" t="s">
        <v>15</v>
      </c>
      <c r="AP23" s="406" t="s">
        <v>14</v>
      </c>
      <c r="AQ23" s="417" t="s">
        <v>11</v>
      </c>
      <c r="AR23" s="415"/>
      <c r="AS23" s="415"/>
      <c r="AT23" s="415"/>
      <c r="AU23" s="415"/>
      <c r="AV23" s="420"/>
    </row>
    <row r="24" spans="1:48" s="22" customFormat="1" ht="96.75" customHeight="1" x14ac:dyDescent="0.25">
      <c r="A24" s="408"/>
      <c r="B24" s="411"/>
      <c r="C24" s="408"/>
      <c r="D24" s="408"/>
      <c r="E24" s="422"/>
      <c r="F24" s="424"/>
      <c r="G24" s="424"/>
      <c r="H24" s="424"/>
      <c r="I24" s="428"/>
      <c r="J24" s="428"/>
      <c r="K24" s="428"/>
      <c r="L24" s="424"/>
      <c r="M24" s="408"/>
      <c r="N24" s="408"/>
      <c r="O24" s="408"/>
      <c r="P24" s="415"/>
      <c r="Q24" s="415"/>
      <c r="R24" s="415"/>
      <c r="S24" s="426"/>
      <c r="T24" s="426"/>
      <c r="U24" s="416"/>
      <c r="V24" s="416"/>
      <c r="W24" s="415"/>
      <c r="X24" s="415"/>
      <c r="Y24" s="415"/>
      <c r="Z24" s="415"/>
      <c r="AA24" s="415"/>
      <c r="AB24" s="415"/>
      <c r="AC24" s="415"/>
      <c r="AD24" s="415"/>
      <c r="AE24" s="415"/>
      <c r="AF24" s="145" t="s">
        <v>13</v>
      </c>
      <c r="AG24" s="145" t="s">
        <v>12</v>
      </c>
      <c r="AH24" s="146" t="s">
        <v>2</v>
      </c>
      <c r="AI24" s="146" t="s">
        <v>11</v>
      </c>
      <c r="AJ24" s="408"/>
      <c r="AK24" s="408"/>
      <c r="AL24" s="408"/>
      <c r="AM24" s="408"/>
      <c r="AN24" s="408"/>
      <c r="AO24" s="408"/>
      <c r="AP24" s="408"/>
      <c r="AQ24" s="418"/>
      <c r="AR24" s="415"/>
      <c r="AS24" s="415"/>
      <c r="AT24" s="415"/>
      <c r="AU24" s="415"/>
      <c r="AV24" s="42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30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77" customFormat="1" ht="115.5" customHeight="1" x14ac:dyDescent="0.25">
      <c r="A26" s="273">
        <v>1</v>
      </c>
      <c r="B26" s="274" t="s">
        <v>482</v>
      </c>
      <c r="C26" s="274" t="s">
        <v>64</v>
      </c>
      <c r="D26" s="274">
        <v>12.2018</v>
      </c>
      <c r="E26" s="273"/>
      <c r="F26" s="273"/>
      <c r="G26" s="273"/>
      <c r="H26" s="273"/>
      <c r="I26" s="278"/>
      <c r="J26" s="278">
        <v>116.9</v>
      </c>
      <c r="K26" s="273"/>
      <c r="L26" s="273"/>
      <c r="M26" s="274" t="s">
        <v>593</v>
      </c>
      <c r="N26" s="307" t="s">
        <v>592</v>
      </c>
      <c r="O26" s="309" t="s">
        <v>482</v>
      </c>
      <c r="P26" s="310">
        <v>46525.423000000003</v>
      </c>
      <c r="Q26" s="274" t="s">
        <v>596</v>
      </c>
      <c r="R26" s="310">
        <v>46525.423000000003</v>
      </c>
      <c r="S26" s="309" t="s">
        <v>594</v>
      </c>
      <c r="T26" s="309" t="s">
        <v>594</v>
      </c>
      <c r="U26" s="309" t="s">
        <v>595</v>
      </c>
      <c r="V26" s="309" t="s">
        <v>61</v>
      </c>
      <c r="W26" s="309" t="s">
        <v>597</v>
      </c>
      <c r="X26" s="310">
        <v>54850</v>
      </c>
      <c r="Y26" s="274"/>
      <c r="Z26" s="309" t="s">
        <v>64</v>
      </c>
      <c r="AA26" s="310">
        <v>43900</v>
      </c>
      <c r="AB26" s="310">
        <v>43900</v>
      </c>
      <c r="AC26" s="309" t="s">
        <v>597</v>
      </c>
      <c r="AD26" s="275">
        <v>51802</v>
      </c>
      <c r="AE26" s="275">
        <v>51802</v>
      </c>
      <c r="AF26" s="309" t="s">
        <v>601</v>
      </c>
      <c r="AG26" s="309" t="s">
        <v>602</v>
      </c>
      <c r="AH26" s="309" t="s">
        <v>603</v>
      </c>
      <c r="AI26" s="311" t="s">
        <v>603</v>
      </c>
      <c r="AJ26" s="309" t="s">
        <v>604</v>
      </c>
      <c r="AK26" s="309" t="s">
        <v>605</v>
      </c>
      <c r="AL26" s="274"/>
      <c r="AM26" s="274"/>
      <c r="AN26" s="276"/>
      <c r="AO26" s="274"/>
      <c r="AP26" s="309" t="s">
        <v>605</v>
      </c>
      <c r="AQ26" s="309" t="s">
        <v>605</v>
      </c>
      <c r="AR26" s="309" t="s">
        <v>605</v>
      </c>
      <c r="AS26" s="309" t="s">
        <v>605</v>
      </c>
      <c r="AT26" s="309" t="s">
        <v>606</v>
      </c>
      <c r="AU26" s="274"/>
      <c r="AV26" s="274"/>
    </row>
    <row r="27" spans="1:48" s="277" customFormat="1" ht="15.75" x14ac:dyDescent="0.25">
      <c r="A27" s="273"/>
      <c r="B27" s="274"/>
      <c r="C27" s="274"/>
      <c r="D27" s="274"/>
      <c r="E27" s="273"/>
      <c r="F27" s="273"/>
      <c r="G27" s="273"/>
      <c r="H27" s="273"/>
      <c r="I27" s="278"/>
      <c r="J27" s="278"/>
      <c r="K27" s="273"/>
      <c r="L27" s="273"/>
      <c r="M27" s="274"/>
      <c r="N27" s="307"/>
      <c r="O27" s="274"/>
      <c r="P27" s="275"/>
      <c r="Q27" s="274"/>
      <c r="R27" s="275"/>
      <c r="S27" s="274"/>
      <c r="T27" s="274"/>
      <c r="U27" s="273"/>
      <c r="V27" s="273"/>
      <c r="W27" s="309" t="s">
        <v>598</v>
      </c>
      <c r="X27" s="310">
        <v>44116.182999999997</v>
      </c>
      <c r="Y27" s="274"/>
      <c r="Z27" s="309"/>
      <c r="AA27" s="310">
        <v>44116.182999999997</v>
      </c>
      <c r="AB27" s="310"/>
      <c r="AC27" s="275"/>
      <c r="AD27" s="275"/>
      <c r="AE27" s="275"/>
      <c r="AF27" s="273"/>
      <c r="AG27" s="274"/>
      <c r="AH27" s="276"/>
      <c r="AI27" s="276"/>
      <c r="AJ27" s="276"/>
      <c r="AK27" s="276"/>
      <c r="AL27" s="274"/>
      <c r="AM27" s="274"/>
      <c r="AN27" s="276"/>
      <c r="AO27" s="274"/>
      <c r="AP27" s="276"/>
      <c r="AQ27" s="276"/>
      <c r="AR27" s="276"/>
      <c r="AS27" s="276"/>
      <c r="AT27" s="276"/>
      <c r="AU27" s="274"/>
      <c r="AV27" s="274"/>
    </row>
    <row r="28" spans="1:48" s="277" customFormat="1" ht="31.5" x14ac:dyDescent="0.25">
      <c r="A28" s="273"/>
      <c r="B28" s="274"/>
      <c r="C28" s="274"/>
      <c r="D28" s="274"/>
      <c r="E28" s="273"/>
      <c r="F28" s="273"/>
      <c r="G28" s="273"/>
      <c r="H28" s="273"/>
      <c r="I28" s="278"/>
      <c r="J28" s="278"/>
      <c r="K28" s="273"/>
      <c r="L28" s="273"/>
      <c r="M28" s="274"/>
      <c r="N28" s="307"/>
      <c r="O28" s="274"/>
      <c r="P28" s="275"/>
      <c r="Q28" s="274"/>
      <c r="R28" s="275"/>
      <c r="S28" s="274"/>
      <c r="T28" s="274"/>
      <c r="U28" s="273"/>
      <c r="V28" s="273"/>
      <c r="W28" s="309" t="s">
        <v>599</v>
      </c>
      <c r="X28" s="310">
        <v>45522.961000000003</v>
      </c>
      <c r="Y28" s="274"/>
      <c r="Z28" s="309"/>
      <c r="AA28" s="310">
        <v>45522.961000000003</v>
      </c>
      <c r="AB28" s="310"/>
      <c r="AC28" s="275"/>
      <c r="AD28" s="275"/>
      <c r="AE28" s="275"/>
      <c r="AF28" s="273"/>
      <c r="AG28" s="274"/>
      <c r="AH28" s="276"/>
      <c r="AI28" s="276"/>
      <c r="AJ28" s="276"/>
      <c r="AK28" s="276"/>
      <c r="AL28" s="274"/>
      <c r="AM28" s="274"/>
      <c r="AN28" s="276"/>
      <c r="AO28" s="274"/>
      <c r="AP28" s="276"/>
      <c r="AQ28" s="276"/>
      <c r="AR28" s="276"/>
      <c r="AS28" s="276"/>
      <c r="AT28" s="276"/>
      <c r="AU28" s="274"/>
      <c r="AV28" s="274"/>
    </row>
    <row r="29" spans="1:48" s="277" customFormat="1" ht="15.75" x14ac:dyDescent="0.25">
      <c r="A29" s="273"/>
      <c r="B29" s="274"/>
      <c r="C29" s="274"/>
      <c r="D29" s="274"/>
      <c r="E29" s="273"/>
      <c r="F29" s="273"/>
      <c r="G29" s="273"/>
      <c r="H29" s="273"/>
      <c r="I29" s="278"/>
      <c r="J29" s="278"/>
      <c r="K29" s="273"/>
      <c r="L29" s="273"/>
      <c r="M29" s="274"/>
      <c r="N29" s="307"/>
      <c r="O29" s="274"/>
      <c r="P29" s="275"/>
      <c r="Q29" s="274"/>
      <c r="R29" s="275"/>
      <c r="S29" s="274"/>
      <c r="T29" s="274"/>
      <c r="U29" s="273"/>
      <c r="V29" s="273"/>
      <c r="W29" s="309" t="s">
        <v>600</v>
      </c>
      <c r="X29" s="310">
        <v>46448.99</v>
      </c>
      <c r="Y29" s="309" t="s">
        <v>600</v>
      </c>
      <c r="Z29" s="276"/>
      <c r="AA29" s="275"/>
      <c r="AB29" s="275"/>
      <c r="AC29" s="275"/>
      <c r="AD29" s="275"/>
      <c r="AE29" s="275"/>
      <c r="AF29" s="273"/>
      <c r="AG29" s="274"/>
      <c r="AH29" s="276"/>
      <c r="AI29" s="276"/>
      <c r="AJ29" s="276"/>
      <c r="AK29" s="276"/>
      <c r="AL29" s="274"/>
      <c r="AM29" s="274"/>
      <c r="AN29" s="276"/>
      <c r="AO29" s="274"/>
      <c r="AP29" s="276"/>
      <c r="AQ29" s="276"/>
      <c r="AR29" s="276"/>
      <c r="AS29" s="276"/>
      <c r="AT29" s="276"/>
      <c r="AU29" s="274"/>
      <c r="AV29" s="274"/>
    </row>
    <row r="30" spans="1:48" s="313" customFormat="1" ht="94.5" x14ac:dyDescent="0.25">
      <c r="A30" s="312">
        <v>2</v>
      </c>
      <c r="B30" s="274" t="s">
        <v>482</v>
      </c>
      <c r="C30" s="312">
        <v>1</v>
      </c>
      <c r="D30" s="274">
        <v>12.2018</v>
      </c>
      <c r="E30" s="273"/>
      <c r="F30" s="273"/>
      <c r="G30" s="273"/>
      <c r="H30" s="273"/>
      <c r="I30" s="278"/>
      <c r="J30" s="278">
        <v>116.9</v>
      </c>
      <c r="K30" s="312"/>
      <c r="L30" s="312"/>
      <c r="M30" s="312" t="s">
        <v>608</v>
      </c>
      <c r="N30" s="312" t="s">
        <v>607</v>
      </c>
      <c r="O30" s="309" t="s">
        <v>482</v>
      </c>
      <c r="P30" s="310">
        <v>1666202.872</v>
      </c>
      <c r="Q30" s="312" t="s">
        <v>596</v>
      </c>
      <c r="R30" s="310">
        <v>1666202.872</v>
      </c>
      <c r="S30" s="312" t="s">
        <v>609</v>
      </c>
      <c r="T30" s="312" t="s">
        <v>609</v>
      </c>
      <c r="U30" s="312"/>
      <c r="V30" s="312"/>
      <c r="W30" s="312"/>
      <c r="X30" s="312"/>
      <c r="Y30" s="312"/>
      <c r="Z30" s="312"/>
      <c r="AA30" s="312"/>
      <c r="AB30" s="312"/>
      <c r="AC30" s="312"/>
      <c r="AD30" s="312"/>
      <c r="AE30" s="312"/>
      <c r="AF30" s="309" t="s">
        <v>610</v>
      </c>
      <c r="AG30" s="309" t="s">
        <v>602</v>
      </c>
      <c r="AH30" s="309" t="s">
        <v>611</v>
      </c>
      <c r="AI30" s="311">
        <v>42548</v>
      </c>
      <c r="AJ30" s="309" t="s">
        <v>612</v>
      </c>
      <c r="AK30" s="309" t="s">
        <v>613</v>
      </c>
      <c r="AL30" s="312"/>
      <c r="AM30" s="312"/>
      <c r="AN30" s="312"/>
      <c r="AO30" s="312"/>
      <c r="AP30" s="312"/>
      <c r="AQ30" s="312"/>
      <c r="AR30" s="312"/>
      <c r="AS30" s="312"/>
      <c r="AT30" s="312"/>
      <c r="AU30" s="312"/>
      <c r="AV30" s="312" t="s">
        <v>614</v>
      </c>
    </row>
    <row r="31" spans="1:48" x14ac:dyDescent="0.25">
      <c r="A31" s="304"/>
      <c r="B31" s="304"/>
      <c r="C31" s="304"/>
      <c r="D31" s="304"/>
      <c r="E31" s="304"/>
      <c r="F31" s="304"/>
      <c r="G31" s="304"/>
      <c r="H31" s="304"/>
      <c r="I31" s="304"/>
      <c r="J31" s="304"/>
      <c r="K31" s="304"/>
      <c r="L31" s="304"/>
      <c r="M31" s="304"/>
      <c r="N31" s="308"/>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4"/>
      <c r="AL31" s="304"/>
      <c r="AM31" s="304"/>
      <c r="AN31" s="304"/>
      <c r="AO31" s="304"/>
      <c r="AP31" s="304"/>
      <c r="AQ31" s="304"/>
      <c r="AR31" s="304"/>
      <c r="AS31" s="304"/>
      <c r="AT31" s="304"/>
      <c r="AU31" s="304"/>
      <c r="AV31" s="304"/>
    </row>
    <row r="32" spans="1:48" x14ac:dyDescent="0.25">
      <c r="A32" s="304"/>
      <c r="B32" s="304"/>
      <c r="C32" s="304"/>
      <c r="D32" s="304"/>
      <c r="E32" s="304"/>
      <c r="F32" s="304"/>
      <c r="G32" s="304"/>
      <c r="H32" s="304"/>
      <c r="I32" s="304"/>
      <c r="J32" s="304"/>
      <c r="K32" s="304"/>
      <c r="L32" s="304"/>
      <c r="M32" s="304"/>
      <c r="N32" s="308"/>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4"/>
      <c r="AL32" s="304"/>
      <c r="AM32" s="304"/>
      <c r="AN32" s="304"/>
      <c r="AO32" s="304"/>
      <c r="AP32" s="304"/>
      <c r="AQ32" s="304"/>
      <c r="AR32" s="304"/>
      <c r="AS32" s="304"/>
      <c r="AT32" s="304"/>
      <c r="AU32" s="304"/>
      <c r="AV32" s="304"/>
    </row>
    <row r="33" spans="1:48" x14ac:dyDescent="0.25">
      <c r="A33" s="304"/>
      <c r="B33" s="304"/>
      <c r="C33" s="304"/>
      <c r="D33" s="304"/>
      <c r="E33" s="304"/>
      <c r="F33" s="304"/>
      <c r="G33" s="304"/>
      <c r="H33" s="304"/>
      <c r="I33" s="304"/>
      <c r="J33" s="304"/>
      <c r="K33" s="304"/>
      <c r="L33" s="304"/>
      <c r="M33" s="304"/>
      <c r="N33" s="308"/>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04"/>
      <c r="AL33" s="304"/>
      <c r="AM33" s="304"/>
      <c r="AN33" s="304"/>
      <c r="AO33" s="304"/>
      <c r="AP33" s="304"/>
      <c r="AQ33" s="304"/>
      <c r="AR33" s="304"/>
      <c r="AS33" s="304"/>
      <c r="AT33" s="304"/>
      <c r="AU33" s="304"/>
      <c r="AV33" s="304"/>
    </row>
    <row r="34" spans="1:48" x14ac:dyDescent="0.25">
      <c r="A34" s="304"/>
      <c r="B34" s="304"/>
      <c r="C34" s="304"/>
      <c r="D34" s="304"/>
      <c r="E34" s="304"/>
      <c r="F34" s="304"/>
      <c r="G34" s="304"/>
      <c r="H34" s="304"/>
      <c r="I34" s="304"/>
      <c r="J34" s="304"/>
      <c r="K34" s="304"/>
      <c r="L34" s="304"/>
      <c r="M34" s="304"/>
      <c r="N34" s="308"/>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4"/>
      <c r="AL34" s="304"/>
      <c r="AM34" s="304"/>
      <c r="AN34" s="304"/>
      <c r="AO34" s="304"/>
      <c r="AP34" s="304"/>
      <c r="AQ34" s="304"/>
      <c r="AR34" s="304"/>
      <c r="AS34" s="304"/>
      <c r="AT34" s="304"/>
      <c r="AU34" s="304"/>
      <c r="AV34" s="304"/>
    </row>
    <row r="35" spans="1:48" x14ac:dyDescent="0.25">
      <c r="A35" s="304"/>
      <c r="B35" s="304"/>
      <c r="C35" s="304"/>
      <c r="D35" s="304"/>
      <c r="E35" s="304"/>
      <c r="F35" s="304"/>
      <c r="G35" s="304"/>
      <c r="H35" s="304"/>
      <c r="I35" s="304"/>
      <c r="J35" s="304"/>
      <c r="K35" s="304"/>
      <c r="L35" s="304"/>
      <c r="M35" s="304"/>
      <c r="N35" s="308"/>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4"/>
      <c r="AL35" s="304"/>
      <c r="AM35" s="304"/>
      <c r="AN35" s="304"/>
      <c r="AO35" s="304"/>
      <c r="AP35" s="304"/>
      <c r="AQ35" s="304"/>
      <c r="AR35" s="304"/>
      <c r="AS35" s="304"/>
      <c r="AT35" s="304"/>
      <c r="AU35" s="304"/>
      <c r="AV35" s="304"/>
    </row>
    <row r="36" spans="1:48" x14ac:dyDescent="0.25">
      <c r="A36" s="304"/>
      <c r="B36" s="304"/>
      <c r="C36" s="304"/>
      <c r="D36" s="304"/>
      <c r="E36" s="304"/>
      <c r="F36" s="304"/>
      <c r="G36" s="304"/>
      <c r="H36" s="304"/>
      <c r="I36" s="304"/>
      <c r="J36" s="304"/>
      <c r="K36" s="304"/>
      <c r="L36" s="304"/>
      <c r="M36" s="304"/>
      <c r="N36" s="308"/>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4"/>
      <c r="AL36" s="304"/>
      <c r="AM36" s="304"/>
      <c r="AN36" s="304"/>
      <c r="AO36" s="304"/>
      <c r="AP36" s="304"/>
      <c r="AQ36" s="304"/>
      <c r="AR36" s="304"/>
      <c r="AS36" s="304"/>
      <c r="AT36" s="304"/>
      <c r="AU36" s="304"/>
      <c r="AV36" s="304"/>
    </row>
    <row r="37" spans="1:48" x14ac:dyDescent="0.25">
      <c r="A37" s="304"/>
      <c r="B37" s="304"/>
      <c r="C37" s="304"/>
      <c r="D37" s="304"/>
      <c r="E37" s="304"/>
      <c r="F37" s="304"/>
      <c r="G37" s="304"/>
      <c r="H37" s="304"/>
      <c r="I37" s="304"/>
      <c r="J37" s="304"/>
      <c r="K37" s="304"/>
      <c r="L37" s="304"/>
      <c r="M37" s="304"/>
      <c r="N37" s="308"/>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4"/>
      <c r="AL37" s="304"/>
      <c r="AM37" s="304"/>
      <c r="AN37" s="304"/>
      <c r="AO37" s="304"/>
      <c r="AP37" s="304"/>
      <c r="AQ37" s="304"/>
      <c r="AR37" s="304"/>
      <c r="AS37" s="304"/>
      <c r="AT37" s="304"/>
      <c r="AU37" s="304"/>
      <c r="AV37" s="304"/>
    </row>
    <row r="38" spans="1:48" x14ac:dyDescent="0.25">
      <c r="A38" s="304"/>
      <c r="B38" s="304"/>
      <c r="C38" s="304"/>
      <c r="D38" s="304"/>
      <c r="E38" s="304"/>
      <c r="F38" s="304"/>
      <c r="G38" s="304"/>
      <c r="H38" s="304"/>
      <c r="I38" s="304"/>
      <c r="J38" s="304"/>
      <c r="K38" s="304"/>
      <c r="L38" s="304"/>
      <c r="M38" s="304"/>
      <c r="N38" s="308"/>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4"/>
      <c r="AL38" s="304"/>
      <c r="AM38" s="304"/>
      <c r="AN38" s="304"/>
      <c r="AO38" s="304"/>
      <c r="AP38" s="304"/>
      <c r="AQ38" s="304"/>
      <c r="AR38" s="304"/>
      <c r="AS38" s="304"/>
      <c r="AT38" s="304"/>
      <c r="AU38" s="304"/>
      <c r="AV38" s="3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27" zoomScale="80" zoomScaleNormal="90" zoomScaleSheetLayoutView="80" workbookViewId="0">
      <selection activeCell="B136" sqref="B136"/>
    </sheetView>
  </sheetViews>
  <sheetFormatPr defaultRowHeight="15.75" x14ac:dyDescent="0.25"/>
  <cols>
    <col min="1" max="2" width="66.140625" style="116" customWidth="1"/>
    <col min="3" max="3" width="8.85546875"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8" t="s">
        <v>68</v>
      </c>
    </row>
    <row r="2" spans="1:8" ht="18.75" x14ac:dyDescent="0.3">
      <c r="B2" s="15" t="s">
        <v>10</v>
      </c>
    </row>
    <row r="3" spans="1:8" ht="18.75" x14ac:dyDescent="0.3">
      <c r="B3" s="15" t="s">
        <v>479</v>
      </c>
    </row>
    <row r="4" spans="1:8" x14ac:dyDescent="0.25">
      <c r="B4" s="43"/>
    </row>
    <row r="5" spans="1:8" ht="18.75" x14ac:dyDescent="0.3">
      <c r="A5" s="435" t="str">
        <f>'1. паспорт местоположение'!A5:C5</f>
        <v>Год раскрытия информации: 2016 год</v>
      </c>
      <c r="B5" s="435"/>
      <c r="C5" s="91"/>
      <c r="D5" s="91"/>
      <c r="E5" s="91"/>
      <c r="F5" s="91"/>
      <c r="G5" s="91"/>
      <c r="H5" s="91"/>
    </row>
    <row r="6" spans="1:8" ht="18.75" x14ac:dyDescent="0.3">
      <c r="A6" s="147"/>
      <c r="B6" s="147"/>
      <c r="C6" s="147"/>
      <c r="D6" s="147"/>
      <c r="E6" s="147"/>
      <c r="F6" s="147"/>
      <c r="G6" s="147"/>
      <c r="H6" s="147"/>
    </row>
    <row r="7" spans="1:8" ht="18.75" x14ac:dyDescent="0.25">
      <c r="A7" s="322" t="s">
        <v>9</v>
      </c>
      <c r="B7" s="322"/>
      <c r="C7" s="152"/>
      <c r="D7" s="152"/>
      <c r="E7" s="152"/>
      <c r="F7" s="152"/>
      <c r="G7" s="152"/>
      <c r="H7" s="152"/>
    </row>
    <row r="8" spans="1:8" ht="18.75" x14ac:dyDescent="0.25">
      <c r="A8" s="152"/>
      <c r="B8" s="152"/>
      <c r="C8" s="152"/>
      <c r="D8" s="152"/>
      <c r="E8" s="152"/>
      <c r="F8" s="152"/>
      <c r="G8" s="152"/>
      <c r="H8" s="152"/>
    </row>
    <row r="9" spans="1:8" x14ac:dyDescent="0.25">
      <c r="A9" s="328" t="str">
        <f>'1. паспорт местоположение'!A9:C9</f>
        <v xml:space="preserve">                         АО "Янтарьэнерго"                         </v>
      </c>
      <c r="B9" s="328"/>
      <c r="C9" s="153"/>
      <c r="D9" s="153"/>
      <c r="E9" s="153"/>
      <c r="F9" s="153"/>
      <c r="G9" s="153"/>
      <c r="H9" s="153"/>
    </row>
    <row r="10" spans="1:8" x14ac:dyDescent="0.25">
      <c r="A10" s="319" t="s">
        <v>8</v>
      </c>
      <c r="B10" s="319"/>
      <c r="C10" s="154"/>
      <c r="D10" s="154"/>
      <c r="E10" s="154"/>
      <c r="F10" s="154"/>
      <c r="G10" s="154"/>
      <c r="H10" s="154"/>
    </row>
    <row r="11" spans="1:8" ht="18.75" x14ac:dyDescent="0.25">
      <c r="A11" s="152"/>
      <c r="B11" s="152"/>
      <c r="C11" s="152"/>
      <c r="D11" s="152"/>
      <c r="E11" s="152"/>
      <c r="F11" s="152"/>
      <c r="G11" s="152"/>
      <c r="H11" s="152"/>
    </row>
    <row r="12" spans="1:8" ht="30.75" customHeight="1" x14ac:dyDescent="0.25">
      <c r="A12" s="328" t="str">
        <f>'1. паспорт местоположение'!A12:C12</f>
        <v xml:space="preserve">                              G_4584                              </v>
      </c>
      <c r="B12" s="328"/>
      <c r="C12" s="153"/>
      <c r="D12" s="153"/>
      <c r="E12" s="153"/>
      <c r="F12" s="153"/>
      <c r="G12" s="153"/>
      <c r="H12" s="153"/>
    </row>
    <row r="13" spans="1:8" x14ac:dyDescent="0.25">
      <c r="A13" s="319" t="s">
        <v>7</v>
      </c>
      <c r="B13" s="319"/>
      <c r="C13" s="154"/>
      <c r="D13" s="154"/>
      <c r="E13" s="154"/>
      <c r="F13" s="154"/>
      <c r="G13" s="154"/>
      <c r="H13" s="154"/>
    </row>
    <row r="14" spans="1:8" ht="18.75" x14ac:dyDescent="0.25">
      <c r="A14" s="11"/>
      <c r="B14" s="11"/>
      <c r="C14" s="11"/>
      <c r="D14" s="11"/>
      <c r="E14" s="11"/>
      <c r="F14" s="11"/>
      <c r="G14" s="11"/>
      <c r="H14" s="11"/>
    </row>
    <row r="15" spans="1:8" ht="63.6" customHeight="1" x14ac:dyDescent="0.25">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153"/>
      <c r="D15" s="153"/>
      <c r="E15" s="153"/>
      <c r="F15" s="153"/>
      <c r="G15" s="153"/>
      <c r="H15" s="153"/>
    </row>
    <row r="16" spans="1:8" x14ac:dyDescent="0.25">
      <c r="A16" s="319" t="s">
        <v>6</v>
      </c>
      <c r="B16" s="319"/>
      <c r="C16" s="154"/>
      <c r="D16" s="154"/>
      <c r="E16" s="154"/>
      <c r="F16" s="154"/>
      <c r="G16" s="154"/>
      <c r="H16" s="154"/>
    </row>
    <row r="17" spans="1:2" x14ac:dyDescent="0.25">
      <c r="B17" s="118"/>
    </row>
    <row r="18" spans="1:2" ht="33.75" customHeight="1" x14ac:dyDescent="0.25">
      <c r="A18" s="430" t="s">
        <v>462</v>
      </c>
      <c r="B18" s="431"/>
    </row>
    <row r="19" spans="1:2" x14ac:dyDescent="0.25">
      <c r="B19" s="43"/>
    </row>
    <row r="20" spans="1:2" ht="16.5" thickBot="1" x14ac:dyDescent="0.3">
      <c r="B20" s="119"/>
    </row>
    <row r="21" spans="1:2" ht="101.45" customHeight="1" thickBot="1" x14ac:dyDescent="0.3">
      <c r="A21" s="120" t="s">
        <v>358</v>
      </c>
      <c r="B21" s="121" t="str">
        <f>A15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row>
    <row r="22" spans="1:2" ht="16.5" thickBot="1" x14ac:dyDescent="0.3">
      <c r="A22" s="120" t="s">
        <v>359</v>
      </c>
      <c r="B22" s="121" t="s">
        <v>555</v>
      </c>
    </row>
    <row r="23" spans="1:2" ht="16.5" thickBot="1" x14ac:dyDescent="0.3">
      <c r="A23" s="120" t="s">
        <v>325</v>
      </c>
      <c r="B23" s="122" t="s">
        <v>538</v>
      </c>
    </row>
    <row r="24" spans="1:2" ht="16.5" thickBot="1" x14ac:dyDescent="0.3">
      <c r="A24" s="120" t="s">
        <v>360</v>
      </c>
      <c r="B24" s="122" t="s">
        <v>556</v>
      </c>
    </row>
    <row r="25" spans="1:2" ht="16.5" thickBot="1" x14ac:dyDescent="0.3">
      <c r="A25" s="123" t="s">
        <v>361</v>
      </c>
      <c r="B25" s="121">
        <v>2018</v>
      </c>
    </row>
    <row r="26" spans="1:2" ht="16.5" thickBot="1" x14ac:dyDescent="0.3">
      <c r="A26" s="124" t="s">
        <v>362</v>
      </c>
      <c r="B26" s="125" t="s">
        <v>539</v>
      </c>
    </row>
    <row r="27" spans="1:2" ht="29.25" thickBot="1" x14ac:dyDescent="0.3">
      <c r="A27" s="132" t="s">
        <v>541</v>
      </c>
      <c r="B27" s="127">
        <v>950.03</v>
      </c>
    </row>
    <row r="28" spans="1:2" ht="16.5" thickBot="1" x14ac:dyDescent="0.3">
      <c r="A28" s="127" t="s">
        <v>363</v>
      </c>
      <c r="B28" s="127" t="s">
        <v>540</v>
      </c>
    </row>
    <row r="29" spans="1:2" ht="29.25" thickBot="1" x14ac:dyDescent="0.3">
      <c r="A29" s="133" t="s">
        <v>364</v>
      </c>
      <c r="B29" s="127"/>
    </row>
    <row r="30" spans="1:2" ht="29.25" thickBot="1" x14ac:dyDescent="0.3">
      <c r="A30" s="133" t="s">
        <v>365</v>
      </c>
      <c r="B30" s="293">
        <f>B32+B53+B70</f>
        <v>51.802</v>
      </c>
    </row>
    <row r="31" spans="1:2" ht="16.5" thickBot="1" x14ac:dyDescent="0.3">
      <c r="A31" s="127" t="s">
        <v>366</v>
      </c>
      <c r="B31" s="293"/>
    </row>
    <row r="32" spans="1:2" ht="29.25" thickBot="1" x14ac:dyDescent="0.3">
      <c r="A32" s="133" t="s">
        <v>367</v>
      </c>
      <c r="B32" s="293">
        <f xml:space="preserve"> SUMIF(C33:C110, 10,B33:B110)</f>
        <v>0</v>
      </c>
    </row>
    <row r="33" spans="1:3" s="296" customFormat="1" ht="16.5" thickBot="1" x14ac:dyDescent="0.3">
      <c r="A33" s="294" t="s">
        <v>368</v>
      </c>
      <c r="B33" s="295"/>
      <c r="C33" s="296">
        <v>10</v>
      </c>
    </row>
    <row r="34" spans="1:3" ht="16.5" thickBot="1" x14ac:dyDescent="0.3">
      <c r="A34" s="127" t="s">
        <v>369</v>
      </c>
      <c r="B34" s="297">
        <f>B33/$B$27</f>
        <v>0</v>
      </c>
    </row>
    <row r="35" spans="1:3" ht="16.5" thickBot="1" x14ac:dyDescent="0.3">
      <c r="A35" s="127" t="s">
        <v>370</v>
      </c>
      <c r="B35" s="293"/>
      <c r="C35" s="117">
        <v>1</v>
      </c>
    </row>
    <row r="36" spans="1:3" ht="16.5" thickBot="1" x14ac:dyDescent="0.3">
      <c r="A36" s="127" t="s">
        <v>371</v>
      </c>
      <c r="B36" s="293"/>
      <c r="C36" s="117">
        <v>2</v>
      </c>
    </row>
    <row r="37" spans="1:3" s="296" customFormat="1" ht="16.5" thickBot="1" x14ac:dyDescent="0.3">
      <c r="A37" s="294" t="s">
        <v>368</v>
      </c>
      <c r="B37" s="295"/>
      <c r="C37" s="296">
        <v>10</v>
      </c>
    </row>
    <row r="38" spans="1:3" ht="16.5" thickBot="1" x14ac:dyDescent="0.3">
      <c r="A38" s="127" t="s">
        <v>369</v>
      </c>
      <c r="B38" s="297">
        <f>B37/$B$27</f>
        <v>0</v>
      </c>
    </row>
    <row r="39" spans="1:3" ht="16.5" thickBot="1" x14ac:dyDescent="0.3">
      <c r="A39" s="127" t="s">
        <v>370</v>
      </c>
      <c r="B39" s="293"/>
      <c r="C39" s="117">
        <v>1</v>
      </c>
    </row>
    <row r="40" spans="1:3" ht="16.5" thickBot="1" x14ac:dyDescent="0.3">
      <c r="A40" s="127" t="s">
        <v>371</v>
      </c>
      <c r="B40" s="293"/>
      <c r="C40" s="117">
        <v>2</v>
      </c>
    </row>
    <row r="41" spans="1:3" ht="16.5" thickBot="1" x14ac:dyDescent="0.3">
      <c r="A41" s="294" t="s">
        <v>368</v>
      </c>
      <c r="B41" s="295"/>
      <c r="C41" s="296">
        <v>10</v>
      </c>
    </row>
    <row r="42" spans="1:3" ht="16.5" thickBot="1" x14ac:dyDescent="0.3">
      <c r="A42" s="127" t="s">
        <v>369</v>
      </c>
      <c r="B42" s="297">
        <f>B41/$B$27</f>
        <v>0</v>
      </c>
    </row>
    <row r="43" spans="1:3" ht="16.5" thickBot="1" x14ac:dyDescent="0.3">
      <c r="A43" s="127" t="s">
        <v>370</v>
      </c>
      <c r="B43" s="293"/>
      <c r="C43" s="117">
        <v>1</v>
      </c>
    </row>
    <row r="44" spans="1:3" ht="16.5" thickBot="1" x14ac:dyDescent="0.3">
      <c r="A44" s="127" t="s">
        <v>371</v>
      </c>
      <c r="B44" s="293"/>
      <c r="C44" s="117">
        <v>2</v>
      </c>
    </row>
    <row r="45" spans="1:3" ht="16.5" thickBot="1" x14ac:dyDescent="0.3">
      <c r="A45" s="294" t="s">
        <v>368</v>
      </c>
      <c r="B45" s="295"/>
      <c r="C45" s="296">
        <v>10</v>
      </c>
    </row>
    <row r="46" spans="1:3" ht="16.5" thickBot="1" x14ac:dyDescent="0.3">
      <c r="A46" s="127" t="s">
        <v>369</v>
      </c>
      <c r="B46" s="297">
        <f>B45/$B$27</f>
        <v>0</v>
      </c>
    </row>
    <row r="47" spans="1:3" ht="16.5" thickBot="1" x14ac:dyDescent="0.3">
      <c r="A47" s="127" t="s">
        <v>370</v>
      </c>
      <c r="B47" s="293"/>
      <c r="C47" s="117">
        <v>1</v>
      </c>
    </row>
    <row r="48" spans="1:3" ht="16.5" thickBot="1" x14ac:dyDescent="0.3">
      <c r="A48" s="127" t="s">
        <v>371</v>
      </c>
      <c r="B48" s="293"/>
      <c r="C48" s="117">
        <v>2</v>
      </c>
    </row>
    <row r="49" spans="1:3" ht="16.5" thickBot="1" x14ac:dyDescent="0.3">
      <c r="A49" s="294" t="s">
        <v>368</v>
      </c>
      <c r="B49" s="295"/>
      <c r="C49" s="296">
        <v>10</v>
      </c>
    </row>
    <row r="50" spans="1:3" ht="16.5" thickBot="1" x14ac:dyDescent="0.3">
      <c r="A50" s="127" t="s">
        <v>369</v>
      </c>
      <c r="B50" s="297">
        <f>B49/$B$27</f>
        <v>0</v>
      </c>
    </row>
    <row r="51" spans="1:3" ht="16.5" thickBot="1" x14ac:dyDescent="0.3">
      <c r="A51" s="127" t="s">
        <v>370</v>
      </c>
      <c r="B51" s="293"/>
      <c r="C51" s="117">
        <v>1</v>
      </c>
    </row>
    <row r="52" spans="1:3" ht="16.5" thickBot="1" x14ac:dyDescent="0.3">
      <c r="A52" s="127" t="s">
        <v>371</v>
      </c>
      <c r="B52" s="293"/>
      <c r="C52" s="117">
        <v>2</v>
      </c>
    </row>
    <row r="53" spans="1:3" ht="29.25" thickBot="1" x14ac:dyDescent="0.3">
      <c r="A53" s="133" t="s">
        <v>372</v>
      </c>
      <c r="B53" s="293">
        <f xml:space="preserve"> SUMIF(C54:C110, 20,B54:B110)</f>
        <v>0</v>
      </c>
    </row>
    <row r="54" spans="1:3" s="296" customFormat="1" ht="16.5" thickBot="1" x14ac:dyDescent="0.3">
      <c r="A54" s="294" t="s">
        <v>368</v>
      </c>
      <c r="B54" s="295"/>
      <c r="C54" s="296">
        <v>20</v>
      </c>
    </row>
    <row r="55" spans="1:3" ht="16.5" thickBot="1" x14ac:dyDescent="0.3">
      <c r="A55" s="127" t="s">
        <v>369</v>
      </c>
      <c r="B55" s="297">
        <f>B54/$B$27</f>
        <v>0</v>
      </c>
    </row>
    <row r="56" spans="1:3" ht="16.5" thickBot="1" x14ac:dyDescent="0.3">
      <c r="A56" s="127" t="s">
        <v>370</v>
      </c>
      <c r="B56" s="293"/>
      <c r="C56" s="117">
        <v>1</v>
      </c>
    </row>
    <row r="57" spans="1:3" ht="16.5" thickBot="1" x14ac:dyDescent="0.3">
      <c r="A57" s="127" t="s">
        <v>371</v>
      </c>
      <c r="B57" s="293"/>
      <c r="C57" s="117">
        <v>2</v>
      </c>
    </row>
    <row r="58" spans="1:3" s="296" customFormat="1" ht="16.5" thickBot="1" x14ac:dyDescent="0.3">
      <c r="A58" s="294" t="s">
        <v>368</v>
      </c>
      <c r="B58" s="295"/>
      <c r="C58" s="296">
        <v>20</v>
      </c>
    </row>
    <row r="59" spans="1:3" ht="16.5" thickBot="1" x14ac:dyDescent="0.3">
      <c r="A59" s="127" t="s">
        <v>369</v>
      </c>
      <c r="B59" s="297">
        <f>B58/$B$27</f>
        <v>0</v>
      </c>
    </row>
    <row r="60" spans="1:3" ht="16.5" thickBot="1" x14ac:dyDescent="0.3">
      <c r="A60" s="127" t="s">
        <v>370</v>
      </c>
      <c r="B60" s="293"/>
      <c r="C60" s="117">
        <v>1</v>
      </c>
    </row>
    <row r="61" spans="1:3" ht="16.5" thickBot="1" x14ac:dyDescent="0.3">
      <c r="A61" s="127" t="s">
        <v>371</v>
      </c>
      <c r="B61" s="293"/>
      <c r="C61" s="117">
        <v>2</v>
      </c>
    </row>
    <row r="62" spans="1:3" s="296" customFormat="1" ht="16.5" thickBot="1" x14ac:dyDescent="0.3">
      <c r="A62" s="294" t="s">
        <v>368</v>
      </c>
      <c r="B62" s="295"/>
      <c r="C62" s="296">
        <v>20</v>
      </c>
    </row>
    <row r="63" spans="1:3" ht="16.5" thickBot="1" x14ac:dyDescent="0.3">
      <c r="A63" s="127" t="s">
        <v>369</v>
      </c>
      <c r="B63" s="297">
        <f>B62/$B$27</f>
        <v>0</v>
      </c>
    </row>
    <row r="64" spans="1:3" ht="16.5" thickBot="1" x14ac:dyDescent="0.3">
      <c r="A64" s="127" t="s">
        <v>370</v>
      </c>
      <c r="B64" s="293"/>
      <c r="C64" s="117">
        <v>1</v>
      </c>
    </row>
    <row r="65" spans="1:3" ht="16.5" thickBot="1" x14ac:dyDescent="0.3">
      <c r="A65" s="127" t="s">
        <v>371</v>
      </c>
      <c r="B65" s="293"/>
      <c r="C65" s="117">
        <v>2</v>
      </c>
    </row>
    <row r="66" spans="1:3" s="296" customFormat="1" ht="16.5" thickBot="1" x14ac:dyDescent="0.3">
      <c r="A66" s="294" t="s">
        <v>368</v>
      </c>
      <c r="B66" s="295"/>
      <c r="C66" s="296">
        <v>20</v>
      </c>
    </row>
    <row r="67" spans="1:3" ht="16.5" thickBot="1" x14ac:dyDescent="0.3">
      <c r="A67" s="127" t="s">
        <v>369</v>
      </c>
      <c r="B67" s="297">
        <f>B66/$B$27</f>
        <v>0</v>
      </c>
    </row>
    <row r="68" spans="1:3" ht="16.5" thickBot="1" x14ac:dyDescent="0.3">
      <c r="A68" s="127" t="s">
        <v>370</v>
      </c>
      <c r="B68" s="293"/>
      <c r="C68" s="117">
        <v>1</v>
      </c>
    </row>
    <row r="69" spans="1:3" ht="16.5" thickBot="1" x14ac:dyDescent="0.3">
      <c r="A69" s="127" t="s">
        <v>371</v>
      </c>
      <c r="B69" s="293"/>
      <c r="C69" s="117">
        <v>2</v>
      </c>
    </row>
    <row r="70" spans="1:3" ht="29.25" thickBot="1" x14ac:dyDescent="0.3">
      <c r="A70" s="133" t="s">
        <v>373</v>
      </c>
      <c r="B70" s="293">
        <f xml:space="preserve"> SUMIF(C71:C110, 30,B71:B110)</f>
        <v>51.802</v>
      </c>
    </row>
    <row r="71" spans="1:3" s="296" customFormat="1" ht="30.75" thickBot="1" x14ac:dyDescent="0.3">
      <c r="A71" s="294" t="s">
        <v>557</v>
      </c>
      <c r="B71" s="295">
        <v>51.802</v>
      </c>
      <c r="C71" s="296">
        <v>30</v>
      </c>
    </row>
    <row r="72" spans="1:3" ht="16.5" thickBot="1" x14ac:dyDescent="0.3">
      <c r="A72" s="127" t="s">
        <v>369</v>
      </c>
      <c r="B72" s="297">
        <f>B71/$B$27</f>
        <v>5.4526699156868731E-2</v>
      </c>
    </row>
    <row r="73" spans="1:3" ht="16.5" thickBot="1" x14ac:dyDescent="0.3">
      <c r="A73" s="127" t="s">
        <v>370</v>
      </c>
      <c r="B73" s="293">
        <v>15.5406</v>
      </c>
      <c r="C73" s="117">
        <v>1</v>
      </c>
    </row>
    <row r="74" spans="1:3" ht="16.5" thickBot="1" x14ac:dyDescent="0.3">
      <c r="A74" s="127" t="s">
        <v>371</v>
      </c>
      <c r="B74" s="293">
        <v>0</v>
      </c>
      <c r="C74" s="117">
        <v>2</v>
      </c>
    </row>
    <row r="75" spans="1:3" s="296" customFormat="1" ht="16.5" thickBot="1" x14ac:dyDescent="0.3">
      <c r="A75" s="294" t="s">
        <v>368</v>
      </c>
      <c r="B75" s="295"/>
      <c r="C75" s="296">
        <v>30</v>
      </c>
    </row>
    <row r="76" spans="1:3" ht="16.5" thickBot="1" x14ac:dyDescent="0.3">
      <c r="A76" s="127" t="s">
        <v>369</v>
      </c>
      <c r="B76" s="297">
        <f>B75/$B$27</f>
        <v>0</v>
      </c>
    </row>
    <row r="77" spans="1:3" ht="16.5" thickBot="1" x14ac:dyDescent="0.3">
      <c r="A77" s="127" t="s">
        <v>370</v>
      </c>
      <c r="B77" s="293"/>
      <c r="C77" s="117">
        <v>1</v>
      </c>
    </row>
    <row r="78" spans="1:3" ht="16.5" thickBot="1" x14ac:dyDescent="0.3">
      <c r="A78" s="127" t="s">
        <v>371</v>
      </c>
      <c r="B78" s="293"/>
      <c r="C78" s="117">
        <v>2</v>
      </c>
    </row>
    <row r="79" spans="1:3" s="296" customFormat="1" ht="16.5" thickBot="1" x14ac:dyDescent="0.3">
      <c r="A79" s="294" t="s">
        <v>368</v>
      </c>
      <c r="B79" s="295"/>
      <c r="C79" s="296">
        <v>30</v>
      </c>
    </row>
    <row r="80" spans="1:3" ht="16.5" thickBot="1" x14ac:dyDescent="0.3">
      <c r="A80" s="127" t="s">
        <v>369</v>
      </c>
      <c r="B80" s="297">
        <f>B79/$B$27</f>
        <v>0</v>
      </c>
    </row>
    <row r="81" spans="1:3" ht="16.5" thickBot="1" x14ac:dyDescent="0.3">
      <c r="A81" s="127" t="s">
        <v>370</v>
      </c>
      <c r="B81" s="293"/>
      <c r="C81" s="117">
        <v>1</v>
      </c>
    </row>
    <row r="82" spans="1:3" ht="16.5" thickBot="1" x14ac:dyDescent="0.3">
      <c r="A82" s="127" t="s">
        <v>371</v>
      </c>
      <c r="B82" s="293"/>
      <c r="C82" s="117">
        <v>2</v>
      </c>
    </row>
    <row r="83" spans="1:3" s="296" customFormat="1" ht="16.5" thickBot="1" x14ac:dyDescent="0.3">
      <c r="A83" s="294" t="s">
        <v>368</v>
      </c>
      <c r="B83" s="295"/>
      <c r="C83" s="296">
        <v>30</v>
      </c>
    </row>
    <row r="84" spans="1:3" ht="16.5" thickBot="1" x14ac:dyDescent="0.3">
      <c r="A84" s="127" t="s">
        <v>369</v>
      </c>
      <c r="B84" s="297">
        <f>B83/$B$27</f>
        <v>0</v>
      </c>
    </row>
    <row r="85" spans="1:3" ht="16.5" thickBot="1" x14ac:dyDescent="0.3">
      <c r="A85" s="127" t="s">
        <v>370</v>
      </c>
      <c r="B85" s="293"/>
      <c r="C85" s="117">
        <v>1</v>
      </c>
    </row>
    <row r="86" spans="1:3" ht="16.5" thickBot="1" x14ac:dyDescent="0.3">
      <c r="A86" s="127" t="s">
        <v>371</v>
      </c>
      <c r="B86" s="293"/>
      <c r="C86" s="117">
        <v>2</v>
      </c>
    </row>
    <row r="87" spans="1:3" s="296" customFormat="1" ht="16.5" thickBot="1" x14ac:dyDescent="0.3">
      <c r="A87" s="294" t="s">
        <v>368</v>
      </c>
      <c r="B87" s="295"/>
      <c r="C87" s="296">
        <v>30</v>
      </c>
    </row>
    <row r="88" spans="1:3" ht="16.5" thickBot="1" x14ac:dyDescent="0.3">
      <c r="A88" s="127" t="s">
        <v>369</v>
      </c>
      <c r="B88" s="297">
        <f>B87/$B$27</f>
        <v>0</v>
      </c>
    </row>
    <row r="89" spans="1:3" ht="16.5" thickBot="1" x14ac:dyDescent="0.3">
      <c r="A89" s="127" t="s">
        <v>370</v>
      </c>
      <c r="B89" s="293"/>
      <c r="C89" s="117">
        <v>1</v>
      </c>
    </row>
    <row r="90" spans="1:3" ht="16.5" thickBot="1" x14ac:dyDescent="0.3">
      <c r="A90" s="127" t="s">
        <v>371</v>
      </c>
      <c r="B90" s="293"/>
      <c r="C90" s="117">
        <v>2</v>
      </c>
    </row>
    <row r="91" spans="1:3" s="296" customFormat="1" ht="16.5" thickBot="1" x14ac:dyDescent="0.3">
      <c r="A91" s="294" t="s">
        <v>368</v>
      </c>
      <c r="B91" s="295"/>
      <c r="C91" s="296">
        <v>30</v>
      </c>
    </row>
    <row r="92" spans="1:3" ht="16.5" thickBot="1" x14ac:dyDescent="0.3">
      <c r="A92" s="127" t="s">
        <v>369</v>
      </c>
      <c r="B92" s="297">
        <f>B91/$B$27</f>
        <v>0</v>
      </c>
    </row>
    <row r="93" spans="1:3" ht="16.5" thickBot="1" x14ac:dyDescent="0.3">
      <c r="A93" s="127" t="s">
        <v>370</v>
      </c>
      <c r="B93" s="293"/>
      <c r="C93" s="117">
        <v>1</v>
      </c>
    </row>
    <row r="94" spans="1:3" ht="16.5" thickBot="1" x14ac:dyDescent="0.3">
      <c r="A94" s="127" t="s">
        <v>371</v>
      </c>
      <c r="B94" s="293"/>
      <c r="C94" s="117">
        <v>2</v>
      </c>
    </row>
    <row r="95" spans="1:3" s="296" customFormat="1" ht="16.5" thickBot="1" x14ac:dyDescent="0.3">
      <c r="A95" s="294" t="s">
        <v>368</v>
      </c>
      <c r="B95" s="295"/>
      <c r="C95" s="296">
        <v>30</v>
      </c>
    </row>
    <row r="96" spans="1:3" ht="16.5" thickBot="1" x14ac:dyDescent="0.3">
      <c r="A96" s="127" t="s">
        <v>369</v>
      </c>
      <c r="B96" s="297">
        <f>B95/$B$27</f>
        <v>0</v>
      </c>
    </row>
    <row r="97" spans="1:3" ht="16.5" thickBot="1" x14ac:dyDescent="0.3">
      <c r="A97" s="127" t="s">
        <v>370</v>
      </c>
      <c r="B97" s="293"/>
      <c r="C97" s="117">
        <v>1</v>
      </c>
    </row>
    <row r="98" spans="1:3" ht="16.5" thickBot="1" x14ac:dyDescent="0.3">
      <c r="A98" s="127" t="s">
        <v>371</v>
      </c>
      <c r="B98" s="293"/>
      <c r="C98" s="117">
        <v>2</v>
      </c>
    </row>
    <row r="99" spans="1:3" s="296" customFormat="1" ht="16.5" thickBot="1" x14ac:dyDescent="0.3">
      <c r="A99" s="294" t="s">
        <v>368</v>
      </c>
      <c r="B99" s="295"/>
      <c r="C99" s="296">
        <v>30</v>
      </c>
    </row>
    <row r="100" spans="1:3" ht="16.5" thickBot="1" x14ac:dyDescent="0.3">
      <c r="A100" s="127" t="s">
        <v>369</v>
      </c>
      <c r="B100" s="297">
        <f>B99/$B$27</f>
        <v>0</v>
      </c>
    </row>
    <row r="101" spans="1:3" ht="16.5" thickBot="1" x14ac:dyDescent="0.3">
      <c r="A101" s="127" t="s">
        <v>370</v>
      </c>
      <c r="B101" s="293"/>
      <c r="C101" s="117">
        <v>1</v>
      </c>
    </row>
    <row r="102" spans="1:3" ht="16.5" thickBot="1" x14ac:dyDescent="0.3">
      <c r="A102" s="127" t="s">
        <v>371</v>
      </c>
      <c r="B102" s="293"/>
      <c r="C102" s="117">
        <v>2</v>
      </c>
    </row>
    <row r="103" spans="1:3" s="296" customFormat="1" ht="16.5" thickBot="1" x14ac:dyDescent="0.3">
      <c r="A103" s="294" t="s">
        <v>368</v>
      </c>
      <c r="B103" s="295"/>
      <c r="C103" s="296">
        <v>30</v>
      </c>
    </row>
    <row r="104" spans="1:3" ht="16.5" thickBot="1" x14ac:dyDescent="0.3">
      <c r="A104" s="127" t="s">
        <v>369</v>
      </c>
      <c r="B104" s="297">
        <f>B103/$B$27</f>
        <v>0</v>
      </c>
    </row>
    <row r="105" spans="1:3" ht="16.5" thickBot="1" x14ac:dyDescent="0.3">
      <c r="A105" s="127" t="s">
        <v>370</v>
      </c>
      <c r="B105" s="293"/>
      <c r="C105" s="117">
        <v>1</v>
      </c>
    </row>
    <row r="106" spans="1:3" ht="16.5" thickBot="1" x14ac:dyDescent="0.3">
      <c r="A106" s="127" t="s">
        <v>371</v>
      </c>
      <c r="B106" s="293"/>
      <c r="C106" s="117">
        <v>2</v>
      </c>
    </row>
    <row r="107" spans="1:3" s="296" customFormat="1" ht="16.5" thickBot="1" x14ac:dyDescent="0.3">
      <c r="A107" s="294" t="s">
        <v>368</v>
      </c>
      <c r="B107" s="295"/>
      <c r="C107" s="296">
        <v>30</v>
      </c>
    </row>
    <row r="108" spans="1:3" ht="16.5" thickBot="1" x14ac:dyDescent="0.3">
      <c r="A108" s="127" t="s">
        <v>369</v>
      </c>
      <c r="B108" s="297">
        <f>B107/$B$27</f>
        <v>0</v>
      </c>
    </row>
    <row r="109" spans="1:3" ht="16.5" thickBot="1" x14ac:dyDescent="0.3">
      <c r="A109" s="127" t="s">
        <v>370</v>
      </c>
      <c r="B109" s="293"/>
      <c r="C109" s="117">
        <v>1</v>
      </c>
    </row>
    <row r="110" spans="1:3" ht="16.5" thickBot="1" x14ac:dyDescent="0.3">
      <c r="A110" s="127" t="s">
        <v>371</v>
      </c>
      <c r="B110" s="293"/>
      <c r="C110" s="117">
        <v>2</v>
      </c>
    </row>
    <row r="111" spans="1:3" ht="29.25" thickBot="1" x14ac:dyDescent="0.3">
      <c r="A111" s="126" t="s">
        <v>374</v>
      </c>
      <c r="B111" s="134"/>
    </row>
    <row r="112" spans="1:3" ht="16.5" thickBot="1" x14ac:dyDescent="0.3">
      <c r="A112" s="128" t="s">
        <v>366</v>
      </c>
      <c r="B112" s="134"/>
    </row>
    <row r="113" spans="1:2" ht="16.5" thickBot="1" x14ac:dyDescent="0.3">
      <c r="A113" s="128" t="s">
        <v>375</v>
      </c>
      <c r="B113" s="134"/>
    </row>
    <row r="114" spans="1:2" ht="16.5" thickBot="1" x14ac:dyDescent="0.3">
      <c r="A114" s="128" t="s">
        <v>376</v>
      </c>
      <c r="B114" s="134"/>
    </row>
    <row r="115" spans="1:2" ht="16.5" thickBot="1" x14ac:dyDescent="0.3">
      <c r="A115" s="128" t="s">
        <v>377</v>
      </c>
      <c r="B115" s="134"/>
    </row>
    <row r="116" spans="1:2" ht="16.5" thickBot="1" x14ac:dyDescent="0.3">
      <c r="A116" s="123" t="s">
        <v>378</v>
      </c>
      <c r="B116" s="298">
        <f>B117/$B$27</f>
        <v>1.6358009747060618E-2</v>
      </c>
    </row>
    <row r="117" spans="1:2" ht="16.5" thickBot="1" x14ac:dyDescent="0.3">
      <c r="A117" s="123" t="s">
        <v>379</v>
      </c>
      <c r="B117" s="299">
        <f xml:space="preserve"> SUMIF(C33:C110, 1,B33:B110)</f>
        <v>15.5406</v>
      </c>
    </row>
    <row r="118" spans="1:2" ht="16.5" thickBot="1" x14ac:dyDescent="0.3">
      <c r="A118" s="123" t="s">
        <v>380</v>
      </c>
      <c r="B118" s="298">
        <f>B119/$B$27</f>
        <v>0</v>
      </c>
    </row>
    <row r="119" spans="1:2" ht="16.5" thickBot="1" x14ac:dyDescent="0.3">
      <c r="A119" s="124" t="s">
        <v>381</v>
      </c>
      <c r="B119" s="299">
        <f xml:space="preserve"> SUMIF(C33:C110, 2,B33:B110)</f>
        <v>0</v>
      </c>
    </row>
    <row r="120" spans="1:2" x14ac:dyDescent="0.25">
      <c r="A120" s="126" t="s">
        <v>382</v>
      </c>
      <c r="B120" s="432" t="s">
        <v>562</v>
      </c>
    </row>
    <row r="121" spans="1:2" x14ac:dyDescent="0.25">
      <c r="A121" s="130" t="s">
        <v>383</v>
      </c>
      <c r="B121" s="433"/>
    </row>
    <row r="122" spans="1:2" x14ac:dyDescent="0.25">
      <c r="A122" s="130" t="s">
        <v>384</v>
      </c>
      <c r="B122" s="433"/>
    </row>
    <row r="123" spans="1:2" x14ac:dyDescent="0.25">
      <c r="A123" s="130" t="s">
        <v>385</v>
      </c>
      <c r="B123" s="433"/>
    </row>
    <row r="124" spans="1:2" x14ac:dyDescent="0.25">
      <c r="A124" s="130" t="s">
        <v>386</v>
      </c>
      <c r="B124" s="433"/>
    </row>
    <row r="125" spans="1:2" ht="16.5" thickBot="1" x14ac:dyDescent="0.3">
      <c r="A125" s="131" t="s">
        <v>387</v>
      </c>
      <c r="B125" s="434"/>
    </row>
    <row r="126" spans="1:2" ht="30.75" thickBot="1" x14ac:dyDescent="0.3">
      <c r="A126" s="128" t="s">
        <v>388</v>
      </c>
      <c r="B126" s="129"/>
    </row>
    <row r="127" spans="1:2" ht="29.25" thickBot="1" x14ac:dyDescent="0.3">
      <c r="A127" s="123" t="s">
        <v>389</v>
      </c>
      <c r="B127" s="129"/>
    </row>
    <row r="128" spans="1:2" ht="16.5" thickBot="1" x14ac:dyDescent="0.3">
      <c r="A128" s="128" t="s">
        <v>366</v>
      </c>
      <c r="B128" s="136"/>
    </row>
    <row r="129" spans="1:2" ht="16.5" thickBot="1" x14ac:dyDescent="0.3">
      <c r="A129" s="128" t="s">
        <v>390</v>
      </c>
      <c r="B129" s="129"/>
    </row>
    <row r="130" spans="1:2" ht="16.5" thickBot="1" x14ac:dyDescent="0.3">
      <c r="A130" s="128" t="s">
        <v>391</v>
      </c>
      <c r="B130" s="136"/>
    </row>
    <row r="131" spans="1:2" ht="30.75" thickBot="1" x14ac:dyDescent="0.3">
      <c r="A131" s="137" t="s">
        <v>392</v>
      </c>
      <c r="B131" s="292" t="s">
        <v>393</v>
      </c>
    </row>
    <row r="132" spans="1:2" ht="16.5" thickBot="1" x14ac:dyDescent="0.3">
      <c r="A132" s="123" t="s">
        <v>394</v>
      </c>
      <c r="B132" s="135"/>
    </row>
    <row r="133" spans="1:2" ht="16.5" thickBot="1" x14ac:dyDescent="0.3">
      <c r="A133" s="130" t="s">
        <v>395</v>
      </c>
      <c r="B133" s="138"/>
    </row>
    <row r="134" spans="1:2" ht="16.5" thickBot="1" x14ac:dyDescent="0.3">
      <c r="A134" s="130" t="s">
        <v>396</v>
      </c>
      <c r="B134" s="138"/>
    </row>
    <row r="135" spans="1:2" ht="16.5" thickBot="1" x14ac:dyDescent="0.3">
      <c r="A135" s="130" t="s">
        <v>397</v>
      </c>
      <c r="B135" s="138"/>
    </row>
    <row r="136" spans="1:2" ht="45.75" thickBot="1" x14ac:dyDescent="0.3">
      <c r="A136" s="139" t="s">
        <v>398</v>
      </c>
      <c r="B136" s="136" t="s">
        <v>616</v>
      </c>
    </row>
    <row r="137" spans="1:2" ht="28.5" x14ac:dyDescent="0.25">
      <c r="A137" s="126" t="s">
        <v>399</v>
      </c>
      <c r="B137" s="432" t="s">
        <v>400</v>
      </c>
    </row>
    <row r="138" spans="1:2" x14ac:dyDescent="0.25">
      <c r="A138" s="130" t="s">
        <v>401</v>
      </c>
      <c r="B138" s="433"/>
    </row>
    <row r="139" spans="1:2" x14ac:dyDescent="0.25">
      <c r="A139" s="130" t="s">
        <v>402</v>
      </c>
      <c r="B139" s="433"/>
    </row>
    <row r="140" spans="1:2" x14ac:dyDescent="0.25">
      <c r="A140" s="130" t="s">
        <v>403</v>
      </c>
      <c r="B140" s="433"/>
    </row>
    <row r="141" spans="1:2" x14ac:dyDescent="0.25">
      <c r="A141" s="130" t="s">
        <v>404</v>
      </c>
      <c r="B141" s="433"/>
    </row>
    <row r="142" spans="1:2" ht="16.5" thickBot="1" x14ac:dyDescent="0.3">
      <c r="A142" s="140" t="s">
        <v>405</v>
      </c>
      <c r="B142" s="434"/>
    </row>
    <row r="145" spans="1:2" x14ac:dyDescent="0.25">
      <c r="A145" s="141"/>
      <c r="B145" s="142"/>
    </row>
    <row r="146" spans="1:2" x14ac:dyDescent="0.25">
      <c r="B146" s="143"/>
    </row>
    <row r="147" spans="1:2" x14ac:dyDescent="0.25">
      <c r="B147" s="144"/>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19" zoomScale="90" zoomScaleSheetLayoutView="90" workbookViewId="0">
      <selection activeCell="Q22" sqref="Q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103.8554687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8.28515625"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row>
    <row r="5" spans="1:28" s="12" customFormat="1" ht="15.75" x14ac:dyDescent="0.2">
      <c r="A5" s="17"/>
    </row>
    <row r="6" spans="1:28" s="12" customFormat="1" ht="18.75" x14ac:dyDescent="0.2">
      <c r="A6" s="322" t="s">
        <v>9</v>
      </c>
      <c r="B6" s="322"/>
      <c r="C6" s="322"/>
      <c r="D6" s="322"/>
      <c r="E6" s="322"/>
      <c r="F6" s="322"/>
      <c r="G6" s="322"/>
      <c r="H6" s="322"/>
      <c r="I6" s="322"/>
      <c r="J6" s="322"/>
      <c r="K6" s="322"/>
      <c r="L6" s="322"/>
      <c r="M6" s="322"/>
      <c r="N6" s="322"/>
      <c r="O6" s="322"/>
      <c r="P6" s="322"/>
      <c r="Q6" s="322"/>
      <c r="R6" s="322"/>
      <c r="S6" s="322"/>
      <c r="T6" s="13"/>
      <c r="U6" s="13"/>
      <c r="V6" s="13"/>
      <c r="W6" s="13"/>
      <c r="X6" s="13"/>
      <c r="Y6" s="13"/>
      <c r="Z6" s="13"/>
      <c r="AA6" s="13"/>
      <c r="AB6" s="13"/>
    </row>
    <row r="7" spans="1:28" s="12" customFormat="1" ht="18.75" x14ac:dyDescent="0.2">
      <c r="A7" s="322"/>
      <c r="B7" s="322"/>
      <c r="C7" s="322"/>
      <c r="D7" s="322"/>
      <c r="E7" s="322"/>
      <c r="F7" s="322"/>
      <c r="G7" s="322"/>
      <c r="H7" s="322"/>
      <c r="I7" s="322"/>
      <c r="J7" s="322"/>
      <c r="K7" s="322"/>
      <c r="L7" s="322"/>
      <c r="M7" s="322"/>
      <c r="N7" s="322"/>
      <c r="O7" s="322"/>
      <c r="P7" s="322"/>
      <c r="Q7" s="322"/>
      <c r="R7" s="322"/>
      <c r="S7" s="322"/>
      <c r="T7" s="13"/>
      <c r="U7" s="13"/>
      <c r="V7" s="13"/>
      <c r="W7" s="13"/>
      <c r="X7" s="13"/>
      <c r="Y7" s="13"/>
      <c r="Z7" s="13"/>
      <c r="AA7" s="13"/>
      <c r="AB7" s="13"/>
    </row>
    <row r="8" spans="1:28" s="12" customFormat="1" ht="18.75" x14ac:dyDescent="0.2">
      <c r="A8" s="328" t="str">
        <f>'1. паспорт местоположение'!A9:C9</f>
        <v xml:space="preserve">                         АО "Янтарьэнерго"                         </v>
      </c>
      <c r="B8" s="328"/>
      <c r="C8" s="328"/>
      <c r="D8" s="328"/>
      <c r="E8" s="328"/>
      <c r="F8" s="328"/>
      <c r="G8" s="328"/>
      <c r="H8" s="328"/>
      <c r="I8" s="328"/>
      <c r="J8" s="328"/>
      <c r="K8" s="328"/>
      <c r="L8" s="328"/>
      <c r="M8" s="328"/>
      <c r="N8" s="328"/>
      <c r="O8" s="328"/>
      <c r="P8" s="328"/>
      <c r="Q8" s="328"/>
      <c r="R8" s="328"/>
      <c r="S8" s="328"/>
      <c r="T8" s="13"/>
      <c r="U8" s="13"/>
      <c r="V8" s="13"/>
      <c r="W8" s="13"/>
      <c r="X8" s="13"/>
      <c r="Y8" s="13"/>
      <c r="Z8" s="13"/>
      <c r="AA8" s="13"/>
      <c r="AB8" s="13"/>
    </row>
    <row r="9" spans="1:28" s="12" customFormat="1" ht="18.75" x14ac:dyDescent="0.2">
      <c r="A9" s="319" t="s">
        <v>8</v>
      </c>
      <c r="B9" s="319"/>
      <c r="C9" s="319"/>
      <c r="D9" s="319"/>
      <c r="E9" s="319"/>
      <c r="F9" s="319"/>
      <c r="G9" s="319"/>
      <c r="H9" s="319"/>
      <c r="I9" s="319"/>
      <c r="J9" s="319"/>
      <c r="K9" s="319"/>
      <c r="L9" s="319"/>
      <c r="M9" s="319"/>
      <c r="N9" s="319"/>
      <c r="O9" s="319"/>
      <c r="P9" s="319"/>
      <c r="Q9" s="319"/>
      <c r="R9" s="319"/>
      <c r="S9" s="319"/>
      <c r="T9" s="13"/>
      <c r="U9" s="13"/>
      <c r="V9" s="13"/>
      <c r="W9" s="13"/>
      <c r="X9" s="13"/>
      <c r="Y9" s="13"/>
      <c r="Z9" s="13"/>
      <c r="AA9" s="13"/>
      <c r="AB9" s="13"/>
    </row>
    <row r="10" spans="1:28" s="12" customFormat="1" ht="18.75" x14ac:dyDescent="0.2">
      <c r="A10" s="322"/>
      <c r="B10" s="322"/>
      <c r="C10" s="322"/>
      <c r="D10" s="322"/>
      <c r="E10" s="322"/>
      <c r="F10" s="322"/>
      <c r="G10" s="322"/>
      <c r="H10" s="322"/>
      <c r="I10" s="322"/>
      <c r="J10" s="322"/>
      <c r="K10" s="322"/>
      <c r="L10" s="322"/>
      <c r="M10" s="322"/>
      <c r="N10" s="322"/>
      <c r="O10" s="322"/>
      <c r="P10" s="322"/>
      <c r="Q10" s="322"/>
      <c r="R10" s="322"/>
      <c r="S10" s="322"/>
      <c r="T10" s="13"/>
      <c r="U10" s="13"/>
      <c r="V10" s="13"/>
      <c r="W10" s="13"/>
      <c r="X10" s="13"/>
      <c r="Y10" s="13"/>
      <c r="Z10" s="13"/>
      <c r="AA10" s="13"/>
      <c r="AB10" s="13"/>
    </row>
    <row r="11" spans="1:28" s="12" customFormat="1" ht="18.75" x14ac:dyDescent="0.2">
      <c r="A11" s="328" t="str">
        <f>'1. паспорт местоположение'!A12:C12</f>
        <v xml:space="preserve">                              G_4584                              </v>
      </c>
      <c r="B11" s="328"/>
      <c r="C11" s="328"/>
      <c r="D11" s="328"/>
      <c r="E11" s="328"/>
      <c r="F11" s="328"/>
      <c r="G11" s="328"/>
      <c r="H11" s="328"/>
      <c r="I11" s="328"/>
      <c r="J11" s="328"/>
      <c r="K11" s="328"/>
      <c r="L11" s="328"/>
      <c r="M11" s="328"/>
      <c r="N11" s="328"/>
      <c r="O11" s="328"/>
      <c r="P11" s="328"/>
      <c r="Q11" s="328"/>
      <c r="R11" s="328"/>
      <c r="S11" s="328"/>
      <c r="T11" s="13"/>
      <c r="U11" s="13"/>
      <c r="V11" s="13"/>
      <c r="W11" s="13"/>
      <c r="X11" s="13"/>
      <c r="Y11" s="13"/>
      <c r="Z11" s="13"/>
      <c r="AA11" s="13"/>
      <c r="AB11" s="13"/>
    </row>
    <row r="12" spans="1:28" s="12" customFormat="1" ht="18.75" x14ac:dyDescent="0.2">
      <c r="A12" s="319" t="s">
        <v>7</v>
      </c>
      <c r="B12" s="319"/>
      <c r="C12" s="319"/>
      <c r="D12" s="319"/>
      <c r="E12" s="319"/>
      <c r="F12" s="319"/>
      <c r="G12" s="319"/>
      <c r="H12" s="319"/>
      <c r="I12" s="319"/>
      <c r="J12" s="319"/>
      <c r="K12" s="319"/>
      <c r="L12" s="319"/>
      <c r="M12" s="319"/>
      <c r="N12" s="319"/>
      <c r="O12" s="319"/>
      <c r="P12" s="319"/>
      <c r="Q12" s="319"/>
      <c r="R12" s="319"/>
      <c r="S12" s="319"/>
      <c r="T12" s="13"/>
      <c r="U12" s="13"/>
      <c r="V12" s="13"/>
      <c r="W12" s="13"/>
      <c r="X12" s="13"/>
      <c r="Y12" s="13"/>
      <c r="Z12" s="13"/>
      <c r="AA12" s="13"/>
      <c r="AB12" s="13"/>
    </row>
    <row r="13" spans="1:28" s="9" customFormat="1" ht="15.75" customHeight="1" x14ac:dyDescent="0.2">
      <c r="A13" s="329"/>
      <c r="B13" s="329"/>
      <c r="C13" s="329"/>
      <c r="D13" s="329"/>
      <c r="E13" s="329"/>
      <c r="F13" s="329"/>
      <c r="G13" s="329"/>
      <c r="H13" s="329"/>
      <c r="I13" s="329"/>
      <c r="J13" s="329"/>
      <c r="K13" s="329"/>
      <c r="L13" s="329"/>
      <c r="M13" s="329"/>
      <c r="N13" s="329"/>
      <c r="O13" s="329"/>
      <c r="P13" s="329"/>
      <c r="Q13" s="329"/>
      <c r="R13" s="329"/>
      <c r="S13" s="329"/>
      <c r="T13" s="10"/>
      <c r="U13" s="10"/>
      <c r="V13" s="10"/>
      <c r="W13" s="10"/>
      <c r="X13" s="10"/>
      <c r="Y13" s="10"/>
      <c r="Z13" s="10"/>
      <c r="AA13" s="10"/>
      <c r="AB13" s="10"/>
    </row>
    <row r="14" spans="1:28" s="3" customFormat="1" ht="15.75" x14ac:dyDescent="0.2">
      <c r="A14"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25"/>
      <c r="C14" s="325"/>
      <c r="D14" s="325"/>
      <c r="E14" s="325"/>
      <c r="F14" s="325"/>
      <c r="G14" s="325"/>
      <c r="H14" s="325"/>
      <c r="I14" s="325"/>
      <c r="J14" s="325"/>
      <c r="K14" s="325"/>
      <c r="L14" s="325"/>
      <c r="M14" s="325"/>
      <c r="N14" s="325"/>
      <c r="O14" s="325"/>
      <c r="P14" s="325"/>
      <c r="Q14" s="325"/>
      <c r="R14" s="325"/>
      <c r="S14" s="325"/>
      <c r="T14" s="8"/>
      <c r="U14" s="8"/>
      <c r="V14" s="8"/>
      <c r="W14" s="8"/>
      <c r="X14" s="8"/>
      <c r="Y14" s="8"/>
      <c r="Z14" s="8"/>
      <c r="AA14" s="8"/>
      <c r="AB14" s="8"/>
    </row>
    <row r="15" spans="1:28" s="3" customFormat="1" ht="15" customHeight="1" x14ac:dyDescent="0.2">
      <c r="A15" s="319" t="s">
        <v>6</v>
      </c>
      <c r="B15" s="319"/>
      <c r="C15" s="319"/>
      <c r="D15" s="319"/>
      <c r="E15" s="319"/>
      <c r="F15" s="319"/>
      <c r="G15" s="319"/>
      <c r="H15" s="319"/>
      <c r="I15" s="319"/>
      <c r="J15" s="319"/>
      <c r="K15" s="319"/>
      <c r="L15" s="319"/>
      <c r="M15" s="319"/>
      <c r="N15" s="319"/>
      <c r="O15" s="319"/>
      <c r="P15" s="319"/>
      <c r="Q15" s="319"/>
      <c r="R15" s="319"/>
      <c r="S15" s="319"/>
      <c r="T15" s="6"/>
      <c r="U15" s="6"/>
      <c r="V15" s="6"/>
      <c r="W15" s="6"/>
      <c r="X15" s="6"/>
      <c r="Y15" s="6"/>
      <c r="Z15" s="6"/>
      <c r="AA15" s="6"/>
      <c r="AB15" s="6"/>
    </row>
    <row r="16" spans="1:28" s="3"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4"/>
      <c r="U16" s="4"/>
      <c r="V16" s="4"/>
      <c r="W16" s="4"/>
      <c r="X16" s="4"/>
      <c r="Y16" s="4"/>
    </row>
    <row r="17" spans="1:28" s="3" customFormat="1" ht="45.75" customHeight="1" x14ac:dyDescent="0.2">
      <c r="A17" s="320" t="s">
        <v>437</v>
      </c>
      <c r="B17" s="320"/>
      <c r="C17" s="320"/>
      <c r="D17" s="320"/>
      <c r="E17" s="320"/>
      <c r="F17" s="320"/>
      <c r="G17" s="320"/>
      <c r="H17" s="320"/>
      <c r="I17" s="320"/>
      <c r="J17" s="320"/>
      <c r="K17" s="320"/>
      <c r="L17" s="320"/>
      <c r="M17" s="320"/>
      <c r="N17" s="320"/>
      <c r="O17" s="320"/>
      <c r="P17" s="320"/>
      <c r="Q17" s="320"/>
      <c r="R17" s="320"/>
      <c r="S17" s="320"/>
      <c r="T17" s="7"/>
      <c r="U17" s="7"/>
      <c r="V17" s="7"/>
      <c r="W17" s="7"/>
      <c r="X17" s="7"/>
      <c r="Y17" s="7"/>
      <c r="Z17" s="7"/>
      <c r="AA17" s="7"/>
      <c r="AB17" s="7"/>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30" t="s">
        <v>5</v>
      </c>
      <c r="B19" s="330" t="s">
        <v>107</v>
      </c>
      <c r="C19" s="331" t="s">
        <v>357</v>
      </c>
      <c r="D19" s="330" t="s">
        <v>356</v>
      </c>
      <c r="E19" s="330" t="s">
        <v>106</v>
      </c>
      <c r="F19" s="330" t="s">
        <v>105</v>
      </c>
      <c r="G19" s="330" t="s">
        <v>352</v>
      </c>
      <c r="H19" s="330" t="s">
        <v>104</v>
      </c>
      <c r="I19" s="330" t="s">
        <v>103</v>
      </c>
      <c r="J19" s="330" t="s">
        <v>102</v>
      </c>
      <c r="K19" s="330" t="s">
        <v>101</v>
      </c>
      <c r="L19" s="330" t="s">
        <v>100</v>
      </c>
      <c r="M19" s="330" t="s">
        <v>99</v>
      </c>
      <c r="N19" s="330" t="s">
        <v>98</v>
      </c>
      <c r="O19" s="330" t="s">
        <v>97</v>
      </c>
      <c r="P19" s="330" t="s">
        <v>96</v>
      </c>
      <c r="Q19" s="330" t="s">
        <v>355</v>
      </c>
      <c r="R19" s="330"/>
      <c r="S19" s="333" t="s">
        <v>430</v>
      </c>
      <c r="T19" s="4"/>
      <c r="U19" s="4"/>
      <c r="V19" s="4"/>
      <c r="W19" s="4"/>
      <c r="X19" s="4"/>
      <c r="Y19" s="4"/>
    </row>
    <row r="20" spans="1:28" s="3" customFormat="1" ht="180.75" customHeight="1" x14ac:dyDescent="0.2">
      <c r="A20" s="330"/>
      <c r="B20" s="330"/>
      <c r="C20" s="332"/>
      <c r="D20" s="330"/>
      <c r="E20" s="330"/>
      <c r="F20" s="330"/>
      <c r="G20" s="330"/>
      <c r="H20" s="330"/>
      <c r="I20" s="330"/>
      <c r="J20" s="330"/>
      <c r="K20" s="330"/>
      <c r="L20" s="330"/>
      <c r="M20" s="330"/>
      <c r="N20" s="330"/>
      <c r="O20" s="330"/>
      <c r="P20" s="330"/>
      <c r="Q20" s="41" t="s">
        <v>353</v>
      </c>
      <c r="R20" s="42" t="s">
        <v>354</v>
      </c>
      <c r="S20" s="333"/>
      <c r="T20" s="28"/>
      <c r="U20" s="28"/>
      <c r="V20" s="28"/>
      <c r="W20" s="28"/>
      <c r="X20" s="28"/>
      <c r="Y20" s="28"/>
      <c r="Z20" s="27"/>
      <c r="AA20" s="27"/>
      <c r="AB20" s="27"/>
    </row>
    <row r="21" spans="1:28" s="3" customFormat="1" ht="18.75" x14ac:dyDescent="0.2">
      <c r="A21" s="41">
        <v>1</v>
      </c>
      <c r="B21" s="46">
        <v>2</v>
      </c>
      <c r="C21" s="41">
        <v>3</v>
      </c>
      <c r="D21" s="46">
        <v>4</v>
      </c>
      <c r="E21" s="41">
        <v>5</v>
      </c>
      <c r="F21" s="46">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3" customFormat="1" ht="409.5" customHeight="1" x14ac:dyDescent="0.2">
      <c r="A22" s="41"/>
      <c r="B22" s="46" t="s">
        <v>565</v>
      </c>
      <c r="C22" s="46"/>
      <c r="D22" s="46" t="s">
        <v>566</v>
      </c>
      <c r="E22" s="46" t="s">
        <v>568</v>
      </c>
      <c r="F22" s="46" t="s">
        <v>567</v>
      </c>
      <c r="G22" s="46" t="s">
        <v>569</v>
      </c>
      <c r="H22" s="46"/>
      <c r="I22" s="46"/>
      <c r="J22" s="46"/>
      <c r="K22" s="46"/>
      <c r="L22" s="46"/>
      <c r="M22" s="46"/>
      <c r="N22" s="46"/>
      <c r="O22" s="46">
        <v>176.4</v>
      </c>
      <c r="P22" s="46">
        <v>2</v>
      </c>
      <c r="Q22" s="40" t="s">
        <v>570</v>
      </c>
      <c r="R22" s="5"/>
      <c r="S22" s="148"/>
      <c r="T22" s="28"/>
      <c r="U22" s="28"/>
      <c r="V22" s="28"/>
      <c r="W22" s="28"/>
      <c r="X22" s="28"/>
      <c r="Y22" s="28"/>
      <c r="Z22" s="27"/>
      <c r="AA22" s="27"/>
      <c r="AB22" s="27"/>
    </row>
    <row r="23" spans="1:28" s="3" customFormat="1" ht="18.75" x14ac:dyDescent="0.2">
      <c r="A23" s="41"/>
      <c r="B23" s="46" t="s">
        <v>95</v>
      </c>
      <c r="C23" s="46"/>
      <c r="D23" s="46"/>
      <c r="E23" s="46" t="s">
        <v>94</v>
      </c>
      <c r="F23" s="46" t="s">
        <v>93</v>
      </c>
      <c r="G23" s="46" t="s">
        <v>92</v>
      </c>
      <c r="H23" s="30"/>
      <c r="I23" s="30"/>
      <c r="J23" s="30"/>
      <c r="K23" s="30"/>
      <c r="L23" s="30"/>
      <c r="M23" s="30"/>
      <c r="N23" s="30"/>
      <c r="O23" s="30"/>
      <c r="P23" s="30"/>
      <c r="Q23" s="30"/>
      <c r="R23" s="5"/>
      <c r="S23" s="148"/>
      <c r="T23" s="28"/>
      <c r="U23" s="28"/>
      <c r="V23" s="28"/>
      <c r="W23" s="28"/>
      <c r="X23" s="27"/>
      <c r="Y23" s="27"/>
      <c r="Z23" s="27"/>
      <c r="AA23" s="27"/>
      <c r="AB23" s="27"/>
    </row>
    <row r="24" spans="1:28" s="3" customFormat="1" ht="18.75" x14ac:dyDescent="0.2">
      <c r="A24" s="41"/>
      <c r="B24" s="46" t="s">
        <v>95</v>
      </c>
      <c r="C24" s="46"/>
      <c r="D24" s="46"/>
      <c r="E24" s="46" t="s">
        <v>94</v>
      </c>
      <c r="F24" s="46" t="s">
        <v>93</v>
      </c>
      <c r="G24" s="46" t="s">
        <v>88</v>
      </c>
      <c r="H24" s="30"/>
      <c r="I24" s="30"/>
      <c r="J24" s="30"/>
      <c r="K24" s="30"/>
      <c r="L24" s="30"/>
      <c r="M24" s="30"/>
      <c r="N24" s="30"/>
      <c r="O24" s="30"/>
      <c r="P24" s="30"/>
      <c r="Q24" s="30"/>
      <c r="R24" s="5"/>
      <c r="S24" s="148"/>
      <c r="T24" s="28"/>
      <c r="U24" s="28"/>
      <c r="V24" s="28"/>
      <c r="W24" s="28"/>
      <c r="X24" s="27"/>
      <c r="Y24" s="27"/>
      <c r="Z24" s="27"/>
      <c r="AA24" s="27"/>
      <c r="AB24" s="27"/>
    </row>
    <row r="25" spans="1:28" s="3" customFormat="1" ht="31.5" x14ac:dyDescent="0.2">
      <c r="A25" s="45"/>
      <c r="B25" s="46" t="s">
        <v>91</v>
      </c>
      <c r="C25" s="46"/>
      <c r="D25" s="46"/>
      <c r="E25" s="46" t="s">
        <v>90</v>
      </c>
      <c r="F25" s="46" t="s">
        <v>89</v>
      </c>
      <c r="G25" s="46" t="s">
        <v>431</v>
      </c>
      <c r="H25" s="30"/>
      <c r="I25" s="30"/>
      <c r="J25" s="30"/>
      <c r="K25" s="30"/>
      <c r="L25" s="30"/>
      <c r="M25" s="30"/>
      <c r="N25" s="30"/>
      <c r="O25" s="30"/>
      <c r="P25" s="30"/>
      <c r="Q25" s="30"/>
      <c r="R25" s="5"/>
      <c r="S25" s="148"/>
      <c r="T25" s="28"/>
      <c r="U25" s="28"/>
      <c r="V25" s="28"/>
      <c r="W25" s="28"/>
      <c r="X25" s="27"/>
      <c r="Y25" s="27"/>
      <c r="Z25" s="27"/>
      <c r="AA25" s="27"/>
      <c r="AB25" s="27"/>
    </row>
    <row r="26" spans="1:28" s="3" customFormat="1" ht="18.75" x14ac:dyDescent="0.2">
      <c r="A26" s="45"/>
      <c r="B26" s="46" t="s">
        <v>91</v>
      </c>
      <c r="C26" s="46"/>
      <c r="D26" s="46"/>
      <c r="E26" s="46" t="s">
        <v>90</v>
      </c>
      <c r="F26" s="46" t="s">
        <v>89</v>
      </c>
      <c r="G26" s="46" t="s">
        <v>92</v>
      </c>
      <c r="H26" s="30"/>
      <c r="I26" s="30"/>
      <c r="J26" s="30"/>
      <c r="K26" s="30"/>
      <c r="L26" s="30"/>
      <c r="M26" s="30"/>
      <c r="N26" s="30"/>
      <c r="O26" s="30"/>
      <c r="P26" s="30"/>
      <c r="Q26" s="30"/>
      <c r="R26" s="5"/>
      <c r="S26" s="148"/>
      <c r="T26" s="28"/>
      <c r="U26" s="28"/>
      <c r="V26" s="28"/>
      <c r="W26" s="28"/>
      <c r="X26" s="27"/>
      <c r="Y26" s="27"/>
      <c r="Z26" s="27"/>
      <c r="AA26" s="27"/>
      <c r="AB26" s="27"/>
    </row>
    <row r="27" spans="1:28" s="3" customFormat="1" ht="18.75" x14ac:dyDescent="0.2">
      <c r="A27" s="45"/>
      <c r="B27" s="46" t="s">
        <v>91</v>
      </c>
      <c r="C27" s="46"/>
      <c r="D27" s="46"/>
      <c r="E27" s="46" t="s">
        <v>90</v>
      </c>
      <c r="F27" s="46" t="s">
        <v>89</v>
      </c>
      <c r="G27" s="46" t="s">
        <v>88</v>
      </c>
      <c r="H27" s="30"/>
      <c r="I27" s="30"/>
      <c r="J27" s="30"/>
      <c r="K27" s="30"/>
      <c r="L27" s="30"/>
      <c r="M27" s="30"/>
      <c r="N27" s="30"/>
      <c r="O27" s="30"/>
      <c r="P27" s="30"/>
      <c r="Q27" s="30"/>
      <c r="R27" s="5"/>
      <c r="S27" s="148"/>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8"/>
      <c r="T28" s="28"/>
      <c r="U28" s="28"/>
      <c r="V28" s="28"/>
      <c r="W28" s="28"/>
      <c r="X28" s="27"/>
      <c r="Y28" s="27"/>
      <c r="Z28" s="27"/>
      <c r="AA28" s="27"/>
      <c r="AB28" s="27"/>
    </row>
    <row r="29" spans="1:28" ht="20.25" customHeight="1" x14ac:dyDescent="0.25">
      <c r="A29" s="114"/>
      <c r="B29" s="46" t="s">
        <v>350</v>
      </c>
      <c r="C29" s="46"/>
      <c r="D29" s="46"/>
      <c r="E29" s="114" t="s">
        <v>351</v>
      </c>
      <c r="F29" s="114" t="s">
        <v>351</v>
      </c>
      <c r="G29" s="114" t="s">
        <v>351</v>
      </c>
      <c r="H29" s="114"/>
      <c r="I29" s="114"/>
      <c r="J29" s="114"/>
      <c r="K29" s="114"/>
      <c r="L29" s="114"/>
      <c r="M29" s="114"/>
      <c r="N29" s="114"/>
      <c r="O29" s="114"/>
      <c r="P29" s="114"/>
      <c r="Q29" s="11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90" zoomScaleNormal="60" zoomScaleSheetLayoutView="90" workbookViewId="0">
      <selection activeCell="A16" activeCellId="3" sqref="A6:T6 A10:T10 A13:T13 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18" t="str">
        <f>'1. паспорт местоположение'!A5:C5</f>
        <v>Год раскрытия информации: 2016 год</v>
      </c>
      <c r="B6" s="318"/>
      <c r="C6" s="318"/>
      <c r="D6" s="318"/>
      <c r="E6" s="318"/>
      <c r="F6" s="318"/>
      <c r="G6" s="318"/>
      <c r="H6" s="318"/>
      <c r="I6" s="318"/>
      <c r="J6" s="318"/>
      <c r="K6" s="318"/>
      <c r="L6" s="318"/>
      <c r="M6" s="318"/>
      <c r="N6" s="318"/>
      <c r="O6" s="318"/>
      <c r="P6" s="318"/>
      <c r="Q6" s="318"/>
      <c r="R6" s="318"/>
      <c r="S6" s="318"/>
      <c r="T6" s="318"/>
    </row>
    <row r="7" spans="1:20" s="12" customFormat="1" x14ac:dyDescent="0.2">
      <c r="A7" s="17"/>
      <c r="H7" s="16"/>
    </row>
    <row r="8" spans="1:20" s="12" customFormat="1" ht="18.75" x14ac:dyDescent="0.2">
      <c r="A8" s="322" t="s">
        <v>9</v>
      </c>
      <c r="B8" s="322"/>
      <c r="C8" s="322"/>
      <c r="D8" s="322"/>
      <c r="E8" s="322"/>
      <c r="F8" s="322"/>
      <c r="G8" s="322"/>
      <c r="H8" s="322"/>
      <c r="I8" s="322"/>
      <c r="J8" s="322"/>
      <c r="K8" s="322"/>
      <c r="L8" s="322"/>
      <c r="M8" s="322"/>
      <c r="N8" s="322"/>
      <c r="O8" s="322"/>
      <c r="P8" s="322"/>
      <c r="Q8" s="322"/>
      <c r="R8" s="322"/>
      <c r="S8" s="322"/>
      <c r="T8" s="322"/>
    </row>
    <row r="9" spans="1:20" s="12"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12" customFormat="1" ht="18.75" customHeight="1" x14ac:dyDescent="0.2">
      <c r="A10" s="328" t="str">
        <f>'1. паспорт местоположение'!A9:C9</f>
        <v xml:space="preserve">                         АО "Янтарьэнерго"                         </v>
      </c>
      <c r="B10" s="328"/>
      <c r="C10" s="328"/>
      <c r="D10" s="328"/>
      <c r="E10" s="328"/>
      <c r="F10" s="328"/>
      <c r="G10" s="328"/>
      <c r="H10" s="328"/>
      <c r="I10" s="328"/>
      <c r="J10" s="328"/>
      <c r="K10" s="328"/>
      <c r="L10" s="328"/>
      <c r="M10" s="328"/>
      <c r="N10" s="328"/>
      <c r="O10" s="328"/>
      <c r="P10" s="328"/>
      <c r="Q10" s="328"/>
      <c r="R10" s="328"/>
      <c r="S10" s="328"/>
      <c r="T10" s="328"/>
    </row>
    <row r="11" spans="1:20" s="12" customFormat="1" ht="18.75" customHeight="1" x14ac:dyDescent="0.2">
      <c r="A11" s="319" t="s">
        <v>8</v>
      </c>
      <c r="B11" s="319"/>
      <c r="C11" s="319"/>
      <c r="D11" s="319"/>
      <c r="E11" s="319"/>
      <c r="F11" s="319"/>
      <c r="G11" s="319"/>
      <c r="H11" s="319"/>
      <c r="I11" s="319"/>
      <c r="J11" s="319"/>
      <c r="K11" s="319"/>
      <c r="L11" s="319"/>
      <c r="M11" s="319"/>
      <c r="N11" s="319"/>
      <c r="O11" s="319"/>
      <c r="P11" s="319"/>
      <c r="Q11" s="319"/>
      <c r="R11" s="319"/>
      <c r="S11" s="319"/>
      <c r="T11" s="319"/>
    </row>
    <row r="12" spans="1:20" s="12"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12" customFormat="1" ht="18.75" customHeight="1" x14ac:dyDescent="0.2">
      <c r="A13" s="328" t="str">
        <f>'1. паспорт местоположение'!A12:C12</f>
        <v xml:space="preserve">                              G_4584                              </v>
      </c>
      <c r="B13" s="328"/>
      <c r="C13" s="328"/>
      <c r="D13" s="328"/>
      <c r="E13" s="328"/>
      <c r="F13" s="328"/>
      <c r="G13" s="328"/>
      <c r="H13" s="328"/>
      <c r="I13" s="328"/>
      <c r="J13" s="328"/>
      <c r="K13" s="328"/>
      <c r="L13" s="328"/>
      <c r="M13" s="328"/>
      <c r="N13" s="328"/>
      <c r="O13" s="328"/>
      <c r="P13" s="328"/>
      <c r="Q13" s="328"/>
      <c r="R13" s="328"/>
      <c r="S13" s="328"/>
      <c r="T13" s="328"/>
    </row>
    <row r="14" spans="1:20" s="12" customFormat="1" ht="18.75" customHeight="1" x14ac:dyDescent="0.2">
      <c r="A14" s="319" t="s">
        <v>7</v>
      </c>
      <c r="B14" s="319"/>
      <c r="C14" s="319"/>
      <c r="D14" s="319"/>
      <c r="E14" s="319"/>
      <c r="F14" s="319"/>
      <c r="G14" s="319"/>
      <c r="H14" s="319"/>
      <c r="I14" s="319"/>
      <c r="J14" s="319"/>
      <c r="K14" s="319"/>
      <c r="L14" s="319"/>
      <c r="M14" s="319"/>
      <c r="N14" s="319"/>
      <c r="O14" s="319"/>
      <c r="P14" s="319"/>
      <c r="Q14" s="319"/>
      <c r="R14" s="319"/>
      <c r="S14" s="319"/>
      <c r="T14" s="319"/>
    </row>
    <row r="15" spans="1:20" s="9" customFormat="1" ht="15.75" customHeight="1" x14ac:dyDescent="0.2">
      <c r="A15" s="329"/>
      <c r="B15" s="329"/>
      <c r="C15" s="329"/>
      <c r="D15" s="329"/>
      <c r="E15" s="329"/>
      <c r="F15" s="329"/>
      <c r="G15" s="329"/>
      <c r="H15" s="329"/>
      <c r="I15" s="329"/>
      <c r="J15" s="329"/>
      <c r="K15" s="329"/>
      <c r="L15" s="329"/>
      <c r="M15" s="329"/>
      <c r="N15" s="329"/>
      <c r="O15" s="329"/>
      <c r="P15" s="329"/>
      <c r="Q15" s="329"/>
      <c r="R15" s="329"/>
      <c r="S15" s="329"/>
      <c r="T15" s="329"/>
    </row>
    <row r="16" spans="1:20" s="3" customFormat="1" ht="34.5" customHeight="1" x14ac:dyDescent="0.2">
      <c r="A16"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9" t="s">
        <v>6</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3" customFormat="1" ht="15" customHeight="1" x14ac:dyDescent="0.2">
      <c r="A19" s="321" t="s">
        <v>442</v>
      </c>
      <c r="B19" s="321"/>
      <c r="C19" s="321"/>
      <c r="D19" s="321"/>
      <c r="E19" s="321"/>
      <c r="F19" s="321"/>
      <c r="G19" s="321"/>
      <c r="H19" s="321"/>
      <c r="I19" s="321"/>
      <c r="J19" s="321"/>
      <c r="K19" s="321"/>
      <c r="L19" s="321"/>
      <c r="M19" s="321"/>
      <c r="N19" s="321"/>
      <c r="O19" s="321"/>
      <c r="P19" s="321"/>
      <c r="Q19" s="321"/>
      <c r="R19" s="321"/>
      <c r="S19" s="321"/>
      <c r="T19" s="321"/>
    </row>
    <row r="20" spans="1:113" s="59"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5</v>
      </c>
      <c r="B21" s="341" t="s">
        <v>212</v>
      </c>
      <c r="C21" s="342"/>
      <c r="D21" s="345" t="s">
        <v>129</v>
      </c>
      <c r="E21" s="341" t="s">
        <v>471</v>
      </c>
      <c r="F21" s="342"/>
      <c r="G21" s="341" t="s">
        <v>263</v>
      </c>
      <c r="H21" s="342"/>
      <c r="I21" s="341" t="s">
        <v>128</v>
      </c>
      <c r="J21" s="342"/>
      <c r="K21" s="345" t="s">
        <v>127</v>
      </c>
      <c r="L21" s="341" t="s">
        <v>126</v>
      </c>
      <c r="M21" s="342"/>
      <c r="N21" s="341" t="s">
        <v>467</v>
      </c>
      <c r="O21" s="342"/>
      <c r="P21" s="345" t="s">
        <v>125</v>
      </c>
      <c r="Q21" s="334" t="s">
        <v>124</v>
      </c>
      <c r="R21" s="335"/>
      <c r="S21" s="334" t="s">
        <v>123</v>
      </c>
      <c r="T21" s="336"/>
    </row>
    <row r="22" spans="1:113" ht="204.75" customHeight="1" x14ac:dyDescent="0.25">
      <c r="A22" s="339"/>
      <c r="B22" s="343"/>
      <c r="C22" s="344"/>
      <c r="D22" s="348"/>
      <c r="E22" s="343"/>
      <c r="F22" s="344"/>
      <c r="G22" s="343"/>
      <c r="H22" s="344"/>
      <c r="I22" s="343"/>
      <c r="J22" s="344"/>
      <c r="K22" s="346"/>
      <c r="L22" s="343"/>
      <c r="M22" s="344"/>
      <c r="N22" s="343"/>
      <c r="O22" s="344"/>
      <c r="P22" s="346"/>
      <c r="Q22" s="105" t="s">
        <v>122</v>
      </c>
      <c r="R22" s="105" t="s">
        <v>441</v>
      </c>
      <c r="S22" s="105" t="s">
        <v>121</v>
      </c>
      <c r="T22" s="105" t="s">
        <v>120</v>
      </c>
    </row>
    <row r="23" spans="1:113" ht="51.75" customHeight="1" x14ac:dyDescent="0.25">
      <c r="A23" s="340"/>
      <c r="B23" s="157" t="s">
        <v>118</v>
      </c>
      <c r="C23" s="157" t="s">
        <v>119</v>
      </c>
      <c r="D23" s="346"/>
      <c r="E23" s="157" t="s">
        <v>118</v>
      </c>
      <c r="F23" s="157" t="s">
        <v>119</v>
      </c>
      <c r="G23" s="157" t="s">
        <v>118</v>
      </c>
      <c r="H23" s="157" t="s">
        <v>119</v>
      </c>
      <c r="I23" s="157" t="s">
        <v>118</v>
      </c>
      <c r="J23" s="157" t="s">
        <v>119</v>
      </c>
      <c r="K23" s="157" t="s">
        <v>118</v>
      </c>
      <c r="L23" s="157" t="s">
        <v>118</v>
      </c>
      <c r="M23" s="157" t="s">
        <v>119</v>
      </c>
      <c r="N23" s="157" t="s">
        <v>118</v>
      </c>
      <c r="O23" s="157" t="s">
        <v>119</v>
      </c>
      <c r="P23" s="158" t="s">
        <v>118</v>
      </c>
      <c r="Q23" s="105" t="s">
        <v>118</v>
      </c>
      <c r="R23" s="105" t="s">
        <v>118</v>
      </c>
      <c r="S23" s="105" t="s">
        <v>118</v>
      </c>
      <c r="T23" s="105" t="s">
        <v>118</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60"/>
      <c r="R25" s="61"/>
      <c r="S25" s="160"/>
      <c r="T25" s="61"/>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347" t="s">
        <v>477</v>
      </c>
      <c r="C29" s="347"/>
      <c r="D29" s="347"/>
      <c r="E29" s="347"/>
      <c r="F29" s="347"/>
      <c r="G29" s="347"/>
      <c r="H29" s="347"/>
      <c r="I29" s="347"/>
      <c r="J29" s="347"/>
      <c r="K29" s="347"/>
      <c r="L29" s="347"/>
      <c r="M29" s="347"/>
      <c r="N29" s="347"/>
      <c r="O29" s="347"/>
      <c r="P29" s="347"/>
      <c r="Q29" s="347"/>
      <c r="R29" s="34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2" zoomScale="70" zoomScaleSheetLayoutView="70" workbookViewId="0">
      <selection activeCell="O29" sqref="O29"/>
    </sheetView>
  </sheetViews>
  <sheetFormatPr defaultColWidth="10.7109375" defaultRowHeight="15.75" x14ac:dyDescent="0.25"/>
  <cols>
    <col min="1" max="1" width="10.7109375" style="51"/>
    <col min="2" max="3" width="15.710937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0.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322" t="s">
        <v>9</v>
      </c>
      <c r="F7" s="322"/>
      <c r="G7" s="322"/>
      <c r="H7" s="322"/>
      <c r="I7" s="322"/>
      <c r="J7" s="322"/>
      <c r="K7" s="322"/>
      <c r="L7" s="322"/>
      <c r="M7" s="322"/>
      <c r="N7" s="322"/>
      <c r="O7" s="322"/>
      <c r="P7" s="322"/>
      <c r="Q7" s="322"/>
      <c r="R7" s="322"/>
      <c r="S7" s="322"/>
      <c r="T7" s="322"/>
      <c r="U7" s="322"/>
      <c r="V7" s="322"/>
      <c r="W7" s="322"/>
      <c r="X7" s="322"/>
      <c r="Y7" s="3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8" t="str">
        <f>'1. паспорт местоположение'!A9</f>
        <v xml:space="preserve">                         АО "Янтарьэнерго"                         </v>
      </c>
      <c r="F9" s="328"/>
      <c r="G9" s="328"/>
      <c r="H9" s="328"/>
      <c r="I9" s="328"/>
      <c r="J9" s="328"/>
      <c r="K9" s="328"/>
      <c r="L9" s="328"/>
      <c r="M9" s="328"/>
      <c r="N9" s="328"/>
      <c r="O9" s="328"/>
      <c r="P9" s="328"/>
      <c r="Q9" s="328"/>
      <c r="R9" s="328"/>
      <c r="S9" s="328"/>
      <c r="T9" s="328"/>
      <c r="U9" s="328"/>
      <c r="V9" s="328"/>
      <c r="W9" s="328"/>
      <c r="X9" s="328"/>
      <c r="Y9" s="328"/>
    </row>
    <row r="10" spans="1:27" s="12" customFormat="1" ht="18.75" customHeight="1" x14ac:dyDescent="0.2">
      <c r="E10" s="319" t="s">
        <v>8</v>
      </c>
      <c r="F10" s="319"/>
      <c r="G10" s="319"/>
      <c r="H10" s="319"/>
      <c r="I10" s="319"/>
      <c r="J10" s="319"/>
      <c r="K10" s="319"/>
      <c r="L10" s="319"/>
      <c r="M10" s="319"/>
      <c r="N10" s="319"/>
      <c r="O10" s="319"/>
      <c r="P10" s="319"/>
      <c r="Q10" s="319"/>
      <c r="R10" s="319"/>
      <c r="S10" s="319"/>
      <c r="T10" s="319"/>
      <c r="U10" s="319"/>
      <c r="V10" s="319"/>
      <c r="W10" s="319"/>
      <c r="X10" s="319"/>
      <c r="Y10" s="3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8" t="str">
        <f>'1. паспорт местоположение'!A12</f>
        <v xml:space="preserve">                              G_4584                              </v>
      </c>
      <c r="F12" s="328"/>
      <c r="G12" s="328"/>
      <c r="H12" s="328"/>
      <c r="I12" s="328"/>
      <c r="J12" s="328"/>
      <c r="K12" s="328"/>
      <c r="L12" s="328"/>
      <c r="M12" s="328"/>
      <c r="N12" s="328"/>
      <c r="O12" s="328"/>
      <c r="P12" s="328"/>
      <c r="Q12" s="328"/>
      <c r="R12" s="328"/>
      <c r="S12" s="328"/>
      <c r="T12" s="328"/>
      <c r="U12" s="328"/>
      <c r="V12" s="328"/>
      <c r="W12" s="328"/>
      <c r="X12" s="328"/>
      <c r="Y12" s="328"/>
    </row>
    <row r="13" spans="1:27" s="12" customFormat="1" ht="18.75" customHeight="1" x14ac:dyDescent="0.2">
      <c r="E13" s="319" t="s">
        <v>7</v>
      </c>
      <c r="F13" s="319"/>
      <c r="G13" s="319"/>
      <c r="H13" s="319"/>
      <c r="I13" s="319"/>
      <c r="J13" s="319"/>
      <c r="K13" s="319"/>
      <c r="L13" s="319"/>
      <c r="M13" s="319"/>
      <c r="N13" s="319"/>
      <c r="O13" s="319"/>
      <c r="P13" s="319"/>
      <c r="Q13" s="319"/>
      <c r="R13" s="319"/>
      <c r="S13" s="319"/>
      <c r="T13" s="319"/>
      <c r="U13" s="319"/>
      <c r="V13" s="319"/>
      <c r="W13" s="319"/>
      <c r="X13" s="319"/>
      <c r="Y13" s="3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9" customHeight="1" x14ac:dyDescent="0.2">
      <c r="E15" s="325" t="str">
        <f>'1. паспорт местоположение'!A15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9" t="s">
        <v>6</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444</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59" customFormat="1" ht="21" customHeight="1" x14ac:dyDescent="0.25"/>
    <row r="21" spans="1:27" ht="15.75" customHeight="1" x14ac:dyDescent="0.25">
      <c r="A21" s="349" t="s">
        <v>5</v>
      </c>
      <c r="B21" s="351" t="s">
        <v>451</v>
      </c>
      <c r="C21" s="352"/>
      <c r="D21" s="351" t="s">
        <v>453</v>
      </c>
      <c r="E21" s="352"/>
      <c r="F21" s="334" t="s">
        <v>101</v>
      </c>
      <c r="G21" s="336"/>
      <c r="H21" s="336"/>
      <c r="I21" s="335"/>
      <c r="J21" s="349" t="s">
        <v>454</v>
      </c>
      <c r="K21" s="351" t="s">
        <v>455</v>
      </c>
      <c r="L21" s="352"/>
      <c r="M21" s="351" t="s">
        <v>456</v>
      </c>
      <c r="N21" s="352"/>
      <c r="O21" s="351" t="s">
        <v>443</v>
      </c>
      <c r="P21" s="352"/>
      <c r="Q21" s="351" t="s">
        <v>134</v>
      </c>
      <c r="R21" s="352"/>
      <c r="S21" s="349" t="s">
        <v>133</v>
      </c>
      <c r="T21" s="349" t="s">
        <v>457</v>
      </c>
      <c r="U21" s="349" t="s">
        <v>452</v>
      </c>
      <c r="V21" s="351" t="s">
        <v>132</v>
      </c>
      <c r="W21" s="352"/>
      <c r="X21" s="334" t="s">
        <v>124</v>
      </c>
      <c r="Y21" s="336"/>
      <c r="Z21" s="334" t="s">
        <v>123</v>
      </c>
      <c r="AA21" s="336"/>
    </row>
    <row r="22" spans="1:27" ht="216" customHeight="1" x14ac:dyDescent="0.25">
      <c r="A22" s="355"/>
      <c r="B22" s="353"/>
      <c r="C22" s="354"/>
      <c r="D22" s="353"/>
      <c r="E22" s="354"/>
      <c r="F22" s="334" t="s">
        <v>131</v>
      </c>
      <c r="G22" s="335"/>
      <c r="H22" s="334" t="s">
        <v>130</v>
      </c>
      <c r="I22" s="335"/>
      <c r="J22" s="350"/>
      <c r="K22" s="353"/>
      <c r="L22" s="354"/>
      <c r="M22" s="353"/>
      <c r="N22" s="354"/>
      <c r="O22" s="353"/>
      <c r="P22" s="354"/>
      <c r="Q22" s="353"/>
      <c r="R22" s="354"/>
      <c r="S22" s="350"/>
      <c r="T22" s="350"/>
      <c r="U22" s="350"/>
      <c r="V22" s="353"/>
      <c r="W22" s="354"/>
      <c r="X22" s="105" t="s">
        <v>122</v>
      </c>
      <c r="Y22" s="105" t="s">
        <v>441</v>
      </c>
      <c r="Z22" s="105" t="s">
        <v>121</v>
      </c>
      <c r="AA22" s="105" t="s">
        <v>120</v>
      </c>
    </row>
    <row r="23" spans="1:27" ht="60" customHeight="1" x14ac:dyDescent="0.25">
      <c r="A23" s="350"/>
      <c r="B23" s="155" t="s">
        <v>118</v>
      </c>
      <c r="C23" s="155" t="s">
        <v>119</v>
      </c>
      <c r="D23" s="106" t="s">
        <v>118</v>
      </c>
      <c r="E23" s="106" t="s">
        <v>119</v>
      </c>
      <c r="F23" s="106" t="s">
        <v>118</v>
      </c>
      <c r="G23" s="106" t="s">
        <v>119</v>
      </c>
      <c r="H23" s="106" t="s">
        <v>118</v>
      </c>
      <c r="I23" s="106" t="s">
        <v>119</v>
      </c>
      <c r="J23" s="106" t="s">
        <v>118</v>
      </c>
      <c r="K23" s="106" t="s">
        <v>118</v>
      </c>
      <c r="L23" s="106" t="s">
        <v>119</v>
      </c>
      <c r="M23" s="106" t="s">
        <v>118</v>
      </c>
      <c r="N23" s="106" t="s">
        <v>119</v>
      </c>
      <c r="O23" s="106" t="s">
        <v>118</v>
      </c>
      <c r="P23" s="106" t="s">
        <v>119</v>
      </c>
      <c r="Q23" s="106" t="s">
        <v>118</v>
      </c>
      <c r="R23" s="106" t="s">
        <v>119</v>
      </c>
      <c r="S23" s="106" t="s">
        <v>118</v>
      </c>
      <c r="T23" s="106" t="s">
        <v>118</v>
      </c>
      <c r="U23" s="106" t="s">
        <v>118</v>
      </c>
      <c r="V23" s="106" t="s">
        <v>118</v>
      </c>
      <c r="W23" s="106" t="s">
        <v>119</v>
      </c>
      <c r="X23" s="106" t="s">
        <v>118</v>
      </c>
      <c r="Y23" s="106" t="s">
        <v>118</v>
      </c>
      <c r="Z23" s="105" t="s">
        <v>118</v>
      </c>
      <c r="AA23" s="105" t="s">
        <v>118</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ht="110.25" x14ac:dyDescent="0.25">
      <c r="A25" s="303" t="s">
        <v>64</v>
      </c>
      <c r="B25" s="303" t="s">
        <v>572</v>
      </c>
      <c r="C25" s="303" t="s">
        <v>575</v>
      </c>
      <c r="D25" s="303" t="s">
        <v>351</v>
      </c>
      <c r="E25" s="303" t="s">
        <v>581</v>
      </c>
      <c r="F25" s="303" t="s">
        <v>587</v>
      </c>
      <c r="G25" s="303" t="s">
        <v>587</v>
      </c>
      <c r="H25" s="303" t="s">
        <v>587</v>
      </c>
      <c r="I25" s="303" t="s">
        <v>587</v>
      </c>
      <c r="J25" s="303" t="s">
        <v>351</v>
      </c>
      <c r="K25" s="303" t="s">
        <v>351</v>
      </c>
      <c r="L25" s="303" t="s">
        <v>63</v>
      </c>
      <c r="M25" s="303" t="s">
        <v>351</v>
      </c>
      <c r="N25" s="303" t="s">
        <v>588</v>
      </c>
      <c r="O25" s="303" t="s">
        <v>351</v>
      </c>
      <c r="P25" s="303" t="s">
        <v>589</v>
      </c>
      <c r="Q25" s="303" t="s">
        <v>351</v>
      </c>
      <c r="R25" s="303" t="s">
        <v>617</v>
      </c>
      <c r="S25" s="303" t="s">
        <v>351</v>
      </c>
      <c r="T25" s="303" t="s">
        <v>351</v>
      </c>
      <c r="U25" s="303" t="s">
        <v>351</v>
      </c>
      <c r="V25" s="303" t="s">
        <v>351</v>
      </c>
      <c r="W25" s="303" t="s">
        <v>590</v>
      </c>
      <c r="X25" s="303" t="s">
        <v>351</v>
      </c>
      <c r="Y25" s="303" t="s">
        <v>351</v>
      </c>
      <c r="Z25" s="303" t="s">
        <v>351</v>
      </c>
      <c r="AA25" s="303" t="s">
        <v>351</v>
      </c>
    </row>
    <row r="26" spans="1:27" ht="110.25" x14ac:dyDescent="0.25">
      <c r="A26" s="303" t="s">
        <v>63</v>
      </c>
      <c r="B26" s="303" t="s">
        <v>572</v>
      </c>
      <c r="C26" s="303" t="s">
        <v>576</v>
      </c>
      <c r="D26" s="303" t="s">
        <v>351</v>
      </c>
      <c r="E26" s="303" t="s">
        <v>582</v>
      </c>
      <c r="F26" s="303" t="s">
        <v>587</v>
      </c>
      <c r="G26" s="303" t="s">
        <v>587</v>
      </c>
      <c r="H26" s="303" t="s">
        <v>587</v>
      </c>
      <c r="I26" s="303" t="s">
        <v>587</v>
      </c>
      <c r="J26" s="303" t="s">
        <v>351</v>
      </c>
      <c r="K26" s="303" t="s">
        <v>351</v>
      </c>
      <c r="L26" s="303" t="s">
        <v>63</v>
      </c>
      <c r="M26" s="303" t="s">
        <v>351</v>
      </c>
      <c r="N26" s="303" t="s">
        <v>588</v>
      </c>
      <c r="O26" s="303" t="s">
        <v>351</v>
      </c>
      <c r="P26" s="303" t="s">
        <v>589</v>
      </c>
      <c r="Q26" s="303" t="s">
        <v>351</v>
      </c>
      <c r="R26" s="303" t="s">
        <v>617</v>
      </c>
      <c r="S26" s="303" t="s">
        <v>351</v>
      </c>
      <c r="T26" s="303" t="s">
        <v>351</v>
      </c>
      <c r="U26" s="303" t="s">
        <v>351</v>
      </c>
      <c r="V26" s="303" t="s">
        <v>351</v>
      </c>
      <c r="W26" s="303" t="s">
        <v>590</v>
      </c>
      <c r="X26" s="303" t="s">
        <v>351</v>
      </c>
      <c r="Y26" s="303" t="s">
        <v>351</v>
      </c>
      <c r="Z26" s="303" t="s">
        <v>351</v>
      </c>
      <c r="AA26" s="303" t="s">
        <v>351</v>
      </c>
    </row>
    <row r="27" spans="1:27" ht="94.5" x14ac:dyDescent="0.25">
      <c r="A27" s="303" t="s">
        <v>62</v>
      </c>
      <c r="B27" s="303" t="s">
        <v>573</v>
      </c>
      <c r="C27" s="303" t="s">
        <v>577</v>
      </c>
      <c r="D27" s="303" t="s">
        <v>351</v>
      </c>
      <c r="E27" s="303" t="s">
        <v>583</v>
      </c>
      <c r="F27" s="303" t="s">
        <v>587</v>
      </c>
      <c r="G27" s="303" t="s">
        <v>587</v>
      </c>
      <c r="H27" s="303" t="s">
        <v>587</v>
      </c>
      <c r="I27" s="303" t="s">
        <v>587</v>
      </c>
      <c r="J27" s="303" t="s">
        <v>351</v>
      </c>
      <c r="K27" s="303" t="s">
        <v>351</v>
      </c>
      <c r="L27" s="303" t="s">
        <v>63</v>
      </c>
      <c r="M27" s="303" t="s">
        <v>351</v>
      </c>
      <c r="N27" s="303" t="s">
        <v>588</v>
      </c>
      <c r="O27" s="303" t="s">
        <v>351</v>
      </c>
      <c r="P27" s="303" t="s">
        <v>589</v>
      </c>
      <c r="Q27" s="303" t="s">
        <v>351</v>
      </c>
      <c r="R27" s="303" t="s">
        <v>620</v>
      </c>
      <c r="S27" s="303" t="s">
        <v>351</v>
      </c>
      <c r="T27" s="303" t="s">
        <v>351</v>
      </c>
      <c r="U27" s="303" t="s">
        <v>351</v>
      </c>
      <c r="V27" s="303" t="s">
        <v>351</v>
      </c>
      <c r="W27" s="303" t="s">
        <v>590</v>
      </c>
      <c r="X27" s="303" t="s">
        <v>351</v>
      </c>
      <c r="Y27" s="303" t="s">
        <v>351</v>
      </c>
      <c r="Z27" s="303" t="s">
        <v>351</v>
      </c>
      <c r="AA27" s="303" t="s">
        <v>351</v>
      </c>
    </row>
    <row r="28" spans="1:27" ht="94.5" x14ac:dyDescent="0.25">
      <c r="A28" s="303" t="s">
        <v>61</v>
      </c>
      <c r="B28" s="303" t="s">
        <v>573</v>
      </c>
      <c r="C28" s="303" t="s">
        <v>578</v>
      </c>
      <c r="D28" s="303" t="s">
        <v>351</v>
      </c>
      <c r="E28" s="303" t="s">
        <v>584</v>
      </c>
      <c r="F28" s="303" t="s">
        <v>587</v>
      </c>
      <c r="G28" s="303" t="s">
        <v>587</v>
      </c>
      <c r="H28" s="303" t="s">
        <v>587</v>
      </c>
      <c r="I28" s="303" t="s">
        <v>587</v>
      </c>
      <c r="J28" s="303" t="s">
        <v>351</v>
      </c>
      <c r="K28" s="303" t="s">
        <v>351</v>
      </c>
      <c r="L28" s="303" t="s">
        <v>63</v>
      </c>
      <c r="M28" s="303" t="s">
        <v>351</v>
      </c>
      <c r="N28" s="303" t="s">
        <v>588</v>
      </c>
      <c r="O28" s="303" t="s">
        <v>351</v>
      </c>
      <c r="P28" s="303" t="s">
        <v>589</v>
      </c>
      <c r="Q28" s="303" t="s">
        <v>351</v>
      </c>
      <c r="R28" s="303" t="s">
        <v>621</v>
      </c>
      <c r="S28" s="303" t="s">
        <v>351</v>
      </c>
      <c r="T28" s="303" t="s">
        <v>351</v>
      </c>
      <c r="U28" s="303" t="s">
        <v>351</v>
      </c>
      <c r="V28" s="303" t="s">
        <v>351</v>
      </c>
      <c r="W28" s="303" t="s">
        <v>590</v>
      </c>
      <c r="X28" s="303" t="s">
        <v>351</v>
      </c>
      <c r="Y28" s="303" t="s">
        <v>351</v>
      </c>
      <c r="Z28" s="303" t="s">
        <v>351</v>
      </c>
      <c r="AA28" s="303" t="s">
        <v>351</v>
      </c>
    </row>
    <row r="29" spans="1:27" ht="94.5" x14ac:dyDescent="0.25">
      <c r="A29" s="303" t="s">
        <v>59</v>
      </c>
      <c r="B29" s="303" t="s">
        <v>574</v>
      </c>
      <c r="C29" s="303" t="s">
        <v>579</v>
      </c>
      <c r="D29" s="303" t="s">
        <v>351</v>
      </c>
      <c r="E29" s="303" t="s">
        <v>585</v>
      </c>
      <c r="F29" s="303" t="s">
        <v>587</v>
      </c>
      <c r="G29" s="303" t="s">
        <v>587</v>
      </c>
      <c r="H29" s="303" t="s">
        <v>587</v>
      </c>
      <c r="I29" s="303" t="s">
        <v>587</v>
      </c>
      <c r="J29" s="303" t="s">
        <v>351</v>
      </c>
      <c r="K29" s="303" t="s">
        <v>351</v>
      </c>
      <c r="L29" s="303" t="s">
        <v>63</v>
      </c>
      <c r="M29" s="303" t="s">
        <v>351</v>
      </c>
      <c r="N29" s="303" t="s">
        <v>588</v>
      </c>
      <c r="O29" s="303" t="s">
        <v>351</v>
      </c>
      <c r="P29" s="303" t="s">
        <v>589</v>
      </c>
      <c r="Q29" s="303" t="s">
        <v>351</v>
      </c>
      <c r="R29" s="303" t="s">
        <v>618</v>
      </c>
      <c r="S29" s="303" t="s">
        <v>351</v>
      </c>
      <c r="T29" s="303" t="s">
        <v>351</v>
      </c>
      <c r="U29" s="303" t="s">
        <v>351</v>
      </c>
      <c r="V29" s="303" t="s">
        <v>351</v>
      </c>
      <c r="W29" s="303" t="s">
        <v>590</v>
      </c>
      <c r="X29" s="303" t="s">
        <v>351</v>
      </c>
      <c r="Y29" s="303" t="s">
        <v>351</v>
      </c>
      <c r="Z29" s="303" t="s">
        <v>351</v>
      </c>
      <c r="AA29" s="303" t="s">
        <v>351</v>
      </c>
    </row>
    <row r="30" spans="1:27" ht="94.5" x14ac:dyDescent="0.25">
      <c r="A30" s="303" t="s">
        <v>58</v>
      </c>
      <c r="B30" s="303" t="s">
        <v>574</v>
      </c>
      <c r="C30" s="303" t="s">
        <v>580</v>
      </c>
      <c r="D30" s="303" t="s">
        <v>351</v>
      </c>
      <c r="E30" s="303" t="s">
        <v>586</v>
      </c>
      <c r="F30" s="303" t="s">
        <v>587</v>
      </c>
      <c r="G30" s="303" t="s">
        <v>587</v>
      </c>
      <c r="H30" s="303" t="s">
        <v>587</v>
      </c>
      <c r="I30" s="303" t="s">
        <v>587</v>
      </c>
      <c r="J30" s="303" t="s">
        <v>351</v>
      </c>
      <c r="K30" s="303" t="s">
        <v>351</v>
      </c>
      <c r="L30" s="303" t="s">
        <v>63</v>
      </c>
      <c r="M30" s="303" t="s">
        <v>351</v>
      </c>
      <c r="N30" s="303" t="s">
        <v>588</v>
      </c>
      <c r="O30" s="303" t="s">
        <v>351</v>
      </c>
      <c r="P30" s="303" t="s">
        <v>589</v>
      </c>
      <c r="Q30" s="303" t="s">
        <v>351</v>
      </c>
      <c r="R30" s="303" t="s">
        <v>619</v>
      </c>
      <c r="S30" s="303" t="s">
        <v>351</v>
      </c>
      <c r="T30" s="303" t="s">
        <v>351</v>
      </c>
      <c r="U30" s="303" t="s">
        <v>351</v>
      </c>
      <c r="V30" s="303" t="s">
        <v>351</v>
      </c>
      <c r="W30" s="303" t="s">
        <v>590</v>
      </c>
      <c r="X30" s="303" t="s">
        <v>351</v>
      </c>
      <c r="Y30" s="303" t="s">
        <v>351</v>
      </c>
      <c r="Z30" s="303" t="s">
        <v>351</v>
      </c>
      <c r="AA30" s="303" t="s">
        <v>351</v>
      </c>
    </row>
    <row r="31" spans="1:27" ht="17.25" customHeight="1" x14ac:dyDescent="0.25">
      <c r="X31" s="107"/>
      <c r="Y31" s="108"/>
      <c r="Z31" s="52"/>
      <c r="AA31" s="52"/>
    </row>
    <row r="32" spans="1:27" s="57" customFormat="1" ht="12.75" x14ac:dyDescent="0.2">
      <c r="A32" s="58"/>
      <c r="B32" s="58"/>
      <c r="C32" s="58"/>
      <c r="E32" s="58"/>
      <c r="X32" s="109"/>
      <c r="Y32" s="109"/>
      <c r="Z32" s="109"/>
      <c r="AA32" s="109"/>
    </row>
    <row r="33" spans="1:3" s="57" customFormat="1" ht="12.75" x14ac:dyDescent="0.2">
      <c r="A33" s="58"/>
      <c r="B33" s="58"/>
      <c r="C33"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18" t="str">
        <f>'1. паспорт местоположение'!A5:C5</f>
        <v>Год раскрытия информации: 2016 год</v>
      </c>
      <c r="B5" s="318"/>
      <c r="C5" s="318"/>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322" t="s">
        <v>9</v>
      </c>
      <c r="B7" s="322"/>
      <c r="C7" s="322"/>
      <c r="D7" s="13"/>
      <c r="E7" s="13"/>
      <c r="F7" s="13"/>
      <c r="G7" s="13"/>
      <c r="H7" s="13"/>
      <c r="I7" s="13"/>
      <c r="J7" s="13"/>
      <c r="K7" s="13"/>
      <c r="L7" s="13"/>
      <c r="M7" s="13"/>
      <c r="N7" s="13"/>
      <c r="O7" s="13"/>
      <c r="P7" s="13"/>
      <c r="Q7" s="13"/>
      <c r="R7" s="13"/>
      <c r="S7" s="13"/>
      <c r="T7" s="13"/>
      <c r="U7" s="13"/>
    </row>
    <row r="8" spans="1:29" s="12" customFormat="1" ht="18.75" x14ac:dyDescent="0.2">
      <c r="A8" s="322"/>
      <c r="B8" s="322"/>
      <c r="C8" s="322"/>
      <c r="D8" s="14"/>
      <c r="E8" s="14"/>
      <c r="F8" s="14"/>
      <c r="G8" s="14"/>
      <c r="H8" s="13"/>
      <c r="I8" s="13"/>
      <c r="J8" s="13"/>
      <c r="K8" s="13"/>
      <c r="L8" s="13"/>
      <c r="M8" s="13"/>
      <c r="N8" s="13"/>
      <c r="O8" s="13"/>
      <c r="P8" s="13"/>
      <c r="Q8" s="13"/>
      <c r="R8" s="13"/>
      <c r="S8" s="13"/>
      <c r="T8" s="13"/>
      <c r="U8" s="13"/>
    </row>
    <row r="9" spans="1:29" s="12" customFormat="1" ht="18.75" x14ac:dyDescent="0.2">
      <c r="A9" s="328" t="str">
        <f>'1. паспорт местоположение'!A9:C9</f>
        <v xml:space="preserve">                         АО "Янтарьэнерго"                         </v>
      </c>
      <c r="B9" s="328"/>
      <c r="C9" s="328"/>
      <c r="D9" s="8"/>
      <c r="E9" s="8"/>
      <c r="F9" s="8"/>
      <c r="G9" s="8"/>
      <c r="H9" s="13"/>
      <c r="I9" s="13"/>
      <c r="J9" s="13"/>
      <c r="K9" s="13"/>
      <c r="L9" s="13"/>
      <c r="M9" s="13"/>
      <c r="N9" s="13"/>
      <c r="O9" s="13"/>
      <c r="P9" s="13"/>
      <c r="Q9" s="13"/>
      <c r="R9" s="13"/>
      <c r="S9" s="13"/>
      <c r="T9" s="13"/>
      <c r="U9" s="13"/>
    </row>
    <row r="10" spans="1:29" s="12" customFormat="1" ht="18.75" x14ac:dyDescent="0.2">
      <c r="A10" s="319" t="s">
        <v>8</v>
      </c>
      <c r="B10" s="319"/>
      <c r="C10" s="319"/>
      <c r="D10" s="6"/>
      <c r="E10" s="6"/>
      <c r="F10" s="6"/>
      <c r="G10" s="6"/>
      <c r="H10" s="13"/>
      <c r="I10" s="13"/>
      <c r="J10" s="13"/>
      <c r="K10" s="13"/>
      <c r="L10" s="13"/>
      <c r="M10" s="13"/>
      <c r="N10" s="13"/>
      <c r="O10" s="13"/>
      <c r="P10" s="13"/>
      <c r="Q10" s="13"/>
      <c r="R10" s="13"/>
      <c r="S10" s="13"/>
      <c r="T10" s="13"/>
      <c r="U10" s="13"/>
    </row>
    <row r="11" spans="1:29" s="12" customFormat="1" ht="18.75" x14ac:dyDescent="0.2">
      <c r="A11" s="322"/>
      <c r="B11" s="322"/>
      <c r="C11" s="322"/>
      <c r="D11" s="14"/>
      <c r="E11" s="14"/>
      <c r="F11" s="14"/>
      <c r="G11" s="14"/>
      <c r="H11" s="13"/>
      <c r="I11" s="13"/>
      <c r="J11" s="13"/>
      <c r="K11" s="13"/>
      <c r="L11" s="13"/>
      <c r="M11" s="13"/>
      <c r="N11" s="13"/>
      <c r="O11" s="13"/>
      <c r="P11" s="13"/>
      <c r="Q11" s="13"/>
      <c r="R11" s="13"/>
      <c r="S11" s="13"/>
      <c r="T11" s="13"/>
      <c r="U11" s="13"/>
    </row>
    <row r="12" spans="1:29" s="12" customFormat="1" ht="18.75" x14ac:dyDescent="0.2">
      <c r="A12" s="328" t="str">
        <f>'1. паспорт местоположение'!A12:C12</f>
        <v xml:space="preserve">                              G_4584                              </v>
      </c>
      <c r="B12" s="328"/>
      <c r="C12" s="328"/>
      <c r="D12" s="8"/>
      <c r="E12" s="8"/>
      <c r="F12" s="8"/>
      <c r="G12" s="8"/>
      <c r="H12" s="13"/>
      <c r="I12" s="13"/>
      <c r="J12" s="13"/>
      <c r="K12" s="13"/>
      <c r="L12" s="13"/>
      <c r="M12" s="13"/>
      <c r="N12" s="13"/>
      <c r="O12" s="13"/>
      <c r="P12" s="13"/>
      <c r="Q12" s="13"/>
      <c r="R12" s="13"/>
      <c r="S12" s="13"/>
      <c r="T12" s="13"/>
      <c r="U12" s="13"/>
    </row>
    <row r="13" spans="1:29" s="12" customFormat="1" ht="18.75" x14ac:dyDescent="0.2">
      <c r="A13" s="319" t="s">
        <v>7</v>
      </c>
      <c r="B13" s="319"/>
      <c r="C13" s="3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9"/>
      <c r="B14" s="329"/>
      <c r="C14" s="329"/>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325"/>
      <c r="D15" s="8"/>
      <c r="E15" s="8"/>
      <c r="F15" s="8"/>
      <c r="G15" s="8"/>
      <c r="H15" s="8"/>
      <c r="I15" s="8"/>
      <c r="J15" s="8"/>
      <c r="K15" s="8"/>
      <c r="L15" s="8"/>
      <c r="M15" s="8"/>
      <c r="N15" s="8"/>
      <c r="O15" s="8"/>
      <c r="P15" s="8"/>
      <c r="Q15" s="8"/>
      <c r="R15" s="8"/>
      <c r="S15" s="8"/>
      <c r="T15" s="8"/>
      <c r="U15" s="8"/>
    </row>
    <row r="16" spans="1:29" s="3" customFormat="1" ht="15" customHeight="1" x14ac:dyDescent="0.2">
      <c r="A16" s="319" t="s">
        <v>6</v>
      </c>
      <c r="B16" s="319"/>
      <c r="C16" s="319"/>
      <c r="D16" s="6"/>
      <c r="E16" s="6"/>
      <c r="F16" s="6"/>
      <c r="G16" s="6"/>
      <c r="H16" s="6"/>
      <c r="I16" s="6"/>
      <c r="J16" s="6"/>
      <c r="K16" s="6"/>
      <c r="L16" s="6"/>
      <c r="M16" s="6"/>
      <c r="N16" s="6"/>
      <c r="O16" s="6"/>
      <c r="P16" s="6"/>
      <c r="Q16" s="6"/>
      <c r="R16" s="6"/>
      <c r="S16" s="6"/>
      <c r="T16" s="6"/>
      <c r="U16" s="6"/>
    </row>
    <row r="17" spans="1:21" s="3" customFormat="1" ht="15" customHeight="1" x14ac:dyDescent="0.2">
      <c r="A17" s="326"/>
      <c r="B17" s="326"/>
      <c r="C17" s="326"/>
      <c r="D17" s="4"/>
      <c r="E17" s="4"/>
      <c r="F17" s="4"/>
      <c r="G17" s="4"/>
      <c r="H17" s="4"/>
      <c r="I17" s="4"/>
      <c r="J17" s="4"/>
      <c r="K17" s="4"/>
      <c r="L17" s="4"/>
      <c r="M17" s="4"/>
      <c r="N17" s="4"/>
      <c r="O17" s="4"/>
      <c r="P17" s="4"/>
      <c r="Q17" s="4"/>
      <c r="R17" s="4"/>
    </row>
    <row r="18" spans="1:21" s="3" customFormat="1" ht="27.75" customHeight="1" x14ac:dyDescent="0.2">
      <c r="A18" s="320" t="s">
        <v>436</v>
      </c>
      <c r="B18" s="320"/>
      <c r="C18" s="3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449</v>
      </c>
      <c r="C22" s="36" t="s">
        <v>492</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490</v>
      </c>
      <c r="D23" s="23"/>
      <c r="E23" s="23"/>
      <c r="F23" s="23"/>
      <c r="G23" s="23"/>
      <c r="H23" s="23"/>
      <c r="I23" s="23"/>
      <c r="J23" s="23"/>
      <c r="K23" s="23"/>
      <c r="L23" s="23"/>
      <c r="M23" s="23"/>
      <c r="N23" s="23"/>
      <c r="O23" s="23"/>
      <c r="P23" s="23"/>
      <c r="Q23" s="23"/>
      <c r="R23" s="23"/>
      <c r="S23" s="23"/>
      <c r="T23" s="23"/>
      <c r="U23" s="23"/>
    </row>
    <row r="24" spans="1:21" ht="97.5" customHeight="1" x14ac:dyDescent="0.25">
      <c r="A24" s="24" t="s">
        <v>62</v>
      </c>
      <c r="B24" s="26" t="s">
        <v>469</v>
      </c>
      <c r="C24" s="302" t="s">
        <v>571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470</v>
      </c>
      <c r="C25" s="36">
        <v>8.1300000000000008</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220</v>
      </c>
      <c r="C26" s="36" t="s">
        <v>493</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450</v>
      </c>
      <c r="C27" s="36" t="s">
        <v>561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491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9</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52"/>
      <c r="AB6" s="152"/>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52"/>
      <c r="AB7" s="152"/>
    </row>
    <row r="8" spans="1:28" ht="15.75" x14ac:dyDescent="0.25">
      <c r="A8" s="328" t="str">
        <f>'1. паспорт местоположение'!A9:C9</f>
        <v xml:space="preserve">                         АО "Янтарьэнерго"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53"/>
      <c r="AB8" s="153"/>
    </row>
    <row r="9" spans="1:28" ht="15.75" x14ac:dyDescent="0.25">
      <c r="A9" s="319" t="s">
        <v>8</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154"/>
      <c r="AB9" s="154"/>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52"/>
      <c r="AB10" s="152"/>
    </row>
    <row r="11" spans="1:28" ht="15.75" x14ac:dyDescent="0.25">
      <c r="A11" s="328" t="str">
        <f>'1. паспорт местоположение'!A12:C12</f>
        <v xml:space="preserve">                              G_4584                              </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53"/>
      <c r="AB11" s="153"/>
    </row>
    <row r="12" spans="1:28" ht="15.75" x14ac:dyDescent="0.25">
      <c r="A12" s="319" t="s">
        <v>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154"/>
      <c r="AB12" s="154"/>
    </row>
    <row r="13" spans="1:28" ht="18.75" x14ac:dyDescent="0.25">
      <c r="A13" s="329"/>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11"/>
      <c r="AB13" s="11"/>
    </row>
    <row r="14" spans="1:28" ht="24.75" customHeight="1" x14ac:dyDescent="0.25">
      <c r="A14"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53"/>
      <c r="AB14" s="153"/>
    </row>
    <row r="15" spans="1:28" ht="15.75" x14ac:dyDescent="0.25">
      <c r="A15" s="319" t="s">
        <v>6</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154"/>
      <c r="AB15" s="154"/>
    </row>
    <row r="16" spans="1:28"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163"/>
      <c r="AB16" s="163"/>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3"/>
      <c r="AB17" s="163"/>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3"/>
      <c r="AB18" s="163"/>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3"/>
      <c r="AB19" s="163"/>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164"/>
      <c r="AB20" s="164"/>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164"/>
      <c r="AB21" s="164"/>
    </row>
    <row r="22" spans="1:28" x14ac:dyDescent="0.25">
      <c r="A22" s="358" t="s">
        <v>468</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165"/>
      <c r="AB22" s="165"/>
    </row>
    <row r="23" spans="1:28" ht="32.25" customHeight="1" x14ac:dyDescent="0.25">
      <c r="A23" s="360" t="s">
        <v>348</v>
      </c>
      <c r="B23" s="361"/>
      <c r="C23" s="361"/>
      <c r="D23" s="361"/>
      <c r="E23" s="361"/>
      <c r="F23" s="361"/>
      <c r="G23" s="361"/>
      <c r="H23" s="361"/>
      <c r="I23" s="361"/>
      <c r="J23" s="361"/>
      <c r="K23" s="361"/>
      <c r="L23" s="362"/>
      <c r="M23" s="359" t="s">
        <v>349</v>
      </c>
      <c r="N23" s="359"/>
      <c r="O23" s="359"/>
      <c r="P23" s="359"/>
      <c r="Q23" s="359"/>
      <c r="R23" s="359"/>
      <c r="S23" s="359"/>
      <c r="T23" s="359"/>
      <c r="U23" s="359"/>
      <c r="V23" s="359"/>
      <c r="W23" s="359"/>
      <c r="X23" s="359"/>
      <c r="Y23" s="359"/>
      <c r="Z23" s="359"/>
    </row>
    <row r="24" spans="1:28" ht="151.5" customHeight="1" x14ac:dyDescent="0.25">
      <c r="A24" s="102" t="s">
        <v>223</v>
      </c>
      <c r="B24" s="103" t="s">
        <v>252</v>
      </c>
      <c r="C24" s="102" t="s">
        <v>343</v>
      </c>
      <c r="D24" s="102" t="s">
        <v>224</v>
      </c>
      <c r="E24" s="102" t="s">
        <v>344</v>
      </c>
      <c r="F24" s="102" t="s">
        <v>346</v>
      </c>
      <c r="G24" s="102" t="s">
        <v>345</v>
      </c>
      <c r="H24" s="102" t="s">
        <v>225</v>
      </c>
      <c r="I24" s="102" t="s">
        <v>347</v>
      </c>
      <c r="J24" s="102" t="s">
        <v>257</v>
      </c>
      <c r="K24" s="103" t="s">
        <v>251</v>
      </c>
      <c r="L24" s="103" t="s">
        <v>226</v>
      </c>
      <c r="M24" s="104" t="s">
        <v>271</v>
      </c>
      <c r="N24" s="103" t="s">
        <v>478</v>
      </c>
      <c r="O24" s="102" t="s">
        <v>268</v>
      </c>
      <c r="P24" s="102" t="s">
        <v>269</v>
      </c>
      <c r="Q24" s="102" t="s">
        <v>267</v>
      </c>
      <c r="R24" s="102" t="s">
        <v>225</v>
      </c>
      <c r="S24" s="102" t="s">
        <v>266</v>
      </c>
      <c r="T24" s="102" t="s">
        <v>265</v>
      </c>
      <c r="U24" s="102" t="s">
        <v>342</v>
      </c>
      <c r="V24" s="102" t="s">
        <v>267</v>
      </c>
      <c r="W24" s="111" t="s">
        <v>250</v>
      </c>
      <c r="X24" s="111" t="s">
        <v>282</v>
      </c>
      <c r="Y24" s="111" t="s">
        <v>283</v>
      </c>
      <c r="Z24" s="113" t="s">
        <v>280</v>
      </c>
    </row>
    <row r="25" spans="1:28" ht="16.5" customHeight="1" x14ac:dyDescent="0.25">
      <c r="A25" s="102">
        <v>1</v>
      </c>
      <c r="B25" s="103">
        <v>2</v>
      </c>
      <c r="C25" s="102">
        <v>3</v>
      </c>
      <c r="D25" s="103">
        <v>4</v>
      </c>
      <c r="E25" s="102">
        <v>5</v>
      </c>
      <c r="F25" s="103">
        <v>6</v>
      </c>
      <c r="G25" s="102">
        <v>7</v>
      </c>
      <c r="H25" s="103">
        <v>8</v>
      </c>
      <c r="I25" s="102">
        <v>9</v>
      </c>
      <c r="J25" s="103">
        <v>10</v>
      </c>
      <c r="K25" s="166">
        <v>11</v>
      </c>
      <c r="L25" s="103">
        <v>12</v>
      </c>
      <c r="M25" s="166">
        <v>13</v>
      </c>
      <c r="N25" s="103">
        <v>14</v>
      </c>
      <c r="O25" s="166">
        <v>15</v>
      </c>
      <c r="P25" s="103">
        <v>16</v>
      </c>
      <c r="Q25" s="166">
        <v>17</v>
      </c>
      <c r="R25" s="103">
        <v>18</v>
      </c>
      <c r="S25" s="166">
        <v>19</v>
      </c>
      <c r="T25" s="103">
        <v>20</v>
      </c>
      <c r="U25" s="166">
        <v>21</v>
      </c>
      <c r="V25" s="103">
        <v>22</v>
      </c>
      <c r="W25" s="166">
        <v>23</v>
      </c>
      <c r="X25" s="103">
        <v>24</v>
      </c>
      <c r="Y25" s="166">
        <v>25</v>
      </c>
      <c r="Z25" s="103">
        <v>26</v>
      </c>
    </row>
    <row r="26" spans="1:28" ht="45.75" customHeight="1" x14ac:dyDescent="0.25">
      <c r="A26" s="95" t="s">
        <v>327</v>
      </c>
      <c r="B26" s="101"/>
      <c r="C26" s="97" t="s">
        <v>329</v>
      </c>
      <c r="D26" s="97" t="s">
        <v>330</v>
      </c>
      <c r="E26" s="97" t="s">
        <v>331</v>
      </c>
      <c r="F26" s="97" t="s">
        <v>262</v>
      </c>
      <c r="G26" s="97" t="s">
        <v>332</v>
      </c>
      <c r="H26" s="97" t="s">
        <v>225</v>
      </c>
      <c r="I26" s="97" t="s">
        <v>333</v>
      </c>
      <c r="J26" s="97" t="s">
        <v>334</v>
      </c>
      <c r="K26" s="94"/>
      <c r="L26" s="98" t="s">
        <v>248</v>
      </c>
      <c r="M26" s="100" t="s">
        <v>264</v>
      </c>
      <c r="N26" s="94"/>
      <c r="O26" s="94"/>
      <c r="P26" s="94"/>
      <c r="Q26" s="94"/>
      <c r="R26" s="94"/>
      <c r="S26" s="94"/>
      <c r="T26" s="94"/>
      <c r="U26" s="94"/>
      <c r="V26" s="94"/>
      <c r="W26" s="94"/>
      <c r="X26" s="94"/>
      <c r="Y26" s="94"/>
      <c r="Z26" s="96" t="s">
        <v>281</v>
      </c>
    </row>
    <row r="27" spans="1:28" x14ac:dyDescent="0.25">
      <c r="A27" s="94" t="s">
        <v>227</v>
      </c>
      <c r="B27" s="94" t="s">
        <v>253</v>
      </c>
      <c r="C27" s="94" t="s">
        <v>232</v>
      </c>
      <c r="D27" s="94" t="s">
        <v>233</v>
      </c>
      <c r="E27" s="94" t="s">
        <v>272</v>
      </c>
      <c r="F27" s="97" t="s">
        <v>228</v>
      </c>
      <c r="G27" s="97" t="s">
        <v>276</v>
      </c>
      <c r="H27" s="94" t="s">
        <v>225</v>
      </c>
      <c r="I27" s="97" t="s">
        <v>258</v>
      </c>
      <c r="J27" s="97" t="s">
        <v>240</v>
      </c>
      <c r="K27" s="98" t="s">
        <v>244</v>
      </c>
      <c r="L27" s="94"/>
      <c r="M27" s="98" t="s">
        <v>270</v>
      </c>
      <c r="N27" s="94"/>
      <c r="O27" s="94"/>
      <c r="P27" s="94"/>
      <c r="Q27" s="94"/>
      <c r="R27" s="94"/>
      <c r="S27" s="94"/>
      <c r="T27" s="94"/>
      <c r="U27" s="94"/>
      <c r="V27" s="94"/>
      <c r="W27" s="94"/>
      <c r="X27" s="94"/>
      <c r="Y27" s="94"/>
      <c r="Z27" s="94"/>
    </row>
    <row r="28" spans="1:28" x14ac:dyDescent="0.25">
      <c r="A28" s="94" t="s">
        <v>227</v>
      </c>
      <c r="B28" s="94" t="s">
        <v>254</v>
      </c>
      <c r="C28" s="94" t="s">
        <v>234</v>
      </c>
      <c r="D28" s="94" t="s">
        <v>235</v>
      </c>
      <c r="E28" s="94" t="s">
        <v>273</v>
      </c>
      <c r="F28" s="97" t="s">
        <v>229</v>
      </c>
      <c r="G28" s="97" t="s">
        <v>277</v>
      </c>
      <c r="H28" s="94" t="s">
        <v>225</v>
      </c>
      <c r="I28" s="97" t="s">
        <v>259</v>
      </c>
      <c r="J28" s="97" t="s">
        <v>241</v>
      </c>
      <c r="K28" s="98" t="s">
        <v>245</v>
      </c>
      <c r="L28" s="99"/>
      <c r="M28" s="98" t="s">
        <v>0</v>
      </c>
      <c r="N28" s="98"/>
      <c r="O28" s="98"/>
      <c r="P28" s="98"/>
      <c r="Q28" s="98"/>
      <c r="R28" s="98"/>
      <c r="S28" s="98"/>
      <c r="T28" s="98"/>
      <c r="U28" s="98"/>
      <c r="V28" s="98"/>
      <c r="W28" s="98"/>
      <c r="X28" s="98"/>
      <c r="Y28" s="98"/>
      <c r="Z28" s="98"/>
    </row>
    <row r="29" spans="1:28" x14ac:dyDescent="0.25">
      <c r="A29" s="94" t="s">
        <v>227</v>
      </c>
      <c r="B29" s="94" t="s">
        <v>255</v>
      </c>
      <c r="C29" s="94" t="s">
        <v>236</v>
      </c>
      <c r="D29" s="94" t="s">
        <v>237</v>
      </c>
      <c r="E29" s="94" t="s">
        <v>274</v>
      </c>
      <c r="F29" s="97" t="s">
        <v>230</v>
      </c>
      <c r="G29" s="97" t="s">
        <v>278</v>
      </c>
      <c r="H29" s="94" t="s">
        <v>225</v>
      </c>
      <c r="I29" s="97" t="s">
        <v>260</v>
      </c>
      <c r="J29" s="97" t="s">
        <v>242</v>
      </c>
      <c r="K29" s="98" t="s">
        <v>246</v>
      </c>
      <c r="L29" s="99"/>
      <c r="M29" s="94"/>
      <c r="N29" s="94"/>
      <c r="O29" s="94"/>
      <c r="P29" s="94"/>
      <c r="Q29" s="94"/>
      <c r="R29" s="94"/>
      <c r="S29" s="94"/>
      <c r="T29" s="94"/>
      <c r="U29" s="94"/>
      <c r="V29" s="94"/>
      <c r="W29" s="94"/>
      <c r="X29" s="94"/>
      <c r="Y29" s="94"/>
      <c r="Z29" s="94"/>
    </row>
    <row r="30" spans="1:28" x14ac:dyDescent="0.25">
      <c r="A30" s="94" t="s">
        <v>227</v>
      </c>
      <c r="B30" s="94" t="s">
        <v>256</v>
      </c>
      <c r="C30" s="94" t="s">
        <v>238</v>
      </c>
      <c r="D30" s="94" t="s">
        <v>239</v>
      </c>
      <c r="E30" s="94" t="s">
        <v>275</v>
      </c>
      <c r="F30" s="97" t="s">
        <v>231</v>
      </c>
      <c r="G30" s="97" t="s">
        <v>279</v>
      </c>
      <c r="H30" s="94" t="s">
        <v>225</v>
      </c>
      <c r="I30" s="97" t="s">
        <v>261</v>
      </c>
      <c r="J30" s="97" t="s">
        <v>243</v>
      </c>
      <c r="K30" s="98" t="s">
        <v>247</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328</v>
      </c>
      <c r="B32" s="101"/>
      <c r="C32" s="97" t="s">
        <v>335</v>
      </c>
      <c r="D32" s="97" t="s">
        <v>336</v>
      </c>
      <c r="E32" s="97" t="s">
        <v>337</v>
      </c>
      <c r="F32" s="97" t="s">
        <v>338</v>
      </c>
      <c r="G32" s="97" t="s">
        <v>339</v>
      </c>
      <c r="H32" s="97" t="s">
        <v>225</v>
      </c>
      <c r="I32" s="97" t="s">
        <v>340</v>
      </c>
      <c r="J32" s="97" t="s">
        <v>341</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322" t="s">
        <v>9</v>
      </c>
      <c r="B7" s="322"/>
      <c r="C7" s="322"/>
      <c r="D7" s="322"/>
      <c r="E7" s="322"/>
      <c r="F7" s="322"/>
      <c r="G7" s="322"/>
      <c r="H7" s="322"/>
      <c r="I7" s="322"/>
      <c r="J7" s="322"/>
      <c r="K7" s="322"/>
      <c r="L7" s="322"/>
      <c r="M7" s="322"/>
      <c r="N7" s="322"/>
      <c r="O7" s="322"/>
      <c r="P7" s="13"/>
      <c r="Q7" s="13"/>
      <c r="R7" s="13"/>
      <c r="S7" s="13"/>
      <c r="T7" s="13"/>
      <c r="U7" s="13"/>
      <c r="V7" s="13"/>
      <c r="W7" s="13"/>
      <c r="X7" s="13"/>
      <c r="Y7" s="13"/>
      <c r="Z7" s="13"/>
    </row>
    <row r="8" spans="1:28" s="12" customFormat="1" ht="18.75" x14ac:dyDescent="0.2">
      <c r="A8" s="322"/>
      <c r="B8" s="322"/>
      <c r="C8" s="322"/>
      <c r="D8" s="322"/>
      <c r="E8" s="322"/>
      <c r="F8" s="322"/>
      <c r="G8" s="322"/>
      <c r="H8" s="322"/>
      <c r="I8" s="322"/>
      <c r="J8" s="322"/>
      <c r="K8" s="322"/>
      <c r="L8" s="322"/>
      <c r="M8" s="322"/>
      <c r="N8" s="322"/>
      <c r="O8" s="322"/>
      <c r="P8" s="13"/>
      <c r="Q8" s="13"/>
      <c r="R8" s="13"/>
      <c r="S8" s="13"/>
      <c r="T8" s="13"/>
      <c r="U8" s="13"/>
      <c r="V8" s="13"/>
      <c r="W8" s="13"/>
      <c r="X8" s="13"/>
      <c r="Y8" s="13"/>
      <c r="Z8" s="13"/>
    </row>
    <row r="9" spans="1:28" s="12" customFormat="1" ht="18.75" x14ac:dyDescent="0.2">
      <c r="A9" s="325" t="str">
        <f>'1. паспорт местоположение'!A9:C9</f>
        <v xml:space="preserve">                         АО "Янтарьэнерго"                         </v>
      </c>
      <c r="B9" s="325"/>
      <c r="C9" s="325"/>
      <c r="D9" s="325"/>
      <c r="E9" s="325"/>
      <c r="F9" s="325"/>
      <c r="G9" s="325"/>
      <c r="H9" s="325"/>
      <c r="I9" s="325"/>
      <c r="J9" s="325"/>
      <c r="K9" s="325"/>
      <c r="L9" s="325"/>
      <c r="M9" s="325"/>
      <c r="N9" s="325"/>
      <c r="O9" s="325"/>
      <c r="P9" s="13"/>
      <c r="Q9" s="13"/>
      <c r="R9" s="13"/>
      <c r="S9" s="13"/>
      <c r="T9" s="13"/>
      <c r="U9" s="13"/>
      <c r="V9" s="13"/>
      <c r="W9" s="13"/>
      <c r="X9" s="13"/>
      <c r="Y9" s="13"/>
      <c r="Z9" s="13"/>
    </row>
    <row r="10" spans="1:28" s="12" customFormat="1" ht="18.75" x14ac:dyDescent="0.2">
      <c r="A10" s="319" t="s">
        <v>8</v>
      </c>
      <c r="B10" s="319"/>
      <c r="C10" s="319"/>
      <c r="D10" s="319"/>
      <c r="E10" s="319"/>
      <c r="F10" s="319"/>
      <c r="G10" s="319"/>
      <c r="H10" s="319"/>
      <c r="I10" s="319"/>
      <c r="J10" s="319"/>
      <c r="K10" s="319"/>
      <c r="L10" s="319"/>
      <c r="M10" s="319"/>
      <c r="N10" s="319"/>
      <c r="O10" s="319"/>
      <c r="P10" s="13"/>
      <c r="Q10" s="13"/>
      <c r="R10" s="13"/>
      <c r="S10" s="13"/>
      <c r="T10" s="13"/>
      <c r="U10" s="13"/>
      <c r="V10" s="13"/>
      <c r="W10" s="13"/>
      <c r="X10" s="13"/>
      <c r="Y10" s="13"/>
      <c r="Z10" s="13"/>
    </row>
    <row r="11" spans="1:28" s="12" customFormat="1" ht="18.75" x14ac:dyDescent="0.2">
      <c r="A11" s="322"/>
      <c r="B11" s="322"/>
      <c r="C11" s="322"/>
      <c r="D11" s="322"/>
      <c r="E11" s="322"/>
      <c r="F11" s="322"/>
      <c r="G11" s="322"/>
      <c r="H11" s="322"/>
      <c r="I11" s="322"/>
      <c r="J11" s="322"/>
      <c r="K11" s="322"/>
      <c r="L11" s="322"/>
      <c r="M11" s="322"/>
      <c r="N11" s="322"/>
      <c r="O11" s="322"/>
      <c r="P11" s="13"/>
      <c r="Q11" s="13"/>
      <c r="R11" s="13"/>
      <c r="S11" s="13"/>
      <c r="T11" s="13"/>
      <c r="U11" s="13"/>
      <c r="V11" s="13"/>
      <c r="W11" s="13"/>
      <c r="X11" s="13"/>
      <c r="Y11" s="13"/>
      <c r="Z11" s="13"/>
    </row>
    <row r="12" spans="1:28" s="12" customFormat="1" ht="18.75" x14ac:dyDescent="0.2">
      <c r="A12" s="325" t="str">
        <f>'1. паспорт местоположение'!A12:C12</f>
        <v xml:space="preserve">                              G_4584                              </v>
      </c>
      <c r="B12" s="325"/>
      <c r="C12" s="325"/>
      <c r="D12" s="325"/>
      <c r="E12" s="325"/>
      <c r="F12" s="325"/>
      <c r="G12" s="325"/>
      <c r="H12" s="325"/>
      <c r="I12" s="325"/>
      <c r="J12" s="325"/>
      <c r="K12" s="325"/>
      <c r="L12" s="325"/>
      <c r="M12" s="325"/>
      <c r="N12" s="325"/>
      <c r="O12" s="325"/>
      <c r="P12" s="13"/>
      <c r="Q12" s="13"/>
      <c r="R12" s="13"/>
      <c r="S12" s="13"/>
      <c r="T12" s="13"/>
      <c r="U12" s="13"/>
      <c r="V12" s="13"/>
      <c r="W12" s="13"/>
      <c r="X12" s="13"/>
      <c r="Y12" s="13"/>
      <c r="Z12" s="13"/>
    </row>
    <row r="13" spans="1:28" s="12" customFormat="1" ht="18.75" x14ac:dyDescent="0.2">
      <c r="A13" s="319" t="s">
        <v>7</v>
      </c>
      <c r="B13" s="319"/>
      <c r="C13" s="319"/>
      <c r="D13" s="319"/>
      <c r="E13" s="319"/>
      <c r="F13" s="319"/>
      <c r="G13" s="319"/>
      <c r="H13" s="319"/>
      <c r="I13" s="319"/>
      <c r="J13" s="319"/>
      <c r="K13" s="319"/>
      <c r="L13" s="319"/>
      <c r="M13" s="319"/>
      <c r="N13" s="319"/>
      <c r="O13" s="319"/>
      <c r="P13" s="13"/>
      <c r="Q13" s="13"/>
      <c r="R13" s="13"/>
      <c r="S13" s="13"/>
      <c r="T13" s="13"/>
      <c r="U13" s="13"/>
      <c r="V13" s="13"/>
      <c r="W13" s="13"/>
      <c r="X13" s="13"/>
      <c r="Y13" s="13"/>
      <c r="Z13" s="13"/>
    </row>
    <row r="14" spans="1:28" s="9" customFormat="1" ht="15.75" customHeight="1" x14ac:dyDescent="0.2">
      <c r="A14" s="329"/>
      <c r="B14" s="329"/>
      <c r="C14" s="329"/>
      <c r="D14" s="329"/>
      <c r="E14" s="329"/>
      <c r="F14" s="329"/>
      <c r="G14" s="329"/>
      <c r="H14" s="329"/>
      <c r="I14" s="329"/>
      <c r="J14" s="329"/>
      <c r="K14" s="329"/>
      <c r="L14" s="329"/>
      <c r="M14" s="329"/>
      <c r="N14" s="329"/>
      <c r="O14" s="329"/>
      <c r="P14" s="10"/>
      <c r="Q14" s="10"/>
      <c r="R14" s="10"/>
      <c r="S14" s="10"/>
      <c r="T14" s="10"/>
      <c r="U14" s="10"/>
      <c r="V14" s="10"/>
      <c r="W14" s="10"/>
      <c r="X14" s="10"/>
      <c r="Y14" s="10"/>
      <c r="Z14" s="10"/>
    </row>
    <row r="15" spans="1:28" s="3" customFormat="1" ht="46.5" customHeight="1" x14ac:dyDescent="0.2">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325"/>
      <c r="D15" s="325"/>
      <c r="E15" s="325"/>
      <c r="F15" s="325"/>
      <c r="G15" s="325"/>
      <c r="H15" s="325"/>
      <c r="I15" s="325"/>
      <c r="J15" s="325"/>
      <c r="K15" s="325"/>
      <c r="L15" s="325"/>
      <c r="M15" s="325"/>
      <c r="N15" s="325"/>
      <c r="O15" s="325"/>
      <c r="P15" s="8"/>
      <c r="Q15" s="8"/>
      <c r="R15" s="8"/>
      <c r="S15" s="8"/>
      <c r="T15" s="8"/>
      <c r="U15" s="8"/>
      <c r="V15" s="8"/>
      <c r="W15" s="8"/>
      <c r="X15" s="8"/>
      <c r="Y15" s="8"/>
      <c r="Z15" s="8"/>
    </row>
    <row r="16" spans="1:28" s="3" customFormat="1" ht="15" customHeight="1" x14ac:dyDescent="0.2">
      <c r="A16" s="319" t="s">
        <v>6</v>
      </c>
      <c r="B16" s="319"/>
      <c r="C16" s="319"/>
      <c r="D16" s="319"/>
      <c r="E16" s="319"/>
      <c r="F16" s="319"/>
      <c r="G16" s="319"/>
      <c r="H16" s="319"/>
      <c r="I16" s="319"/>
      <c r="J16" s="319"/>
      <c r="K16" s="319"/>
      <c r="L16" s="319"/>
      <c r="M16" s="319"/>
      <c r="N16" s="319"/>
      <c r="O16" s="319"/>
      <c r="P16" s="6"/>
      <c r="Q16" s="6"/>
      <c r="R16" s="6"/>
      <c r="S16" s="6"/>
      <c r="T16" s="6"/>
      <c r="U16" s="6"/>
      <c r="V16" s="6"/>
      <c r="W16" s="6"/>
      <c r="X16" s="6"/>
      <c r="Y16" s="6"/>
      <c r="Z16" s="6"/>
    </row>
    <row r="17" spans="1:26" s="3" customFormat="1" ht="15" customHeight="1" x14ac:dyDescent="0.2">
      <c r="A17" s="326"/>
      <c r="B17" s="326"/>
      <c r="C17" s="326"/>
      <c r="D17" s="326"/>
      <c r="E17" s="326"/>
      <c r="F17" s="326"/>
      <c r="G17" s="326"/>
      <c r="H17" s="326"/>
      <c r="I17" s="326"/>
      <c r="J17" s="326"/>
      <c r="K17" s="326"/>
      <c r="L17" s="326"/>
      <c r="M17" s="326"/>
      <c r="N17" s="326"/>
      <c r="O17" s="326"/>
      <c r="P17" s="4"/>
      <c r="Q17" s="4"/>
      <c r="R17" s="4"/>
      <c r="S17" s="4"/>
      <c r="T17" s="4"/>
      <c r="U17" s="4"/>
      <c r="V17" s="4"/>
      <c r="W17" s="4"/>
    </row>
    <row r="18" spans="1:26" s="3" customFormat="1" ht="91.5" customHeight="1" x14ac:dyDescent="0.2">
      <c r="A18" s="367" t="s">
        <v>445</v>
      </c>
      <c r="B18" s="367"/>
      <c r="C18" s="367"/>
      <c r="D18" s="367"/>
      <c r="E18" s="367"/>
      <c r="F18" s="367"/>
      <c r="G18" s="367"/>
      <c r="H18" s="367"/>
      <c r="I18" s="367"/>
      <c r="J18" s="367"/>
      <c r="K18" s="367"/>
      <c r="L18" s="367"/>
      <c r="M18" s="367"/>
      <c r="N18" s="367"/>
      <c r="O18" s="367"/>
      <c r="P18" s="7"/>
      <c r="Q18" s="7"/>
      <c r="R18" s="7"/>
      <c r="S18" s="7"/>
      <c r="T18" s="7"/>
      <c r="U18" s="7"/>
      <c r="V18" s="7"/>
      <c r="W18" s="7"/>
      <c r="X18" s="7"/>
      <c r="Y18" s="7"/>
      <c r="Z18" s="7"/>
    </row>
    <row r="19" spans="1:26" s="3" customFormat="1" ht="78" customHeight="1" x14ac:dyDescent="0.2">
      <c r="A19" s="330" t="s">
        <v>5</v>
      </c>
      <c r="B19" s="330" t="s">
        <v>87</v>
      </c>
      <c r="C19" s="330" t="s">
        <v>86</v>
      </c>
      <c r="D19" s="330" t="s">
        <v>75</v>
      </c>
      <c r="E19" s="364" t="s">
        <v>85</v>
      </c>
      <c r="F19" s="365"/>
      <c r="G19" s="365"/>
      <c r="H19" s="365"/>
      <c r="I19" s="366"/>
      <c r="J19" s="330" t="s">
        <v>84</v>
      </c>
      <c r="K19" s="330"/>
      <c r="L19" s="330"/>
      <c r="M19" s="330"/>
      <c r="N19" s="330"/>
      <c r="O19" s="330"/>
      <c r="P19" s="4"/>
      <c r="Q19" s="4"/>
      <c r="R19" s="4"/>
      <c r="S19" s="4"/>
      <c r="T19" s="4"/>
      <c r="U19" s="4"/>
      <c r="V19" s="4"/>
      <c r="W19" s="4"/>
    </row>
    <row r="20" spans="1:26" s="3" customFormat="1" ht="51" customHeight="1" x14ac:dyDescent="0.2">
      <c r="A20" s="330"/>
      <c r="B20" s="330"/>
      <c r="C20" s="330"/>
      <c r="D20" s="330"/>
      <c r="E20" s="41" t="s">
        <v>83</v>
      </c>
      <c r="F20" s="41" t="s">
        <v>82</v>
      </c>
      <c r="G20" s="41" t="s">
        <v>81</v>
      </c>
      <c r="H20" s="41" t="s">
        <v>80</v>
      </c>
      <c r="I20" s="41" t="s">
        <v>79</v>
      </c>
      <c r="J20" s="41" t="s">
        <v>78</v>
      </c>
      <c r="K20" s="41" t="s">
        <v>4</v>
      </c>
      <c r="L20" s="49" t="s">
        <v>3</v>
      </c>
      <c r="M20" s="48" t="s">
        <v>221</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c r="B22" s="47"/>
      <c r="C22" s="30"/>
      <c r="D22" s="30"/>
      <c r="E22" s="30"/>
      <c r="F22" s="30"/>
      <c r="G22" s="30"/>
      <c r="H22" s="30"/>
      <c r="I22" s="30"/>
      <c r="J22" s="44"/>
      <c r="K22" s="44"/>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A61" zoomScaleNormal="100" zoomScaleSheetLayoutView="100" workbookViewId="0">
      <selection activeCell="H23" sqref="H23"/>
    </sheetView>
  </sheetViews>
  <sheetFormatPr defaultRowHeight="15.75" x14ac:dyDescent="0.2"/>
  <cols>
    <col min="1" max="1" width="61.7109375" style="175" customWidth="1"/>
    <col min="2" max="2" width="18.5703125" style="175" customWidth="1"/>
    <col min="3" max="3" width="17.85546875" style="175" customWidth="1"/>
    <col min="4" max="9" width="16.85546875" style="175" customWidth="1"/>
    <col min="10" max="10" width="18.7109375" style="175" customWidth="1"/>
    <col min="11" max="28" width="16.85546875" style="175" customWidth="1"/>
    <col min="29" max="29" width="16.7109375" style="175" customWidth="1"/>
    <col min="30" max="44" width="16.7109375" style="176" customWidth="1"/>
    <col min="45" max="45" width="13.28515625" style="198" bestFit="1" customWidth="1"/>
    <col min="46" max="46" width="14.7109375" style="198" customWidth="1"/>
    <col min="47" max="48" width="9.140625" style="214"/>
    <col min="49" max="256" width="9.140625" style="176"/>
    <col min="257" max="257" width="61.7109375" style="176" customWidth="1"/>
    <col min="258" max="258" width="18.5703125" style="176" customWidth="1"/>
    <col min="259" max="265" width="16.85546875" style="176" customWidth="1"/>
    <col min="266" max="266" width="18.7109375" style="176" customWidth="1"/>
    <col min="267" max="284" width="16.85546875" style="176" customWidth="1"/>
    <col min="285" max="300" width="16.7109375" style="176" customWidth="1"/>
    <col min="301" max="301" width="13.28515625" style="176" bestFit="1" customWidth="1"/>
    <col min="302" max="302" width="14.7109375" style="176" customWidth="1"/>
    <col min="303" max="512" width="9.140625" style="176"/>
    <col min="513" max="513" width="61.7109375" style="176" customWidth="1"/>
    <col min="514" max="514" width="18.5703125" style="176" customWidth="1"/>
    <col min="515" max="521" width="16.85546875" style="176" customWidth="1"/>
    <col min="522" max="522" width="18.7109375" style="176" customWidth="1"/>
    <col min="523" max="540" width="16.85546875" style="176" customWidth="1"/>
    <col min="541" max="556" width="16.7109375" style="176" customWidth="1"/>
    <col min="557" max="557" width="13.28515625" style="176" bestFit="1" customWidth="1"/>
    <col min="558" max="558" width="14.7109375" style="176" customWidth="1"/>
    <col min="559" max="768" width="9.140625" style="176"/>
    <col min="769" max="769" width="61.7109375" style="176" customWidth="1"/>
    <col min="770" max="770" width="18.5703125" style="176" customWidth="1"/>
    <col min="771" max="777" width="16.85546875" style="176" customWidth="1"/>
    <col min="778" max="778" width="18.7109375" style="176" customWidth="1"/>
    <col min="779" max="796" width="16.85546875" style="176" customWidth="1"/>
    <col min="797" max="812" width="16.7109375" style="176" customWidth="1"/>
    <col min="813" max="813" width="13.28515625" style="176" bestFit="1" customWidth="1"/>
    <col min="814" max="814" width="14.7109375" style="176" customWidth="1"/>
    <col min="815" max="1024" width="9.140625" style="176"/>
    <col min="1025" max="1025" width="61.7109375" style="176" customWidth="1"/>
    <col min="1026" max="1026" width="18.5703125" style="176" customWidth="1"/>
    <col min="1027" max="1033" width="16.85546875" style="176" customWidth="1"/>
    <col min="1034" max="1034" width="18.7109375" style="176" customWidth="1"/>
    <col min="1035" max="1052" width="16.85546875" style="176" customWidth="1"/>
    <col min="1053" max="1068" width="16.7109375" style="176" customWidth="1"/>
    <col min="1069" max="1069" width="13.28515625" style="176" bestFit="1" customWidth="1"/>
    <col min="1070" max="1070" width="14.7109375" style="176" customWidth="1"/>
    <col min="1071" max="1280" width="9.140625" style="176"/>
    <col min="1281" max="1281" width="61.7109375" style="176" customWidth="1"/>
    <col min="1282" max="1282" width="18.5703125" style="176" customWidth="1"/>
    <col min="1283" max="1289" width="16.85546875" style="176" customWidth="1"/>
    <col min="1290" max="1290" width="18.7109375" style="176" customWidth="1"/>
    <col min="1291" max="1308" width="16.85546875" style="176" customWidth="1"/>
    <col min="1309" max="1324" width="16.7109375" style="176" customWidth="1"/>
    <col min="1325" max="1325" width="13.28515625" style="176" bestFit="1" customWidth="1"/>
    <col min="1326" max="1326" width="14.7109375" style="176" customWidth="1"/>
    <col min="1327" max="1536" width="9.140625" style="176"/>
    <col min="1537" max="1537" width="61.7109375" style="176" customWidth="1"/>
    <col min="1538" max="1538" width="18.5703125" style="176" customWidth="1"/>
    <col min="1539" max="1545" width="16.85546875" style="176" customWidth="1"/>
    <col min="1546" max="1546" width="18.7109375" style="176" customWidth="1"/>
    <col min="1547" max="1564" width="16.85546875" style="176" customWidth="1"/>
    <col min="1565" max="1580" width="16.7109375" style="176" customWidth="1"/>
    <col min="1581" max="1581" width="13.28515625" style="176" bestFit="1" customWidth="1"/>
    <col min="1582" max="1582" width="14.7109375" style="176" customWidth="1"/>
    <col min="1583" max="1792" width="9.140625" style="176"/>
    <col min="1793" max="1793" width="61.7109375" style="176" customWidth="1"/>
    <col min="1794" max="1794" width="18.5703125" style="176" customWidth="1"/>
    <col min="1795" max="1801" width="16.85546875" style="176" customWidth="1"/>
    <col min="1802" max="1802" width="18.7109375" style="176" customWidth="1"/>
    <col min="1803" max="1820" width="16.85546875" style="176" customWidth="1"/>
    <col min="1821" max="1836" width="16.7109375" style="176" customWidth="1"/>
    <col min="1837" max="1837" width="13.28515625" style="176" bestFit="1" customWidth="1"/>
    <col min="1838" max="1838" width="14.7109375" style="176" customWidth="1"/>
    <col min="1839" max="2048" width="9.140625" style="176"/>
    <col min="2049" max="2049" width="61.7109375" style="176" customWidth="1"/>
    <col min="2050" max="2050" width="18.5703125" style="176" customWidth="1"/>
    <col min="2051" max="2057" width="16.85546875" style="176" customWidth="1"/>
    <col min="2058" max="2058" width="18.7109375" style="176" customWidth="1"/>
    <col min="2059" max="2076" width="16.85546875" style="176" customWidth="1"/>
    <col min="2077" max="2092" width="16.7109375" style="176" customWidth="1"/>
    <col min="2093" max="2093" width="13.28515625" style="176" bestFit="1" customWidth="1"/>
    <col min="2094" max="2094" width="14.7109375" style="176" customWidth="1"/>
    <col min="2095" max="2304" width="9.140625" style="176"/>
    <col min="2305" max="2305" width="61.7109375" style="176" customWidth="1"/>
    <col min="2306" max="2306" width="18.5703125" style="176" customWidth="1"/>
    <col min="2307" max="2313" width="16.85546875" style="176" customWidth="1"/>
    <col min="2314" max="2314" width="18.7109375" style="176" customWidth="1"/>
    <col min="2315" max="2332" width="16.85546875" style="176" customWidth="1"/>
    <col min="2333" max="2348" width="16.7109375" style="176" customWidth="1"/>
    <col min="2349" max="2349" width="13.28515625" style="176" bestFit="1" customWidth="1"/>
    <col min="2350" max="2350" width="14.7109375" style="176" customWidth="1"/>
    <col min="2351" max="2560" width="9.140625" style="176"/>
    <col min="2561" max="2561" width="61.7109375" style="176" customWidth="1"/>
    <col min="2562" max="2562" width="18.5703125" style="176" customWidth="1"/>
    <col min="2563" max="2569" width="16.85546875" style="176" customWidth="1"/>
    <col min="2570" max="2570" width="18.7109375" style="176" customWidth="1"/>
    <col min="2571" max="2588" width="16.85546875" style="176" customWidth="1"/>
    <col min="2589" max="2604" width="16.7109375" style="176" customWidth="1"/>
    <col min="2605" max="2605" width="13.28515625" style="176" bestFit="1" customWidth="1"/>
    <col min="2606" max="2606" width="14.7109375" style="176" customWidth="1"/>
    <col min="2607" max="2816" width="9.140625" style="176"/>
    <col min="2817" max="2817" width="61.7109375" style="176" customWidth="1"/>
    <col min="2818" max="2818" width="18.5703125" style="176" customWidth="1"/>
    <col min="2819" max="2825" width="16.85546875" style="176" customWidth="1"/>
    <col min="2826" max="2826" width="18.7109375" style="176" customWidth="1"/>
    <col min="2827" max="2844" width="16.85546875" style="176" customWidth="1"/>
    <col min="2845" max="2860" width="16.7109375" style="176" customWidth="1"/>
    <col min="2861" max="2861" width="13.28515625" style="176" bestFit="1" customWidth="1"/>
    <col min="2862" max="2862" width="14.7109375" style="176" customWidth="1"/>
    <col min="2863" max="3072" width="9.140625" style="176"/>
    <col min="3073" max="3073" width="61.7109375" style="176" customWidth="1"/>
    <col min="3074" max="3074" width="18.5703125" style="176" customWidth="1"/>
    <col min="3075" max="3081" width="16.85546875" style="176" customWidth="1"/>
    <col min="3082" max="3082" width="18.7109375" style="176" customWidth="1"/>
    <col min="3083" max="3100" width="16.85546875" style="176" customWidth="1"/>
    <col min="3101" max="3116" width="16.7109375" style="176" customWidth="1"/>
    <col min="3117" max="3117" width="13.28515625" style="176" bestFit="1" customWidth="1"/>
    <col min="3118" max="3118" width="14.7109375" style="176" customWidth="1"/>
    <col min="3119" max="3328" width="9.140625" style="176"/>
    <col min="3329" max="3329" width="61.7109375" style="176" customWidth="1"/>
    <col min="3330" max="3330" width="18.5703125" style="176" customWidth="1"/>
    <col min="3331" max="3337" width="16.85546875" style="176" customWidth="1"/>
    <col min="3338" max="3338" width="18.7109375" style="176" customWidth="1"/>
    <col min="3339" max="3356" width="16.85546875" style="176" customWidth="1"/>
    <col min="3357" max="3372" width="16.7109375" style="176" customWidth="1"/>
    <col min="3373" max="3373" width="13.28515625" style="176" bestFit="1" customWidth="1"/>
    <col min="3374" max="3374" width="14.7109375" style="176" customWidth="1"/>
    <col min="3375" max="3584" width="9.140625" style="176"/>
    <col min="3585" max="3585" width="61.7109375" style="176" customWidth="1"/>
    <col min="3586" max="3586" width="18.5703125" style="176" customWidth="1"/>
    <col min="3587" max="3593" width="16.85546875" style="176" customWidth="1"/>
    <col min="3594" max="3594" width="18.7109375" style="176" customWidth="1"/>
    <col min="3595" max="3612" width="16.85546875" style="176" customWidth="1"/>
    <col min="3613" max="3628" width="16.7109375" style="176" customWidth="1"/>
    <col min="3629" max="3629" width="13.28515625" style="176" bestFit="1" customWidth="1"/>
    <col min="3630" max="3630" width="14.7109375" style="176" customWidth="1"/>
    <col min="3631" max="3840" width="9.140625" style="176"/>
    <col min="3841" max="3841" width="61.7109375" style="176" customWidth="1"/>
    <col min="3842" max="3842" width="18.5703125" style="176" customWidth="1"/>
    <col min="3843" max="3849" width="16.85546875" style="176" customWidth="1"/>
    <col min="3850" max="3850" width="18.7109375" style="176" customWidth="1"/>
    <col min="3851" max="3868" width="16.85546875" style="176" customWidth="1"/>
    <col min="3869" max="3884" width="16.7109375" style="176" customWidth="1"/>
    <col min="3885" max="3885" width="13.28515625" style="176" bestFit="1" customWidth="1"/>
    <col min="3886" max="3886" width="14.7109375" style="176" customWidth="1"/>
    <col min="3887" max="4096" width="9.140625" style="176"/>
    <col min="4097" max="4097" width="61.7109375" style="176" customWidth="1"/>
    <col min="4098" max="4098" width="18.5703125" style="176" customWidth="1"/>
    <col min="4099" max="4105" width="16.85546875" style="176" customWidth="1"/>
    <col min="4106" max="4106" width="18.7109375" style="176" customWidth="1"/>
    <col min="4107" max="4124" width="16.85546875" style="176" customWidth="1"/>
    <col min="4125" max="4140" width="16.7109375" style="176" customWidth="1"/>
    <col min="4141" max="4141" width="13.28515625" style="176" bestFit="1" customWidth="1"/>
    <col min="4142" max="4142" width="14.7109375" style="176" customWidth="1"/>
    <col min="4143" max="4352" width="9.140625" style="176"/>
    <col min="4353" max="4353" width="61.7109375" style="176" customWidth="1"/>
    <col min="4354" max="4354" width="18.5703125" style="176" customWidth="1"/>
    <col min="4355" max="4361" width="16.85546875" style="176" customWidth="1"/>
    <col min="4362" max="4362" width="18.7109375" style="176" customWidth="1"/>
    <col min="4363" max="4380" width="16.85546875" style="176" customWidth="1"/>
    <col min="4381" max="4396" width="16.7109375" style="176" customWidth="1"/>
    <col min="4397" max="4397" width="13.28515625" style="176" bestFit="1" customWidth="1"/>
    <col min="4398" max="4398" width="14.7109375" style="176" customWidth="1"/>
    <col min="4399" max="4608" width="9.140625" style="176"/>
    <col min="4609" max="4609" width="61.7109375" style="176" customWidth="1"/>
    <col min="4610" max="4610" width="18.5703125" style="176" customWidth="1"/>
    <col min="4611" max="4617" width="16.85546875" style="176" customWidth="1"/>
    <col min="4618" max="4618" width="18.7109375" style="176" customWidth="1"/>
    <col min="4619" max="4636" width="16.85546875" style="176" customWidth="1"/>
    <col min="4637" max="4652" width="16.7109375" style="176" customWidth="1"/>
    <col min="4653" max="4653" width="13.28515625" style="176" bestFit="1" customWidth="1"/>
    <col min="4654" max="4654" width="14.7109375" style="176" customWidth="1"/>
    <col min="4655" max="4864" width="9.140625" style="176"/>
    <col min="4865" max="4865" width="61.7109375" style="176" customWidth="1"/>
    <col min="4866" max="4866" width="18.5703125" style="176" customWidth="1"/>
    <col min="4867" max="4873" width="16.85546875" style="176" customWidth="1"/>
    <col min="4874" max="4874" width="18.7109375" style="176" customWidth="1"/>
    <col min="4875" max="4892" width="16.85546875" style="176" customWidth="1"/>
    <col min="4893" max="4908" width="16.7109375" style="176" customWidth="1"/>
    <col min="4909" max="4909" width="13.28515625" style="176" bestFit="1" customWidth="1"/>
    <col min="4910" max="4910" width="14.7109375" style="176" customWidth="1"/>
    <col min="4911" max="5120" width="9.140625" style="176"/>
    <col min="5121" max="5121" width="61.7109375" style="176" customWidth="1"/>
    <col min="5122" max="5122" width="18.5703125" style="176" customWidth="1"/>
    <col min="5123" max="5129" width="16.85546875" style="176" customWidth="1"/>
    <col min="5130" max="5130" width="18.7109375" style="176" customWidth="1"/>
    <col min="5131" max="5148" width="16.85546875" style="176" customWidth="1"/>
    <col min="5149" max="5164" width="16.7109375" style="176" customWidth="1"/>
    <col min="5165" max="5165" width="13.28515625" style="176" bestFit="1" customWidth="1"/>
    <col min="5166" max="5166" width="14.7109375" style="176" customWidth="1"/>
    <col min="5167" max="5376" width="9.140625" style="176"/>
    <col min="5377" max="5377" width="61.7109375" style="176" customWidth="1"/>
    <col min="5378" max="5378" width="18.5703125" style="176" customWidth="1"/>
    <col min="5379" max="5385" width="16.85546875" style="176" customWidth="1"/>
    <col min="5386" max="5386" width="18.7109375" style="176" customWidth="1"/>
    <col min="5387" max="5404" width="16.85546875" style="176" customWidth="1"/>
    <col min="5405" max="5420" width="16.7109375" style="176" customWidth="1"/>
    <col min="5421" max="5421" width="13.28515625" style="176" bestFit="1" customWidth="1"/>
    <col min="5422" max="5422" width="14.7109375" style="176" customWidth="1"/>
    <col min="5423" max="5632" width="9.140625" style="176"/>
    <col min="5633" max="5633" width="61.7109375" style="176" customWidth="1"/>
    <col min="5634" max="5634" width="18.5703125" style="176" customWidth="1"/>
    <col min="5635" max="5641" width="16.85546875" style="176" customWidth="1"/>
    <col min="5642" max="5642" width="18.7109375" style="176" customWidth="1"/>
    <col min="5643" max="5660" width="16.85546875" style="176" customWidth="1"/>
    <col min="5661" max="5676" width="16.7109375" style="176" customWidth="1"/>
    <col min="5677" max="5677" width="13.28515625" style="176" bestFit="1" customWidth="1"/>
    <col min="5678" max="5678" width="14.7109375" style="176" customWidth="1"/>
    <col min="5679" max="5888" width="9.140625" style="176"/>
    <col min="5889" max="5889" width="61.7109375" style="176" customWidth="1"/>
    <col min="5890" max="5890" width="18.5703125" style="176" customWidth="1"/>
    <col min="5891" max="5897" width="16.85546875" style="176" customWidth="1"/>
    <col min="5898" max="5898" width="18.7109375" style="176" customWidth="1"/>
    <col min="5899" max="5916" width="16.85546875" style="176" customWidth="1"/>
    <col min="5917" max="5932" width="16.7109375" style="176" customWidth="1"/>
    <col min="5933" max="5933" width="13.28515625" style="176" bestFit="1" customWidth="1"/>
    <col min="5934" max="5934" width="14.7109375" style="176" customWidth="1"/>
    <col min="5935" max="6144" width="9.140625" style="176"/>
    <col min="6145" max="6145" width="61.7109375" style="176" customWidth="1"/>
    <col min="6146" max="6146" width="18.5703125" style="176" customWidth="1"/>
    <col min="6147" max="6153" width="16.85546875" style="176" customWidth="1"/>
    <col min="6154" max="6154" width="18.7109375" style="176" customWidth="1"/>
    <col min="6155" max="6172" width="16.85546875" style="176" customWidth="1"/>
    <col min="6173" max="6188" width="16.7109375" style="176" customWidth="1"/>
    <col min="6189" max="6189" width="13.28515625" style="176" bestFit="1" customWidth="1"/>
    <col min="6190" max="6190" width="14.7109375" style="176" customWidth="1"/>
    <col min="6191" max="6400" width="9.140625" style="176"/>
    <col min="6401" max="6401" width="61.7109375" style="176" customWidth="1"/>
    <col min="6402" max="6402" width="18.5703125" style="176" customWidth="1"/>
    <col min="6403" max="6409" width="16.85546875" style="176" customWidth="1"/>
    <col min="6410" max="6410" width="18.7109375" style="176" customWidth="1"/>
    <col min="6411" max="6428" width="16.85546875" style="176" customWidth="1"/>
    <col min="6429" max="6444" width="16.7109375" style="176" customWidth="1"/>
    <col min="6445" max="6445" width="13.28515625" style="176" bestFit="1" customWidth="1"/>
    <col min="6446" max="6446" width="14.7109375" style="176" customWidth="1"/>
    <col min="6447" max="6656" width="9.140625" style="176"/>
    <col min="6657" max="6657" width="61.7109375" style="176" customWidth="1"/>
    <col min="6658" max="6658" width="18.5703125" style="176" customWidth="1"/>
    <col min="6659" max="6665" width="16.85546875" style="176" customWidth="1"/>
    <col min="6666" max="6666" width="18.7109375" style="176" customWidth="1"/>
    <col min="6667" max="6684" width="16.85546875" style="176" customWidth="1"/>
    <col min="6685" max="6700" width="16.7109375" style="176" customWidth="1"/>
    <col min="6701" max="6701" width="13.28515625" style="176" bestFit="1" customWidth="1"/>
    <col min="6702" max="6702" width="14.7109375" style="176" customWidth="1"/>
    <col min="6703" max="6912" width="9.140625" style="176"/>
    <col min="6913" max="6913" width="61.7109375" style="176" customWidth="1"/>
    <col min="6914" max="6914" width="18.5703125" style="176" customWidth="1"/>
    <col min="6915" max="6921" width="16.85546875" style="176" customWidth="1"/>
    <col min="6922" max="6922" width="18.7109375" style="176" customWidth="1"/>
    <col min="6923" max="6940" width="16.85546875" style="176" customWidth="1"/>
    <col min="6941" max="6956" width="16.7109375" style="176" customWidth="1"/>
    <col min="6957" max="6957" width="13.28515625" style="176" bestFit="1" customWidth="1"/>
    <col min="6958" max="6958" width="14.7109375" style="176" customWidth="1"/>
    <col min="6959" max="7168" width="9.140625" style="176"/>
    <col min="7169" max="7169" width="61.7109375" style="176" customWidth="1"/>
    <col min="7170" max="7170" width="18.5703125" style="176" customWidth="1"/>
    <col min="7171" max="7177" width="16.85546875" style="176" customWidth="1"/>
    <col min="7178" max="7178" width="18.7109375" style="176" customWidth="1"/>
    <col min="7179" max="7196" width="16.85546875" style="176" customWidth="1"/>
    <col min="7197" max="7212" width="16.7109375" style="176" customWidth="1"/>
    <col min="7213" max="7213" width="13.28515625" style="176" bestFit="1" customWidth="1"/>
    <col min="7214" max="7214" width="14.7109375" style="176" customWidth="1"/>
    <col min="7215" max="7424" width="9.140625" style="176"/>
    <col min="7425" max="7425" width="61.7109375" style="176" customWidth="1"/>
    <col min="7426" max="7426" width="18.5703125" style="176" customWidth="1"/>
    <col min="7427" max="7433" width="16.85546875" style="176" customWidth="1"/>
    <col min="7434" max="7434" width="18.7109375" style="176" customWidth="1"/>
    <col min="7435" max="7452" width="16.85546875" style="176" customWidth="1"/>
    <col min="7453" max="7468" width="16.7109375" style="176" customWidth="1"/>
    <col min="7469" max="7469" width="13.28515625" style="176" bestFit="1" customWidth="1"/>
    <col min="7470" max="7470" width="14.7109375" style="176" customWidth="1"/>
    <col min="7471" max="7680" width="9.140625" style="176"/>
    <col min="7681" max="7681" width="61.7109375" style="176" customWidth="1"/>
    <col min="7682" max="7682" width="18.5703125" style="176" customWidth="1"/>
    <col min="7683" max="7689" width="16.85546875" style="176" customWidth="1"/>
    <col min="7690" max="7690" width="18.7109375" style="176" customWidth="1"/>
    <col min="7691" max="7708" width="16.85546875" style="176" customWidth="1"/>
    <col min="7709" max="7724" width="16.7109375" style="176" customWidth="1"/>
    <col min="7725" max="7725" width="13.28515625" style="176" bestFit="1" customWidth="1"/>
    <col min="7726" max="7726" width="14.7109375" style="176" customWidth="1"/>
    <col min="7727" max="7936" width="9.140625" style="176"/>
    <col min="7937" max="7937" width="61.7109375" style="176" customWidth="1"/>
    <col min="7938" max="7938" width="18.5703125" style="176" customWidth="1"/>
    <col min="7939" max="7945" width="16.85546875" style="176" customWidth="1"/>
    <col min="7946" max="7946" width="18.7109375" style="176" customWidth="1"/>
    <col min="7947" max="7964" width="16.85546875" style="176" customWidth="1"/>
    <col min="7965" max="7980" width="16.7109375" style="176" customWidth="1"/>
    <col min="7981" max="7981" width="13.28515625" style="176" bestFit="1" customWidth="1"/>
    <col min="7982" max="7982" width="14.7109375" style="176" customWidth="1"/>
    <col min="7983" max="8192" width="9.140625" style="176"/>
    <col min="8193" max="8193" width="61.7109375" style="176" customWidth="1"/>
    <col min="8194" max="8194" width="18.5703125" style="176" customWidth="1"/>
    <col min="8195" max="8201" width="16.85546875" style="176" customWidth="1"/>
    <col min="8202" max="8202" width="18.7109375" style="176" customWidth="1"/>
    <col min="8203" max="8220" width="16.85546875" style="176" customWidth="1"/>
    <col min="8221" max="8236" width="16.7109375" style="176" customWidth="1"/>
    <col min="8237" max="8237" width="13.28515625" style="176" bestFit="1" customWidth="1"/>
    <col min="8238" max="8238" width="14.7109375" style="176" customWidth="1"/>
    <col min="8239" max="8448" width="9.140625" style="176"/>
    <col min="8449" max="8449" width="61.7109375" style="176" customWidth="1"/>
    <col min="8450" max="8450" width="18.5703125" style="176" customWidth="1"/>
    <col min="8451" max="8457" width="16.85546875" style="176" customWidth="1"/>
    <col min="8458" max="8458" width="18.7109375" style="176" customWidth="1"/>
    <col min="8459" max="8476" width="16.85546875" style="176" customWidth="1"/>
    <col min="8477" max="8492" width="16.7109375" style="176" customWidth="1"/>
    <col min="8493" max="8493" width="13.28515625" style="176" bestFit="1" customWidth="1"/>
    <col min="8494" max="8494" width="14.7109375" style="176" customWidth="1"/>
    <col min="8495" max="8704" width="9.140625" style="176"/>
    <col min="8705" max="8705" width="61.7109375" style="176" customWidth="1"/>
    <col min="8706" max="8706" width="18.5703125" style="176" customWidth="1"/>
    <col min="8707" max="8713" width="16.85546875" style="176" customWidth="1"/>
    <col min="8714" max="8714" width="18.7109375" style="176" customWidth="1"/>
    <col min="8715" max="8732" width="16.85546875" style="176" customWidth="1"/>
    <col min="8733" max="8748" width="16.7109375" style="176" customWidth="1"/>
    <col min="8749" max="8749" width="13.28515625" style="176" bestFit="1" customWidth="1"/>
    <col min="8750" max="8750" width="14.7109375" style="176" customWidth="1"/>
    <col min="8751" max="8960" width="9.140625" style="176"/>
    <col min="8961" max="8961" width="61.7109375" style="176" customWidth="1"/>
    <col min="8962" max="8962" width="18.5703125" style="176" customWidth="1"/>
    <col min="8963" max="8969" width="16.85546875" style="176" customWidth="1"/>
    <col min="8970" max="8970" width="18.7109375" style="176" customWidth="1"/>
    <col min="8971" max="8988" width="16.85546875" style="176" customWidth="1"/>
    <col min="8989" max="9004" width="16.7109375" style="176" customWidth="1"/>
    <col min="9005" max="9005" width="13.28515625" style="176" bestFit="1" customWidth="1"/>
    <col min="9006" max="9006" width="14.7109375" style="176" customWidth="1"/>
    <col min="9007" max="9216" width="9.140625" style="176"/>
    <col min="9217" max="9217" width="61.7109375" style="176" customWidth="1"/>
    <col min="9218" max="9218" width="18.5703125" style="176" customWidth="1"/>
    <col min="9219" max="9225" width="16.85546875" style="176" customWidth="1"/>
    <col min="9226" max="9226" width="18.7109375" style="176" customWidth="1"/>
    <col min="9227" max="9244" width="16.85546875" style="176" customWidth="1"/>
    <col min="9245" max="9260" width="16.7109375" style="176" customWidth="1"/>
    <col min="9261" max="9261" width="13.28515625" style="176" bestFit="1" customWidth="1"/>
    <col min="9262" max="9262" width="14.7109375" style="176" customWidth="1"/>
    <col min="9263" max="9472" width="9.140625" style="176"/>
    <col min="9473" max="9473" width="61.7109375" style="176" customWidth="1"/>
    <col min="9474" max="9474" width="18.5703125" style="176" customWidth="1"/>
    <col min="9475" max="9481" width="16.85546875" style="176" customWidth="1"/>
    <col min="9482" max="9482" width="18.7109375" style="176" customWidth="1"/>
    <col min="9483" max="9500" width="16.85546875" style="176" customWidth="1"/>
    <col min="9501" max="9516" width="16.7109375" style="176" customWidth="1"/>
    <col min="9517" max="9517" width="13.28515625" style="176" bestFit="1" customWidth="1"/>
    <col min="9518" max="9518" width="14.7109375" style="176" customWidth="1"/>
    <col min="9519" max="9728" width="9.140625" style="176"/>
    <col min="9729" max="9729" width="61.7109375" style="176" customWidth="1"/>
    <col min="9730" max="9730" width="18.5703125" style="176" customWidth="1"/>
    <col min="9731" max="9737" width="16.85546875" style="176" customWidth="1"/>
    <col min="9738" max="9738" width="18.7109375" style="176" customWidth="1"/>
    <col min="9739" max="9756" width="16.85546875" style="176" customWidth="1"/>
    <col min="9757" max="9772" width="16.7109375" style="176" customWidth="1"/>
    <col min="9773" max="9773" width="13.28515625" style="176" bestFit="1" customWidth="1"/>
    <col min="9774" max="9774" width="14.7109375" style="176" customWidth="1"/>
    <col min="9775" max="9984" width="9.140625" style="176"/>
    <col min="9985" max="9985" width="61.7109375" style="176" customWidth="1"/>
    <col min="9986" max="9986" width="18.5703125" style="176" customWidth="1"/>
    <col min="9987" max="9993" width="16.85546875" style="176" customWidth="1"/>
    <col min="9994" max="9994" width="18.7109375" style="176" customWidth="1"/>
    <col min="9995" max="10012" width="16.85546875" style="176" customWidth="1"/>
    <col min="10013" max="10028" width="16.7109375" style="176" customWidth="1"/>
    <col min="10029" max="10029" width="13.28515625" style="176" bestFit="1" customWidth="1"/>
    <col min="10030" max="10030" width="14.7109375" style="176" customWidth="1"/>
    <col min="10031" max="10240" width="9.140625" style="176"/>
    <col min="10241" max="10241" width="61.7109375" style="176" customWidth="1"/>
    <col min="10242" max="10242" width="18.5703125" style="176" customWidth="1"/>
    <col min="10243" max="10249" width="16.85546875" style="176" customWidth="1"/>
    <col min="10250" max="10250" width="18.7109375" style="176" customWidth="1"/>
    <col min="10251" max="10268" width="16.85546875" style="176" customWidth="1"/>
    <col min="10269" max="10284" width="16.7109375" style="176" customWidth="1"/>
    <col min="10285" max="10285" width="13.28515625" style="176" bestFit="1" customWidth="1"/>
    <col min="10286" max="10286" width="14.7109375" style="176" customWidth="1"/>
    <col min="10287" max="10496" width="9.140625" style="176"/>
    <col min="10497" max="10497" width="61.7109375" style="176" customWidth="1"/>
    <col min="10498" max="10498" width="18.5703125" style="176" customWidth="1"/>
    <col min="10499" max="10505" width="16.85546875" style="176" customWidth="1"/>
    <col min="10506" max="10506" width="18.7109375" style="176" customWidth="1"/>
    <col min="10507" max="10524" width="16.85546875" style="176" customWidth="1"/>
    <col min="10525" max="10540" width="16.7109375" style="176" customWidth="1"/>
    <col min="10541" max="10541" width="13.28515625" style="176" bestFit="1" customWidth="1"/>
    <col min="10542" max="10542" width="14.7109375" style="176" customWidth="1"/>
    <col min="10543" max="10752" width="9.140625" style="176"/>
    <col min="10753" max="10753" width="61.7109375" style="176" customWidth="1"/>
    <col min="10754" max="10754" width="18.5703125" style="176" customWidth="1"/>
    <col min="10755" max="10761" width="16.85546875" style="176" customWidth="1"/>
    <col min="10762" max="10762" width="18.7109375" style="176" customWidth="1"/>
    <col min="10763" max="10780" width="16.85546875" style="176" customWidth="1"/>
    <col min="10781" max="10796" width="16.7109375" style="176" customWidth="1"/>
    <col min="10797" max="10797" width="13.28515625" style="176" bestFit="1" customWidth="1"/>
    <col min="10798" max="10798" width="14.7109375" style="176" customWidth="1"/>
    <col min="10799" max="11008" width="9.140625" style="176"/>
    <col min="11009" max="11009" width="61.7109375" style="176" customWidth="1"/>
    <col min="11010" max="11010" width="18.5703125" style="176" customWidth="1"/>
    <col min="11011" max="11017" width="16.85546875" style="176" customWidth="1"/>
    <col min="11018" max="11018" width="18.7109375" style="176" customWidth="1"/>
    <col min="11019" max="11036" width="16.85546875" style="176" customWidth="1"/>
    <col min="11037" max="11052" width="16.7109375" style="176" customWidth="1"/>
    <col min="11053" max="11053" width="13.28515625" style="176" bestFit="1" customWidth="1"/>
    <col min="11054" max="11054" width="14.7109375" style="176" customWidth="1"/>
    <col min="11055" max="11264" width="9.140625" style="176"/>
    <col min="11265" max="11265" width="61.7109375" style="176" customWidth="1"/>
    <col min="11266" max="11266" width="18.5703125" style="176" customWidth="1"/>
    <col min="11267" max="11273" width="16.85546875" style="176" customWidth="1"/>
    <col min="11274" max="11274" width="18.7109375" style="176" customWidth="1"/>
    <col min="11275" max="11292" width="16.85546875" style="176" customWidth="1"/>
    <col min="11293" max="11308" width="16.7109375" style="176" customWidth="1"/>
    <col min="11309" max="11309" width="13.28515625" style="176" bestFit="1" customWidth="1"/>
    <col min="11310" max="11310" width="14.7109375" style="176" customWidth="1"/>
    <col min="11311" max="11520" width="9.140625" style="176"/>
    <col min="11521" max="11521" width="61.7109375" style="176" customWidth="1"/>
    <col min="11522" max="11522" width="18.5703125" style="176" customWidth="1"/>
    <col min="11523" max="11529" width="16.85546875" style="176" customWidth="1"/>
    <col min="11530" max="11530" width="18.7109375" style="176" customWidth="1"/>
    <col min="11531" max="11548" width="16.85546875" style="176" customWidth="1"/>
    <col min="11549" max="11564" width="16.7109375" style="176" customWidth="1"/>
    <col min="11565" max="11565" width="13.28515625" style="176" bestFit="1" customWidth="1"/>
    <col min="11566" max="11566" width="14.7109375" style="176" customWidth="1"/>
    <col min="11567" max="11776" width="9.140625" style="176"/>
    <col min="11777" max="11777" width="61.7109375" style="176" customWidth="1"/>
    <col min="11778" max="11778" width="18.5703125" style="176" customWidth="1"/>
    <col min="11779" max="11785" width="16.85546875" style="176" customWidth="1"/>
    <col min="11786" max="11786" width="18.7109375" style="176" customWidth="1"/>
    <col min="11787" max="11804" width="16.85546875" style="176" customWidth="1"/>
    <col min="11805" max="11820" width="16.7109375" style="176" customWidth="1"/>
    <col min="11821" max="11821" width="13.28515625" style="176" bestFit="1" customWidth="1"/>
    <col min="11822" max="11822" width="14.7109375" style="176" customWidth="1"/>
    <col min="11823" max="12032" width="9.140625" style="176"/>
    <col min="12033" max="12033" width="61.7109375" style="176" customWidth="1"/>
    <col min="12034" max="12034" width="18.5703125" style="176" customWidth="1"/>
    <col min="12035" max="12041" width="16.85546875" style="176" customWidth="1"/>
    <col min="12042" max="12042" width="18.7109375" style="176" customWidth="1"/>
    <col min="12043" max="12060" width="16.85546875" style="176" customWidth="1"/>
    <col min="12061" max="12076" width="16.7109375" style="176" customWidth="1"/>
    <col min="12077" max="12077" width="13.28515625" style="176" bestFit="1" customWidth="1"/>
    <col min="12078" max="12078" width="14.7109375" style="176" customWidth="1"/>
    <col min="12079" max="12288" width="9.140625" style="176"/>
    <col min="12289" max="12289" width="61.7109375" style="176" customWidth="1"/>
    <col min="12290" max="12290" width="18.5703125" style="176" customWidth="1"/>
    <col min="12291" max="12297" width="16.85546875" style="176" customWidth="1"/>
    <col min="12298" max="12298" width="18.7109375" style="176" customWidth="1"/>
    <col min="12299" max="12316" width="16.85546875" style="176" customWidth="1"/>
    <col min="12317" max="12332" width="16.7109375" style="176" customWidth="1"/>
    <col min="12333" max="12333" width="13.28515625" style="176" bestFit="1" customWidth="1"/>
    <col min="12334" max="12334" width="14.7109375" style="176" customWidth="1"/>
    <col min="12335" max="12544" width="9.140625" style="176"/>
    <col min="12545" max="12545" width="61.7109375" style="176" customWidth="1"/>
    <col min="12546" max="12546" width="18.5703125" style="176" customWidth="1"/>
    <col min="12547" max="12553" width="16.85546875" style="176" customWidth="1"/>
    <col min="12554" max="12554" width="18.7109375" style="176" customWidth="1"/>
    <col min="12555" max="12572" width="16.85546875" style="176" customWidth="1"/>
    <col min="12573" max="12588" width="16.7109375" style="176" customWidth="1"/>
    <col min="12589" max="12589" width="13.28515625" style="176" bestFit="1" customWidth="1"/>
    <col min="12590" max="12590" width="14.7109375" style="176" customWidth="1"/>
    <col min="12591" max="12800" width="9.140625" style="176"/>
    <col min="12801" max="12801" width="61.7109375" style="176" customWidth="1"/>
    <col min="12802" max="12802" width="18.5703125" style="176" customWidth="1"/>
    <col min="12803" max="12809" width="16.85546875" style="176" customWidth="1"/>
    <col min="12810" max="12810" width="18.7109375" style="176" customWidth="1"/>
    <col min="12811" max="12828" width="16.85546875" style="176" customWidth="1"/>
    <col min="12829" max="12844" width="16.7109375" style="176" customWidth="1"/>
    <col min="12845" max="12845" width="13.28515625" style="176" bestFit="1" customWidth="1"/>
    <col min="12846" max="12846" width="14.7109375" style="176" customWidth="1"/>
    <col min="12847" max="13056" width="9.140625" style="176"/>
    <col min="13057" max="13057" width="61.7109375" style="176" customWidth="1"/>
    <col min="13058" max="13058" width="18.5703125" style="176" customWidth="1"/>
    <col min="13059" max="13065" width="16.85546875" style="176" customWidth="1"/>
    <col min="13066" max="13066" width="18.7109375" style="176" customWidth="1"/>
    <col min="13067" max="13084" width="16.85546875" style="176" customWidth="1"/>
    <col min="13085" max="13100" width="16.7109375" style="176" customWidth="1"/>
    <col min="13101" max="13101" width="13.28515625" style="176" bestFit="1" customWidth="1"/>
    <col min="13102" max="13102" width="14.7109375" style="176" customWidth="1"/>
    <col min="13103" max="13312" width="9.140625" style="176"/>
    <col min="13313" max="13313" width="61.7109375" style="176" customWidth="1"/>
    <col min="13314" max="13314" width="18.5703125" style="176" customWidth="1"/>
    <col min="13315" max="13321" width="16.85546875" style="176" customWidth="1"/>
    <col min="13322" max="13322" width="18.7109375" style="176" customWidth="1"/>
    <col min="13323" max="13340" width="16.85546875" style="176" customWidth="1"/>
    <col min="13341" max="13356" width="16.7109375" style="176" customWidth="1"/>
    <col min="13357" max="13357" width="13.28515625" style="176" bestFit="1" customWidth="1"/>
    <col min="13358" max="13358" width="14.7109375" style="176" customWidth="1"/>
    <col min="13359" max="13568" width="9.140625" style="176"/>
    <col min="13569" max="13569" width="61.7109375" style="176" customWidth="1"/>
    <col min="13570" max="13570" width="18.5703125" style="176" customWidth="1"/>
    <col min="13571" max="13577" width="16.85546875" style="176" customWidth="1"/>
    <col min="13578" max="13578" width="18.7109375" style="176" customWidth="1"/>
    <col min="13579" max="13596" width="16.85546875" style="176" customWidth="1"/>
    <col min="13597" max="13612" width="16.7109375" style="176" customWidth="1"/>
    <col min="13613" max="13613" width="13.28515625" style="176" bestFit="1" customWidth="1"/>
    <col min="13614" max="13614" width="14.7109375" style="176" customWidth="1"/>
    <col min="13615" max="13824" width="9.140625" style="176"/>
    <col min="13825" max="13825" width="61.7109375" style="176" customWidth="1"/>
    <col min="13826" max="13826" width="18.5703125" style="176" customWidth="1"/>
    <col min="13827" max="13833" width="16.85546875" style="176" customWidth="1"/>
    <col min="13834" max="13834" width="18.7109375" style="176" customWidth="1"/>
    <col min="13835" max="13852" width="16.85546875" style="176" customWidth="1"/>
    <col min="13853" max="13868" width="16.7109375" style="176" customWidth="1"/>
    <col min="13869" max="13869" width="13.28515625" style="176" bestFit="1" customWidth="1"/>
    <col min="13870" max="13870" width="14.7109375" style="176" customWidth="1"/>
    <col min="13871" max="14080" width="9.140625" style="176"/>
    <col min="14081" max="14081" width="61.7109375" style="176" customWidth="1"/>
    <col min="14082" max="14082" width="18.5703125" style="176" customWidth="1"/>
    <col min="14083" max="14089" width="16.85546875" style="176" customWidth="1"/>
    <col min="14090" max="14090" width="18.7109375" style="176" customWidth="1"/>
    <col min="14091" max="14108" width="16.85546875" style="176" customWidth="1"/>
    <col min="14109" max="14124" width="16.7109375" style="176" customWidth="1"/>
    <col min="14125" max="14125" width="13.28515625" style="176" bestFit="1" customWidth="1"/>
    <col min="14126" max="14126" width="14.7109375" style="176" customWidth="1"/>
    <col min="14127" max="14336" width="9.140625" style="176"/>
    <col min="14337" max="14337" width="61.7109375" style="176" customWidth="1"/>
    <col min="14338" max="14338" width="18.5703125" style="176" customWidth="1"/>
    <col min="14339" max="14345" width="16.85546875" style="176" customWidth="1"/>
    <col min="14346" max="14346" width="18.7109375" style="176" customWidth="1"/>
    <col min="14347" max="14364" width="16.85546875" style="176" customWidth="1"/>
    <col min="14365" max="14380" width="16.7109375" style="176" customWidth="1"/>
    <col min="14381" max="14381" width="13.28515625" style="176" bestFit="1" customWidth="1"/>
    <col min="14382" max="14382" width="14.7109375" style="176" customWidth="1"/>
    <col min="14383" max="14592" width="9.140625" style="176"/>
    <col min="14593" max="14593" width="61.7109375" style="176" customWidth="1"/>
    <col min="14594" max="14594" width="18.5703125" style="176" customWidth="1"/>
    <col min="14595" max="14601" width="16.85546875" style="176" customWidth="1"/>
    <col min="14602" max="14602" width="18.7109375" style="176" customWidth="1"/>
    <col min="14603" max="14620" width="16.85546875" style="176" customWidth="1"/>
    <col min="14621" max="14636" width="16.7109375" style="176" customWidth="1"/>
    <col min="14637" max="14637" width="13.28515625" style="176" bestFit="1" customWidth="1"/>
    <col min="14638" max="14638" width="14.7109375" style="176" customWidth="1"/>
    <col min="14639" max="14848" width="9.140625" style="176"/>
    <col min="14849" max="14849" width="61.7109375" style="176" customWidth="1"/>
    <col min="14850" max="14850" width="18.5703125" style="176" customWidth="1"/>
    <col min="14851" max="14857" width="16.85546875" style="176" customWidth="1"/>
    <col min="14858" max="14858" width="18.7109375" style="176" customWidth="1"/>
    <col min="14859" max="14876" width="16.85546875" style="176" customWidth="1"/>
    <col min="14877" max="14892" width="16.7109375" style="176" customWidth="1"/>
    <col min="14893" max="14893" width="13.28515625" style="176" bestFit="1" customWidth="1"/>
    <col min="14894" max="14894" width="14.7109375" style="176" customWidth="1"/>
    <col min="14895" max="15104" width="9.140625" style="176"/>
    <col min="15105" max="15105" width="61.7109375" style="176" customWidth="1"/>
    <col min="15106" max="15106" width="18.5703125" style="176" customWidth="1"/>
    <col min="15107" max="15113" width="16.85546875" style="176" customWidth="1"/>
    <col min="15114" max="15114" width="18.7109375" style="176" customWidth="1"/>
    <col min="15115" max="15132" width="16.85546875" style="176" customWidth="1"/>
    <col min="15133" max="15148" width="16.7109375" style="176" customWidth="1"/>
    <col min="15149" max="15149" width="13.28515625" style="176" bestFit="1" customWidth="1"/>
    <col min="15150" max="15150" width="14.7109375" style="176" customWidth="1"/>
    <col min="15151" max="15360" width="9.140625" style="176"/>
    <col min="15361" max="15361" width="61.7109375" style="176" customWidth="1"/>
    <col min="15362" max="15362" width="18.5703125" style="176" customWidth="1"/>
    <col min="15363" max="15369" width="16.85546875" style="176" customWidth="1"/>
    <col min="15370" max="15370" width="18.7109375" style="176" customWidth="1"/>
    <col min="15371" max="15388" width="16.85546875" style="176" customWidth="1"/>
    <col min="15389" max="15404" width="16.7109375" style="176" customWidth="1"/>
    <col min="15405" max="15405" width="13.28515625" style="176" bestFit="1" customWidth="1"/>
    <col min="15406" max="15406" width="14.7109375" style="176" customWidth="1"/>
    <col min="15407" max="15616" width="9.140625" style="176"/>
    <col min="15617" max="15617" width="61.7109375" style="176" customWidth="1"/>
    <col min="15618" max="15618" width="18.5703125" style="176" customWidth="1"/>
    <col min="15619" max="15625" width="16.85546875" style="176" customWidth="1"/>
    <col min="15626" max="15626" width="18.7109375" style="176" customWidth="1"/>
    <col min="15627" max="15644" width="16.85546875" style="176" customWidth="1"/>
    <col min="15645" max="15660" width="16.7109375" style="176" customWidth="1"/>
    <col min="15661" max="15661" width="13.28515625" style="176" bestFit="1" customWidth="1"/>
    <col min="15662" max="15662" width="14.7109375" style="176" customWidth="1"/>
    <col min="15663" max="15872" width="9.140625" style="176"/>
    <col min="15873" max="15873" width="61.7109375" style="176" customWidth="1"/>
    <col min="15874" max="15874" width="18.5703125" style="176" customWidth="1"/>
    <col min="15875" max="15881" width="16.85546875" style="176" customWidth="1"/>
    <col min="15882" max="15882" width="18.7109375" style="176" customWidth="1"/>
    <col min="15883" max="15900" width="16.85546875" style="176" customWidth="1"/>
    <col min="15901" max="15916" width="16.7109375" style="176" customWidth="1"/>
    <col min="15917" max="15917" width="13.28515625" style="176" bestFit="1" customWidth="1"/>
    <col min="15918" max="15918" width="14.7109375" style="176" customWidth="1"/>
    <col min="15919" max="16128" width="9.140625" style="176"/>
    <col min="16129" max="16129" width="61.7109375" style="176" customWidth="1"/>
    <col min="16130" max="16130" width="18.5703125" style="176" customWidth="1"/>
    <col min="16131" max="16137" width="16.85546875" style="176" customWidth="1"/>
    <col min="16138" max="16138" width="18.7109375" style="176" customWidth="1"/>
    <col min="16139" max="16156" width="16.85546875" style="176" customWidth="1"/>
    <col min="16157" max="16172" width="16.7109375" style="176" customWidth="1"/>
    <col min="16173" max="16173" width="13.28515625" style="176" bestFit="1" customWidth="1"/>
    <col min="16174" max="16174" width="14.7109375" style="176" customWidth="1"/>
    <col min="16175" max="16384" width="9.140625" style="176"/>
  </cols>
  <sheetData>
    <row r="1" spans="1:44" ht="18.75" x14ac:dyDescent="0.2">
      <c r="A1" s="18"/>
      <c r="B1" s="12"/>
      <c r="C1" s="12"/>
      <c r="D1" s="12"/>
      <c r="E1" s="12"/>
      <c r="F1" s="12"/>
      <c r="G1" s="12"/>
      <c r="H1" s="12"/>
      <c r="I1" s="16"/>
      <c r="J1" s="16"/>
      <c r="K1" s="38"/>
      <c r="L1" s="12"/>
      <c r="M1" s="12"/>
      <c r="N1" s="12"/>
      <c r="O1" s="12"/>
      <c r="P1" s="38"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324</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318"/>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22" t="s">
        <v>9</v>
      </c>
      <c r="B7" s="322"/>
      <c r="C7" s="322"/>
      <c r="D7" s="322"/>
      <c r="E7" s="322"/>
      <c r="F7" s="322"/>
      <c r="G7" s="322"/>
      <c r="H7" s="322"/>
      <c r="I7" s="322"/>
      <c r="J7" s="322"/>
      <c r="K7" s="322"/>
      <c r="L7" s="322"/>
      <c r="M7" s="322"/>
      <c r="N7" s="322"/>
      <c r="O7" s="322"/>
      <c r="P7" s="32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ht="18.75" x14ac:dyDescent="0.2">
      <c r="A8" s="167"/>
      <c r="B8" s="167"/>
      <c r="C8" s="167"/>
      <c r="D8" s="167"/>
      <c r="E8" s="167"/>
      <c r="F8" s="167"/>
      <c r="G8" s="167"/>
      <c r="H8" s="167"/>
      <c r="I8" s="167"/>
      <c r="J8" s="167"/>
      <c r="K8" s="167"/>
      <c r="L8" s="152"/>
      <c r="M8" s="152"/>
      <c r="N8" s="152"/>
      <c r="O8" s="152"/>
      <c r="P8" s="152"/>
      <c r="Q8" s="152"/>
      <c r="R8" s="152"/>
      <c r="S8" s="152"/>
      <c r="T8" s="152"/>
      <c r="U8" s="152"/>
      <c r="V8" s="152"/>
      <c r="W8" s="152"/>
      <c r="X8" s="152"/>
      <c r="Y8" s="152"/>
      <c r="Z8" s="12"/>
      <c r="AA8" s="12"/>
      <c r="AB8" s="12"/>
      <c r="AC8" s="12"/>
      <c r="AD8" s="12"/>
      <c r="AE8" s="12"/>
      <c r="AF8" s="12"/>
      <c r="AG8" s="12"/>
      <c r="AH8" s="12"/>
      <c r="AI8" s="12"/>
      <c r="AJ8" s="12"/>
      <c r="AK8" s="12"/>
      <c r="AL8" s="12"/>
      <c r="AM8" s="12"/>
      <c r="AN8" s="12"/>
      <c r="AO8" s="12"/>
      <c r="AP8" s="12"/>
      <c r="AQ8" s="12"/>
      <c r="AR8" s="12"/>
    </row>
    <row r="9" spans="1:44" x14ac:dyDescent="0.2">
      <c r="A9" s="328" t="str">
        <f>'1. паспорт местоположение'!A9:C9</f>
        <v xml:space="preserve">                         АО "Янтарьэнерго"                         </v>
      </c>
      <c r="B9" s="328"/>
      <c r="C9" s="328"/>
      <c r="D9" s="328"/>
      <c r="E9" s="328"/>
      <c r="F9" s="328"/>
      <c r="G9" s="328"/>
      <c r="H9" s="328"/>
      <c r="I9" s="328"/>
      <c r="J9" s="328"/>
      <c r="K9" s="328"/>
      <c r="L9" s="328"/>
      <c r="M9" s="328"/>
      <c r="N9" s="328"/>
      <c r="O9" s="328"/>
      <c r="P9" s="328"/>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x14ac:dyDescent="0.2">
      <c r="A10" s="319" t="s">
        <v>8</v>
      </c>
      <c r="B10" s="319"/>
      <c r="C10" s="319"/>
      <c r="D10" s="319"/>
      <c r="E10" s="319"/>
      <c r="F10" s="319"/>
      <c r="G10" s="319"/>
      <c r="H10" s="319"/>
      <c r="I10" s="319"/>
      <c r="J10" s="319"/>
      <c r="K10" s="319"/>
      <c r="L10" s="319"/>
      <c r="M10" s="319"/>
      <c r="N10" s="319"/>
      <c r="O10" s="319"/>
      <c r="P10" s="319"/>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row>
    <row r="11" spans="1:44" ht="18.75" x14ac:dyDescent="0.2">
      <c r="A11" s="167"/>
      <c r="B11" s="167"/>
      <c r="C11" s="167"/>
      <c r="D11" s="167"/>
      <c r="E11" s="167"/>
      <c r="F11" s="167"/>
      <c r="G11" s="167"/>
      <c r="H11" s="167"/>
      <c r="I11" s="167"/>
      <c r="J11" s="167"/>
      <c r="K11" s="167"/>
      <c r="L11" s="152"/>
      <c r="M11" s="152"/>
      <c r="N11" s="152"/>
      <c r="O11" s="152"/>
      <c r="P11" s="152"/>
      <c r="Q11" s="152"/>
      <c r="R11" s="152"/>
      <c r="S11" s="152"/>
      <c r="T11" s="152"/>
      <c r="U11" s="152"/>
      <c r="V11" s="152"/>
      <c r="W11" s="152"/>
      <c r="X11" s="152"/>
      <c r="Y11" s="152"/>
      <c r="Z11" s="12"/>
      <c r="AA11" s="12"/>
      <c r="AB11" s="12"/>
      <c r="AC11" s="12"/>
      <c r="AD11" s="12"/>
      <c r="AE11" s="12"/>
      <c r="AF11" s="12"/>
      <c r="AG11" s="12"/>
      <c r="AH11" s="12"/>
      <c r="AI11" s="12"/>
      <c r="AJ11" s="12"/>
      <c r="AK11" s="12"/>
      <c r="AL11" s="12"/>
      <c r="AM11" s="12"/>
      <c r="AN11" s="12"/>
      <c r="AO11" s="12"/>
      <c r="AP11" s="12"/>
      <c r="AQ11" s="12"/>
      <c r="AR11" s="12"/>
    </row>
    <row r="12" spans="1:44" x14ac:dyDescent="0.2">
      <c r="A12" s="328" t="str">
        <f>'1. паспорт местоположение'!A12:C12</f>
        <v xml:space="preserve">                              G_4584                              </v>
      </c>
      <c r="B12" s="328"/>
      <c r="C12" s="328"/>
      <c r="D12" s="328"/>
      <c r="E12" s="328"/>
      <c r="F12" s="328"/>
      <c r="G12" s="328"/>
      <c r="H12" s="328"/>
      <c r="I12" s="328"/>
      <c r="J12" s="328"/>
      <c r="K12" s="328"/>
      <c r="L12" s="328"/>
      <c r="M12" s="328"/>
      <c r="N12" s="328"/>
      <c r="O12" s="328"/>
      <c r="P12" s="328"/>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x14ac:dyDescent="0.2">
      <c r="A13" s="319" t="s">
        <v>7</v>
      </c>
      <c r="B13" s="319"/>
      <c r="C13" s="319"/>
      <c r="D13" s="319"/>
      <c r="E13" s="319"/>
      <c r="F13" s="319"/>
      <c r="G13" s="319"/>
      <c r="H13" s="319"/>
      <c r="I13" s="319"/>
      <c r="J13" s="319"/>
      <c r="K13" s="319"/>
      <c r="L13" s="319"/>
      <c r="M13" s="319"/>
      <c r="N13" s="319"/>
      <c r="O13" s="319"/>
      <c r="P13" s="319"/>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row>
    <row r="14" spans="1:44" ht="18.75"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9"/>
      <c r="AA14" s="9"/>
      <c r="AB14" s="9"/>
      <c r="AC14" s="9"/>
      <c r="AD14" s="9"/>
      <c r="AE14" s="9"/>
      <c r="AF14" s="9"/>
      <c r="AG14" s="9"/>
      <c r="AH14" s="9"/>
      <c r="AI14" s="9"/>
      <c r="AJ14" s="9"/>
      <c r="AK14" s="9"/>
      <c r="AL14" s="9"/>
      <c r="AM14" s="9"/>
      <c r="AN14" s="9"/>
      <c r="AO14" s="9"/>
      <c r="AP14" s="9"/>
      <c r="AQ14" s="9"/>
      <c r="AR14" s="9"/>
    </row>
    <row r="15" spans="1:44" ht="33.75" customHeight="1" x14ac:dyDescent="0.2">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325"/>
      <c r="D15" s="325"/>
      <c r="E15" s="325"/>
      <c r="F15" s="325"/>
      <c r="G15" s="325"/>
      <c r="H15" s="325"/>
      <c r="I15" s="325"/>
      <c r="J15" s="325"/>
      <c r="K15" s="325"/>
      <c r="L15" s="325"/>
      <c r="M15" s="325"/>
      <c r="N15" s="325"/>
      <c r="O15" s="325"/>
      <c r="P15" s="325"/>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x14ac:dyDescent="0.2">
      <c r="A16" s="319" t="s">
        <v>6</v>
      </c>
      <c r="B16" s="319"/>
      <c r="C16" s="319"/>
      <c r="D16" s="319"/>
      <c r="E16" s="319"/>
      <c r="F16" s="319"/>
      <c r="G16" s="319"/>
      <c r="H16" s="319"/>
      <c r="I16" s="319"/>
      <c r="J16" s="319"/>
      <c r="K16" s="319"/>
      <c r="L16" s="319"/>
      <c r="M16" s="319"/>
      <c r="N16" s="319"/>
      <c r="O16" s="319"/>
      <c r="P16" s="319"/>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row>
    <row r="17" spans="1:48" ht="18.75"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21" t="s">
        <v>446</v>
      </c>
      <c r="B18" s="321"/>
      <c r="C18" s="321"/>
      <c r="D18" s="321"/>
      <c r="E18" s="321"/>
      <c r="F18" s="321"/>
      <c r="G18" s="321"/>
      <c r="H18" s="321"/>
      <c r="I18" s="321"/>
      <c r="J18" s="321"/>
      <c r="K18" s="321"/>
      <c r="L18" s="321"/>
      <c r="M18" s="321"/>
      <c r="N18" s="321"/>
      <c r="O18" s="321"/>
      <c r="P18" s="321"/>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77"/>
    </row>
    <row r="20" spans="1:48" x14ac:dyDescent="0.2">
      <c r="A20" s="178"/>
    </row>
    <row r="21" spans="1:48" s="279" customFormat="1" ht="16.5" thickBot="1" x14ac:dyDescent="0.25">
      <c r="A21" s="179" t="s">
        <v>323</v>
      </c>
      <c r="B21" s="179" t="s">
        <v>1</v>
      </c>
      <c r="C21" s="175"/>
      <c r="D21" s="180"/>
      <c r="E21" s="181"/>
      <c r="F21" s="181"/>
      <c r="G21" s="181"/>
      <c r="H21" s="181"/>
      <c r="I21" s="175"/>
      <c r="J21" s="175"/>
      <c r="K21" s="175"/>
      <c r="L21" s="175"/>
      <c r="M21" s="175"/>
      <c r="N21" s="175"/>
      <c r="O21" s="175"/>
      <c r="P21" s="175"/>
      <c r="Q21" s="175"/>
      <c r="R21" s="175"/>
      <c r="S21" s="175"/>
      <c r="T21" s="175"/>
      <c r="U21" s="175"/>
      <c r="V21" s="175"/>
      <c r="W21" s="175"/>
      <c r="X21" s="175"/>
      <c r="Y21" s="175"/>
      <c r="Z21" s="175"/>
      <c r="AA21" s="175"/>
      <c r="AB21" s="175"/>
      <c r="AC21" s="175"/>
      <c r="AS21" s="280"/>
      <c r="AT21" s="280"/>
      <c r="AU21" s="281"/>
      <c r="AV21" s="281"/>
    </row>
    <row r="22" spans="1:48" s="279" customFormat="1" x14ac:dyDescent="0.2">
      <c r="A22" s="182" t="s">
        <v>495</v>
      </c>
      <c r="B22" s="283">
        <v>805112563.69152498</v>
      </c>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S22" s="280"/>
      <c r="AT22" s="280"/>
      <c r="AU22" s="281"/>
      <c r="AV22" s="281"/>
    </row>
    <row r="23" spans="1:48" s="279" customFormat="1" x14ac:dyDescent="0.2">
      <c r="A23" s="184" t="s">
        <v>321</v>
      </c>
      <c r="B23" s="185">
        <v>0</v>
      </c>
      <c r="C23" s="175"/>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S23" s="280"/>
      <c r="AT23" s="280"/>
      <c r="AU23" s="281"/>
      <c r="AV23" s="281"/>
    </row>
    <row r="24" spans="1:48" s="279" customFormat="1" x14ac:dyDescent="0.2">
      <c r="A24" s="184" t="s">
        <v>319</v>
      </c>
      <c r="B24" s="185">
        <v>40</v>
      </c>
      <c r="C24" s="175"/>
      <c r="D24" s="178" t="s">
        <v>322</v>
      </c>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S24" s="280"/>
      <c r="AT24" s="280"/>
      <c r="AU24" s="281"/>
      <c r="AV24" s="281"/>
    </row>
    <row r="25" spans="1:48" s="279" customFormat="1" ht="16.5" thickBot="1" x14ac:dyDescent="0.25">
      <c r="A25" s="186" t="s">
        <v>317</v>
      </c>
      <c r="B25" s="187">
        <v>1</v>
      </c>
      <c r="C25" s="175"/>
      <c r="D25" s="370" t="s">
        <v>320</v>
      </c>
      <c r="E25" s="370"/>
      <c r="F25" s="188"/>
      <c r="G25" s="189">
        <f>SUM(B87:AR87)</f>
        <v>0</v>
      </c>
      <c r="H25" s="175"/>
      <c r="I25" s="175"/>
      <c r="J25" s="175"/>
      <c r="K25" s="175"/>
      <c r="L25" s="175"/>
      <c r="M25" s="175"/>
      <c r="N25" s="175"/>
      <c r="O25" s="175"/>
      <c r="P25" s="175"/>
      <c r="Q25" s="175"/>
      <c r="R25" s="175"/>
      <c r="S25" s="175"/>
      <c r="T25" s="175"/>
      <c r="U25" s="175"/>
      <c r="V25" s="175"/>
      <c r="W25" s="175"/>
      <c r="X25" s="175"/>
      <c r="Y25" s="175"/>
      <c r="Z25" s="175"/>
      <c r="AA25" s="175"/>
      <c r="AB25" s="175"/>
      <c r="AC25" s="175"/>
      <c r="AS25" s="280"/>
      <c r="AT25" s="280"/>
      <c r="AU25" s="281"/>
      <c r="AV25" s="281"/>
    </row>
    <row r="26" spans="1:48" s="279" customFormat="1" x14ac:dyDescent="0.2">
      <c r="A26" s="182" t="s">
        <v>316</v>
      </c>
      <c r="B26" s="183">
        <v>600000</v>
      </c>
      <c r="C26" s="175"/>
      <c r="D26" s="370" t="s">
        <v>318</v>
      </c>
      <c r="E26" s="370"/>
      <c r="F26" s="188"/>
      <c r="G26" s="189" t="str">
        <f>IF(SUM(B88:AR88)=0,"не окупается",SUM(B88:AR88))</f>
        <v>не окупается</v>
      </c>
      <c r="H26" s="175"/>
      <c r="I26" s="175"/>
      <c r="J26" s="175"/>
      <c r="K26" s="175"/>
      <c r="L26" s="175"/>
      <c r="M26" s="175"/>
      <c r="N26" s="175"/>
      <c r="O26" s="175"/>
      <c r="P26" s="175"/>
      <c r="Q26" s="175"/>
      <c r="R26" s="175"/>
      <c r="S26" s="175"/>
      <c r="T26" s="175"/>
      <c r="U26" s="175"/>
      <c r="V26" s="175"/>
      <c r="W26" s="175"/>
      <c r="X26" s="175"/>
      <c r="Y26" s="175"/>
      <c r="Z26" s="175"/>
      <c r="AA26" s="175"/>
      <c r="AB26" s="175"/>
      <c r="AC26" s="175"/>
      <c r="AS26" s="280"/>
      <c r="AT26" s="280"/>
      <c r="AU26" s="281"/>
      <c r="AV26" s="281"/>
    </row>
    <row r="27" spans="1:48" s="279" customFormat="1" x14ac:dyDescent="0.2">
      <c r="A27" s="184" t="s">
        <v>496</v>
      </c>
      <c r="B27" s="185">
        <v>3</v>
      </c>
      <c r="C27" s="175"/>
      <c r="D27" s="370" t="s">
        <v>497</v>
      </c>
      <c r="E27" s="370"/>
      <c r="F27" s="188"/>
      <c r="G27" s="190">
        <f>AR85</f>
        <v>-115996253.10953197</v>
      </c>
      <c r="H27" s="175"/>
      <c r="I27" s="175"/>
      <c r="J27" s="175"/>
      <c r="K27" s="175"/>
      <c r="L27" s="175"/>
      <c r="M27" s="175"/>
      <c r="N27" s="175"/>
      <c r="O27" s="175"/>
      <c r="P27" s="175"/>
      <c r="Q27" s="175"/>
      <c r="R27" s="175"/>
      <c r="S27" s="175"/>
      <c r="T27" s="175"/>
      <c r="U27" s="175"/>
      <c r="V27" s="175"/>
      <c r="W27" s="175"/>
      <c r="X27" s="175"/>
      <c r="Y27" s="175"/>
      <c r="Z27" s="175"/>
      <c r="AA27" s="175"/>
      <c r="AB27" s="175"/>
      <c r="AC27" s="175"/>
      <c r="AS27" s="280"/>
      <c r="AT27" s="280"/>
      <c r="AU27" s="281"/>
      <c r="AV27" s="281"/>
    </row>
    <row r="28" spans="1:48" s="279" customFormat="1" x14ac:dyDescent="0.2">
      <c r="A28" s="184" t="s">
        <v>315</v>
      </c>
      <c r="B28" s="185">
        <v>3</v>
      </c>
      <c r="C28" s="175"/>
      <c r="D28" s="370" t="s">
        <v>498</v>
      </c>
      <c r="E28" s="370"/>
      <c r="F28" s="188"/>
      <c r="G28" s="191" t="str">
        <f>IF(G27&gt;0,"да","нет")</f>
        <v>нет</v>
      </c>
      <c r="H28" s="175"/>
      <c r="I28" s="175"/>
      <c r="J28" s="175"/>
      <c r="K28" s="175"/>
      <c r="L28" s="175"/>
      <c r="M28" s="175"/>
      <c r="N28" s="175"/>
      <c r="O28" s="175"/>
      <c r="P28" s="175"/>
      <c r="Q28" s="175"/>
      <c r="R28" s="175"/>
      <c r="S28" s="175"/>
      <c r="T28" s="175"/>
      <c r="U28" s="175"/>
      <c r="V28" s="175"/>
      <c r="W28" s="175"/>
      <c r="X28" s="175"/>
      <c r="Y28" s="175"/>
      <c r="Z28" s="175"/>
      <c r="AA28" s="175"/>
      <c r="AB28" s="175"/>
      <c r="AC28" s="175"/>
      <c r="AS28" s="280"/>
      <c r="AT28" s="280"/>
      <c r="AU28" s="281"/>
      <c r="AV28" s="281"/>
    </row>
    <row r="29" spans="1:48" s="279" customFormat="1" x14ac:dyDescent="0.2">
      <c r="A29" s="184" t="s">
        <v>294</v>
      </c>
      <c r="B29" s="185">
        <v>200000</v>
      </c>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S29" s="280"/>
      <c r="AT29" s="280"/>
      <c r="AU29" s="281"/>
      <c r="AV29" s="281"/>
    </row>
    <row r="30" spans="1:48" s="279" customFormat="1" x14ac:dyDescent="0.2">
      <c r="A30" s="184" t="s">
        <v>314</v>
      </c>
      <c r="B30" s="185">
        <v>1</v>
      </c>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S30" s="280"/>
      <c r="AT30" s="280"/>
      <c r="AU30" s="281"/>
      <c r="AV30" s="281"/>
    </row>
    <row r="31" spans="1:48" s="279" customFormat="1" x14ac:dyDescent="0.2">
      <c r="A31" s="184" t="s">
        <v>313</v>
      </c>
      <c r="B31" s="185">
        <v>1</v>
      </c>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S31" s="280"/>
      <c r="AT31" s="280"/>
      <c r="AU31" s="281"/>
      <c r="AV31" s="281"/>
    </row>
    <row r="32" spans="1:48" s="279" customFormat="1" x14ac:dyDescent="0.2">
      <c r="A32" s="192" t="s">
        <v>499</v>
      </c>
      <c r="B32" s="193"/>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S32" s="280"/>
      <c r="AT32" s="280"/>
      <c r="AU32" s="281"/>
      <c r="AV32" s="281"/>
    </row>
    <row r="33" spans="1:48" s="279" customFormat="1" ht="16.5" thickBot="1" x14ac:dyDescent="0.25">
      <c r="A33" s="186" t="s">
        <v>288</v>
      </c>
      <c r="B33" s="194">
        <v>0.2</v>
      </c>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S33" s="280"/>
      <c r="AT33" s="280"/>
      <c r="AU33" s="281"/>
      <c r="AV33" s="281"/>
    </row>
    <row r="34" spans="1:48" s="279" customFormat="1" x14ac:dyDescent="0.2">
      <c r="A34" s="182" t="s">
        <v>494</v>
      </c>
      <c r="B34" s="183">
        <v>0</v>
      </c>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S34" s="280"/>
      <c r="AT34" s="280"/>
      <c r="AU34" s="281"/>
      <c r="AV34" s="281"/>
    </row>
    <row r="35" spans="1:48" s="279" customFormat="1" x14ac:dyDescent="0.2">
      <c r="A35" s="184" t="s">
        <v>312</v>
      </c>
      <c r="B35" s="18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S35" s="280"/>
      <c r="AT35" s="280"/>
      <c r="AU35" s="281"/>
      <c r="AV35" s="281"/>
    </row>
    <row r="36" spans="1:48" s="279" customFormat="1" ht="16.5" thickBot="1" x14ac:dyDescent="0.25">
      <c r="A36" s="192" t="s">
        <v>311</v>
      </c>
      <c r="B36" s="195">
        <v>0.09</v>
      </c>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S36" s="280"/>
      <c r="AT36" s="280"/>
      <c r="AU36" s="281"/>
      <c r="AV36" s="281"/>
    </row>
    <row r="37" spans="1:48" s="279" customFormat="1" x14ac:dyDescent="0.2">
      <c r="A37" s="196" t="s">
        <v>500</v>
      </c>
      <c r="B37" s="197">
        <v>1</v>
      </c>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S37" s="280"/>
      <c r="AT37" s="280"/>
      <c r="AU37" s="281"/>
      <c r="AV37" s="281"/>
    </row>
    <row r="38" spans="1:48" s="279" customFormat="1" x14ac:dyDescent="0.2">
      <c r="A38" s="199" t="s">
        <v>310</v>
      </c>
      <c r="B38" s="200">
        <v>0.1</v>
      </c>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S38" s="280"/>
      <c r="AT38" s="280"/>
      <c r="AU38" s="281"/>
      <c r="AV38" s="281"/>
    </row>
    <row r="39" spans="1:48" s="279" customFormat="1" x14ac:dyDescent="0.2">
      <c r="A39" s="199" t="s">
        <v>309</v>
      </c>
      <c r="B39" s="201">
        <v>0.1</v>
      </c>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S39" s="280"/>
      <c r="AT39" s="280"/>
      <c r="AU39" s="281"/>
      <c r="AV39" s="281"/>
    </row>
    <row r="40" spans="1:48" s="279" customFormat="1" x14ac:dyDescent="0.2">
      <c r="A40" s="199" t="s">
        <v>308</v>
      </c>
      <c r="B40" s="201">
        <v>0</v>
      </c>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S40" s="280"/>
      <c r="AT40" s="280"/>
      <c r="AU40" s="281"/>
      <c r="AV40" s="281"/>
    </row>
    <row r="41" spans="1:48" s="279" customFormat="1" x14ac:dyDescent="0.2">
      <c r="A41" s="199" t="s">
        <v>307</v>
      </c>
      <c r="B41" s="201">
        <v>0.20499999999999999</v>
      </c>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S41" s="280"/>
      <c r="AT41" s="280"/>
      <c r="AU41" s="281"/>
      <c r="AV41" s="281"/>
    </row>
    <row r="42" spans="1:48" s="279" customFormat="1" x14ac:dyDescent="0.2">
      <c r="A42" s="199" t="s">
        <v>306</v>
      </c>
      <c r="B42" s="201">
        <f>1-B40</f>
        <v>1</v>
      </c>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S42" s="280"/>
      <c r="AT42" s="280"/>
      <c r="AU42" s="281"/>
      <c r="AV42" s="281"/>
    </row>
    <row r="43" spans="1:48" s="279" customFormat="1" ht="16.5" thickBot="1" x14ac:dyDescent="0.25">
      <c r="A43" s="202" t="s">
        <v>501</v>
      </c>
      <c r="B43" s="203">
        <f>B42*B41+B40*B39*(1-B33)</f>
        <v>0.20499999999999999</v>
      </c>
      <c r="C43" s="204"/>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S43" s="280"/>
      <c r="AT43" s="280"/>
      <c r="AU43" s="281"/>
      <c r="AV43" s="281"/>
    </row>
    <row r="44" spans="1:48" s="279" customFormat="1" x14ac:dyDescent="0.2">
      <c r="A44" s="205" t="s">
        <v>305</v>
      </c>
      <c r="B44" s="206">
        <f>B55</f>
        <v>1</v>
      </c>
      <c r="C44" s="206">
        <f t="shared" ref="C44:AR44" si="0">C55</f>
        <v>2</v>
      </c>
      <c r="D44" s="206">
        <f t="shared" si="0"/>
        <v>3</v>
      </c>
      <c r="E44" s="206">
        <f t="shared" si="0"/>
        <v>4</v>
      </c>
      <c r="F44" s="206">
        <f t="shared" si="0"/>
        <v>5</v>
      </c>
      <c r="G44" s="206">
        <f t="shared" si="0"/>
        <v>6</v>
      </c>
      <c r="H44" s="206">
        <f t="shared" si="0"/>
        <v>7</v>
      </c>
      <c r="I44" s="206">
        <f t="shared" si="0"/>
        <v>8</v>
      </c>
      <c r="J44" s="206">
        <f t="shared" si="0"/>
        <v>9</v>
      </c>
      <c r="K44" s="206">
        <f t="shared" si="0"/>
        <v>10</v>
      </c>
      <c r="L44" s="206">
        <f t="shared" si="0"/>
        <v>11</v>
      </c>
      <c r="M44" s="206">
        <f t="shared" si="0"/>
        <v>12</v>
      </c>
      <c r="N44" s="206">
        <f t="shared" si="0"/>
        <v>13</v>
      </c>
      <c r="O44" s="206">
        <f t="shared" si="0"/>
        <v>14</v>
      </c>
      <c r="P44" s="206">
        <f t="shared" si="0"/>
        <v>15</v>
      </c>
      <c r="Q44" s="206">
        <f t="shared" si="0"/>
        <v>16</v>
      </c>
      <c r="R44" s="206">
        <f t="shared" si="0"/>
        <v>17</v>
      </c>
      <c r="S44" s="206">
        <f t="shared" si="0"/>
        <v>18</v>
      </c>
      <c r="T44" s="206">
        <f t="shared" si="0"/>
        <v>19</v>
      </c>
      <c r="U44" s="206">
        <f t="shared" si="0"/>
        <v>20</v>
      </c>
      <c r="V44" s="206">
        <f t="shared" si="0"/>
        <v>21</v>
      </c>
      <c r="W44" s="206">
        <f t="shared" si="0"/>
        <v>22</v>
      </c>
      <c r="X44" s="206">
        <f t="shared" si="0"/>
        <v>23</v>
      </c>
      <c r="Y44" s="206">
        <f t="shared" si="0"/>
        <v>24</v>
      </c>
      <c r="Z44" s="206">
        <f t="shared" si="0"/>
        <v>25</v>
      </c>
      <c r="AA44" s="206">
        <f t="shared" si="0"/>
        <v>26</v>
      </c>
      <c r="AB44" s="206">
        <f t="shared" si="0"/>
        <v>27</v>
      </c>
      <c r="AC44" s="206">
        <f t="shared" si="0"/>
        <v>28</v>
      </c>
      <c r="AD44" s="206">
        <f t="shared" si="0"/>
        <v>29</v>
      </c>
      <c r="AE44" s="206">
        <f t="shared" si="0"/>
        <v>30</v>
      </c>
      <c r="AF44" s="206">
        <f t="shared" si="0"/>
        <v>31</v>
      </c>
      <c r="AG44" s="206">
        <f t="shared" si="0"/>
        <v>32</v>
      </c>
      <c r="AH44" s="206">
        <f t="shared" si="0"/>
        <v>33</v>
      </c>
      <c r="AI44" s="206">
        <f t="shared" si="0"/>
        <v>34</v>
      </c>
      <c r="AJ44" s="206">
        <f t="shared" si="0"/>
        <v>35</v>
      </c>
      <c r="AK44" s="206">
        <f t="shared" si="0"/>
        <v>36</v>
      </c>
      <c r="AL44" s="206">
        <f t="shared" si="0"/>
        <v>37</v>
      </c>
      <c r="AM44" s="206">
        <f t="shared" si="0"/>
        <v>38</v>
      </c>
      <c r="AN44" s="206">
        <f t="shared" si="0"/>
        <v>39</v>
      </c>
      <c r="AO44" s="206">
        <f t="shared" si="0"/>
        <v>40</v>
      </c>
      <c r="AP44" s="206">
        <f t="shared" si="0"/>
        <v>41</v>
      </c>
      <c r="AQ44" s="206">
        <f t="shared" si="0"/>
        <v>42</v>
      </c>
      <c r="AR44" s="206">
        <f t="shared" si="0"/>
        <v>43</v>
      </c>
      <c r="AS44" s="280"/>
      <c r="AT44" s="280"/>
      <c r="AU44" s="281"/>
      <c r="AV44" s="281"/>
    </row>
    <row r="45" spans="1:48" s="279" customFormat="1" x14ac:dyDescent="0.2">
      <c r="A45" s="207" t="s">
        <v>304</v>
      </c>
      <c r="B45" s="208">
        <v>4.3999999999999997E-2</v>
      </c>
      <c r="C45" s="208">
        <v>4.2999999999999997E-2</v>
      </c>
      <c r="D45" s="208">
        <v>4.1000000000000002E-2</v>
      </c>
      <c r="E45" s="208">
        <v>3.5999999999999997E-2</v>
      </c>
      <c r="F45" s="208">
        <v>3.2000000000000001E-2</v>
      </c>
      <c r="G45" s="208">
        <v>2.8000000000000001E-2</v>
      </c>
      <c r="H45" s="208">
        <v>2.7E-2</v>
      </c>
      <c r="I45" s="208">
        <v>2.7E-2</v>
      </c>
      <c r="J45" s="208">
        <v>2.5000000000000001E-2</v>
      </c>
      <c r="K45" s="208">
        <v>2.3E-2</v>
      </c>
      <c r="L45" s="208">
        <v>2.1999999999999999E-2</v>
      </c>
      <c r="M45" s="208">
        <v>0.02</v>
      </c>
      <c r="N45" s="208">
        <v>0.02</v>
      </c>
      <c r="O45" s="208">
        <v>0.02</v>
      </c>
      <c r="P45" s="208">
        <v>0.02</v>
      </c>
      <c r="Q45" s="208">
        <v>0.02</v>
      </c>
      <c r="R45" s="208">
        <v>0.02</v>
      </c>
      <c r="S45" s="208">
        <v>0.02</v>
      </c>
      <c r="T45" s="208">
        <v>0.02</v>
      </c>
      <c r="U45" s="208">
        <v>0.02</v>
      </c>
      <c r="V45" s="208">
        <v>0.02</v>
      </c>
      <c r="W45" s="208">
        <v>0.02</v>
      </c>
      <c r="X45" s="208">
        <v>0.02</v>
      </c>
      <c r="Y45" s="208">
        <v>0.02</v>
      </c>
      <c r="Z45" s="208">
        <v>0.02</v>
      </c>
      <c r="AA45" s="208">
        <v>0.02</v>
      </c>
      <c r="AB45" s="208">
        <v>0.02</v>
      </c>
      <c r="AC45" s="208">
        <f>AB45</f>
        <v>0.02</v>
      </c>
      <c r="AD45" s="208">
        <f t="shared" ref="AD45:AP45" si="1">AC45</f>
        <v>0.02</v>
      </c>
      <c r="AE45" s="208">
        <f t="shared" si="1"/>
        <v>0.02</v>
      </c>
      <c r="AF45" s="208">
        <f t="shared" si="1"/>
        <v>0.02</v>
      </c>
      <c r="AG45" s="208">
        <f t="shared" si="1"/>
        <v>0.02</v>
      </c>
      <c r="AH45" s="208">
        <f t="shared" si="1"/>
        <v>0.02</v>
      </c>
      <c r="AI45" s="208">
        <f t="shared" si="1"/>
        <v>0.02</v>
      </c>
      <c r="AJ45" s="208">
        <f t="shared" si="1"/>
        <v>0.02</v>
      </c>
      <c r="AK45" s="208">
        <f t="shared" si="1"/>
        <v>0.02</v>
      </c>
      <c r="AL45" s="208">
        <f t="shared" si="1"/>
        <v>0.02</v>
      </c>
      <c r="AM45" s="208">
        <f t="shared" si="1"/>
        <v>0.02</v>
      </c>
      <c r="AN45" s="208">
        <f t="shared" si="1"/>
        <v>0.02</v>
      </c>
      <c r="AO45" s="208">
        <f t="shared" si="1"/>
        <v>0.02</v>
      </c>
      <c r="AP45" s="208">
        <f t="shared" si="1"/>
        <v>0.02</v>
      </c>
      <c r="AQ45" s="208">
        <f>AP45</f>
        <v>0.02</v>
      </c>
      <c r="AR45" s="208">
        <f>AQ45</f>
        <v>0.02</v>
      </c>
      <c r="AS45" s="280"/>
      <c r="AT45" s="280"/>
      <c r="AU45" s="281"/>
      <c r="AV45" s="281"/>
    </row>
    <row r="46" spans="1:48" s="279" customFormat="1" x14ac:dyDescent="0.2">
      <c r="A46" s="207" t="s">
        <v>303</v>
      </c>
      <c r="B46" s="208">
        <v>0.11394799999999994</v>
      </c>
      <c r="C46" s="208">
        <f>(1+B46)*(1+C45)-1</f>
        <v>0.16184776399999978</v>
      </c>
      <c r="D46" s="208">
        <f t="shared" ref="D46:AP46" si="2">(1+C46)*(1+D45)-1</f>
        <v>0.20948352232399969</v>
      </c>
      <c r="E46" s="208">
        <f t="shared" si="2"/>
        <v>0.25302492912766361</v>
      </c>
      <c r="F46" s="208">
        <f t="shared" si="2"/>
        <v>0.2931217268597488</v>
      </c>
      <c r="G46" s="208">
        <f t="shared" si="2"/>
        <v>0.32932913521182172</v>
      </c>
      <c r="H46" s="208">
        <f t="shared" si="2"/>
        <v>0.36522102186254068</v>
      </c>
      <c r="I46" s="208">
        <f t="shared" si="2"/>
        <v>0.40208198945282914</v>
      </c>
      <c r="J46" s="208">
        <f t="shared" si="2"/>
        <v>0.43713403918914984</v>
      </c>
      <c r="K46" s="208">
        <f t="shared" si="2"/>
        <v>0.4701881220905002</v>
      </c>
      <c r="L46" s="208">
        <f t="shared" si="2"/>
        <v>0.50253226077649127</v>
      </c>
      <c r="M46" s="208">
        <f t="shared" si="2"/>
        <v>0.53258290599202107</v>
      </c>
      <c r="N46" s="208">
        <f t="shared" si="2"/>
        <v>0.56323456411186146</v>
      </c>
      <c r="O46" s="208">
        <f t="shared" si="2"/>
        <v>0.59449925539409865</v>
      </c>
      <c r="P46" s="208">
        <f t="shared" si="2"/>
        <v>0.62638924050198064</v>
      </c>
      <c r="Q46" s="208">
        <f t="shared" si="2"/>
        <v>0.65891702531202023</v>
      </c>
      <c r="R46" s="208">
        <f t="shared" si="2"/>
        <v>0.6920953658182607</v>
      </c>
      <c r="S46" s="208">
        <f t="shared" si="2"/>
        <v>0.72593727313462586</v>
      </c>
      <c r="T46" s="208">
        <f t="shared" si="2"/>
        <v>0.76045601859731837</v>
      </c>
      <c r="U46" s="208">
        <f t="shared" si="2"/>
        <v>0.79566513896926483</v>
      </c>
      <c r="V46" s="208">
        <f t="shared" si="2"/>
        <v>0.83157844174865025</v>
      </c>
      <c r="W46" s="208">
        <f t="shared" si="2"/>
        <v>0.86821001058362324</v>
      </c>
      <c r="X46" s="208">
        <f t="shared" si="2"/>
        <v>0.90557421079529576</v>
      </c>
      <c r="Y46" s="208">
        <f t="shared" si="2"/>
        <v>0.94368569501120181</v>
      </c>
      <c r="Z46" s="208">
        <f t="shared" si="2"/>
        <v>0.98255940891142579</v>
      </c>
      <c r="AA46" s="208">
        <f t="shared" si="2"/>
        <v>1.0222105970896544</v>
      </c>
      <c r="AB46" s="208">
        <f t="shared" si="2"/>
        <v>1.0626548090314474</v>
      </c>
      <c r="AC46" s="208">
        <f t="shared" si="2"/>
        <v>1.1039079052120764</v>
      </c>
      <c r="AD46" s="208">
        <f t="shared" si="2"/>
        <v>1.1459860633163181</v>
      </c>
      <c r="AE46" s="208">
        <f t="shared" si="2"/>
        <v>1.1889057845826447</v>
      </c>
      <c r="AF46" s="208">
        <f t="shared" si="2"/>
        <v>1.2326839002742975</v>
      </c>
      <c r="AG46" s="208">
        <f t="shared" si="2"/>
        <v>1.2773375782797833</v>
      </c>
      <c r="AH46" s="208">
        <f t="shared" si="2"/>
        <v>1.3228843298453792</v>
      </c>
      <c r="AI46" s="208">
        <f t="shared" si="2"/>
        <v>1.3693420164422867</v>
      </c>
      <c r="AJ46" s="208">
        <f t="shared" si="2"/>
        <v>1.4167288567711327</v>
      </c>
      <c r="AK46" s="208">
        <f t="shared" si="2"/>
        <v>1.4650634339065554</v>
      </c>
      <c r="AL46" s="208">
        <f t="shared" si="2"/>
        <v>1.5143647025846865</v>
      </c>
      <c r="AM46" s="208">
        <f t="shared" si="2"/>
        <v>1.5646519966363801</v>
      </c>
      <c r="AN46" s="208">
        <f t="shared" si="2"/>
        <v>1.6159450365691077</v>
      </c>
      <c r="AO46" s="208">
        <f t="shared" si="2"/>
        <v>1.6682639373004897</v>
      </c>
      <c r="AP46" s="208">
        <f t="shared" si="2"/>
        <v>1.7216292160464994</v>
      </c>
      <c r="AQ46" s="208">
        <f>(1+AP46)*(1+AQ45)-1</f>
        <v>1.7760618003674296</v>
      </c>
      <c r="AR46" s="208">
        <f>(1+AQ46)*(1+AR45)-1</f>
        <v>1.831583036374778</v>
      </c>
      <c r="AS46" s="280"/>
      <c r="AT46" s="280"/>
      <c r="AU46" s="281"/>
      <c r="AV46" s="281"/>
    </row>
    <row r="47" spans="1:48" s="279" customFormat="1" ht="16.5" thickBot="1" x14ac:dyDescent="0.25">
      <c r="A47" s="209" t="s">
        <v>502</v>
      </c>
      <c r="B47" s="210">
        <v>54171444.217242703</v>
      </c>
      <c r="C47" s="210">
        <v>761482081.29794395</v>
      </c>
      <c r="D47" s="210">
        <v>134379149.64081401</v>
      </c>
      <c r="E47" s="210"/>
      <c r="F47" s="210"/>
      <c r="G47" s="210"/>
      <c r="H47" s="210"/>
      <c r="I47" s="210"/>
      <c r="J47" s="210"/>
      <c r="K47" s="210"/>
      <c r="L47" s="210"/>
      <c r="M47" s="210"/>
      <c r="N47" s="210"/>
      <c r="O47" s="210"/>
      <c r="P47" s="210"/>
      <c r="Q47" s="210"/>
      <c r="R47" s="210"/>
      <c r="S47" s="211"/>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80"/>
      <c r="AT47" s="280"/>
      <c r="AU47" s="281"/>
      <c r="AV47" s="281"/>
    </row>
    <row r="48" spans="1:48" s="279" customFormat="1" ht="16.5" thickBot="1" x14ac:dyDescent="0.25">
      <c r="A48" s="175"/>
      <c r="B48" s="175"/>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5"/>
      <c r="AO48" s="175"/>
      <c r="AP48" s="175"/>
      <c r="AQ48" s="175"/>
      <c r="AR48" s="175"/>
      <c r="AS48" s="280"/>
      <c r="AT48" s="280"/>
      <c r="AU48" s="281"/>
      <c r="AV48" s="281"/>
    </row>
    <row r="49" spans="1:48" s="279" customFormat="1" x14ac:dyDescent="0.2">
      <c r="A49" s="212" t="s">
        <v>302</v>
      </c>
      <c r="B49" s="206">
        <f>B55</f>
        <v>1</v>
      </c>
      <c r="C49" s="206">
        <f t="shared" ref="C49:AR49" si="3">C55</f>
        <v>2</v>
      </c>
      <c r="D49" s="206">
        <f t="shared" si="3"/>
        <v>3</v>
      </c>
      <c r="E49" s="206">
        <f t="shared" si="3"/>
        <v>4</v>
      </c>
      <c r="F49" s="206">
        <f t="shared" si="3"/>
        <v>5</v>
      </c>
      <c r="G49" s="206">
        <f t="shared" si="3"/>
        <v>6</v>
      </c>
      <c r="H49" s="206">
        <f t="shared" si="3"/>
        <v>7</v>
      </c>
      <c r="I49" s="206">
        <f t="shared" si="3"/>
        <v>8</v>
      </c>
      <c r="J49" s="206">
        <f t="shared" si="3"/>
        <v>9</v>
      </c>
      <c r="K49" s="206">
        <f t="shared" si="3"/>
        <v>10</v>
      </c>
      <c r="L49" s="206">
        <f t="shared" si="3"/>
        <v>11</v>
      </c>
      <c r="M49" s="206">
        <f t="shared" si="3"/>
        <v>12</v>
      </c>
      <c r="N49" s="206">
        <f t="shared" si="3"/>
        <v>13</v>
      </c>
      <c r="O49" s="206">
        <f t="shared" si="3"/>
        <v>14</v>
      </c>
      <c r="P49" s="206">
        <f t="shared" si="3"/>
        <v>15</v>
      </c>
      <c r="Q49" s="206">
        <f t="shared" si="3"/>
        <v>16</v>
      </c>
      <c r="R49" s="206">
        <f t="shared" si="3"/>
        <v>17</v>
      </c>
      <c r="S49" s="206">
        <f t="shared" si="3"/>
        <v>18</v>
      </c>
      <c r="T49" s="206">
        <f t="shared" si="3"/>
        <v>19</v>
      </c>
      <c r="U49" s="206">
        <f t="shared" si="3"/>
        <v>20</v>
      </c>
      <c r="V49" s="206">
        <f t="shared" si="3"/>
        <v>21</v>
      </c>
      <c r="W49" s="206">
        <f t="shared" si="3"/>
        <v>22</v>
      </c>
      <c r="X49" s="206">
        <f t="shared" si="3"/>
        <v>23</v>
      </c>
      <c r="Y49" s="206">
        <f t="shared" si="3"/>
        <v>24</v>
      </c>
      <c r="Z49" s="206">
        <f t="shared" si="3"/>
        <v>25</v>
      </c>
      <c r="AA49" s="206">
        <f t="shared" si="3"/>
        <v>26</v>
      </c>
      <c r="AB49" s="206">
        <f t="shared" si="3"/>
        <v>27</v>
      </c>
      <c r="AC49" s="206">
        <f t="shared" si="3"/>
        <v>28</v>
      </c>
      <c r="AD49" s="206">
        <f t="shared" si="3"/>
        <v>29</v>
      </c>
      <c r="AE49" s="206">
        <f t="shared" si="3"/>
        <v>30</v>
      </c>
      <c r="AF49" s="206">
        <f t="shared" si="3"/>
        <v>31</v>
      </c>
      <c r="AG49" s="206">
        <f t="shared" si="3"/>
        <v>32</v>
      </c>
      <c r="AH49" s="206">
        <f t="shared" si="3"/>
        <v>33</v>
      </c>
      <c r="AI49" s="206">
        <f t="shared" si="3"/>
        <v>34</v>
      </c>
      <c r="AJ49" s="206">
        <f t="shared" si="3"/>
        <v>35</v>
      </c>
      <c r="AK49" s="206">
        <f t="shared" si="3"/>
        <v>36</v>
      </c>
      <c r="AL49" s="206">
        <f t="shared" si="3"/>
        <v>37</v>
      </c>
      <c r="AM49" s="206">
        <f t="shared" si="3"/>
        <v>38</v>
      </c>
      <c r="AN49" s="206">
        <f t="shared" si="3"/>
        <v>39</v>
      </c>
      <c r="AO49" s="206">
        <f t="shared" si="3"/>
        <v>40</v>
      </c>
      <c r="AP49" s="206">
        <f t="shared" si="3"/>
        <v>41</v>
      </c>
      <c r="AQ49" s="206">
        <f t="shared" si="3"/>
        <v>42</v>
      </c>
      <c r="AR49" s="206">
        <f t="shared" si="3"/>
        <v>43</v>
      </c>
      <c r="AS49" s="280"/>
      <c r="AT49" s="280"/>
      <c r="AU49" s="281"/>
      <c r="AV49" s="281"/>
    </row>
    <row r="50" spans="1:48" s="279" customFormat="1" x14ac:dyDescent="0.2">
      <c r="A50" s="207" t="s">
        <v>301</v>
      </c>
      <c r="B50" s="213">
        <v>0</v>
      </c>
      <c r="C50" s="213">
        <f t="shared" ref="C50:AP50" si="4">B50+B51-B52</f>
        <v>0</v>
      </c>
      <c r="D50" s="213">
        <f t="shared" si="4"/>
        <v>0</v>
      </c>
      <c r="E50" s="213">
        <f t="shared" si="4"/>
        <v>0</v>
      </c>
      <c r="F50" s="213">
        <f t="shared" si="4"/>
        <v>0</v>
      </c>
      <c r="G50" s="213">
        <f t="shared" si="4"/>
        <v>0</v>
      </c>
      <c r="H50" s="213">
        <f t="shared" si="4"/>
        <v>0</v>
      </c>
      <c r="I50" s="213">
        <f t="shared" si="4"/>
        <v>0</v>
      </c>
      <c r="J50" s="213">
        <f t="shared" si="4"/>
        <v>0</v>
      </c>
      <c r="K50" s="213">
        <f t="shared" si="4"/>
        <v>0</v>
      </c>
      <c r="L50" s="213">
        <f t="shared" si="4"/>
        <v>0</v>
      </c>
      <c r="M50" s="213">
        <f t="shared" si="4"/>
        <v>0</v>
      </c>
      <c r="N50" s="213">
        <f t="shared" si="4"/>
        <v>0</v>
      </c>
      <c r="O50" s="213">
        <f t="shared" si="4"/>
        <v>0</v>
      </c>
      <c r="P50" s="213">
        <f t="shared" si="4"/>
        <v>0</v>
      </c>
      <c r="Q50" s="213">
        <f t="shared" si="4"/>
        <v>0</v>
      </c>
      <c r="R50" s="213">
        <f t="shared" si="4"/>
        <v>0</v>
      </c>
      <c r="S50" s="213">
        <f t="shared" si="4"/>
        <v>0</v>
      </c>
      <c r="T50" s="213">
        <f t="shared" si="4"/>
        <v>0</v>
      </c>
      <c r="U50" s="213">
        <f t="shared" si="4"/>
        <v>0</v>
      </c>
      <c r="V50" s="213">
        <f t="shared" si="4"/>
        <v>0</v>
      </c>
      <c r="W50" s="213">
        <f t="shared" si="4"/>
        <v>0</v>
      </c>
      <c r="X50" s="213">
        <f t="shared" si="4"/>
        <v>0</v>
      </c>
      <c r="Y50" s="213">
        <f t="shared" si="4"/>
        <v>0</v>
      </c>
      <c r="Z50" s="213">
        <f t="shared" si="4"/>
        <v>0</v>
      </c>
      <c r="AA50" s="213">
        <f t="shared" si="4"/>
        <v>0</v>
      </c>
      <c r="AB50" s="213">
        <f t="shared" si="4"/>
        <v>0</v>
      </c>
      <c r="AC50" s="213">
        <f t="shared" si="4"/>
        <v>0</v>
      </c>
      <c r="AD50" s="213">
        <f t="shared" si="4"/>
        <v>0</v>
      </c>
      <c r="AE50" s="213">
        <f t="shared" si="4"/>
        <v>0</v>
      </c>
      <c r="AF50" s="213">
        <f t="shared" si="4"/>
        <v>0</v>
      </c>
      <c r="AG50" s="213">
        <f t="shared" si="4"/>
        <v>0</v>
      </c>
      <c r="AH50" s="213">
        <f t="shared" si="4"/>
        <v>0</v>
      </c>
      <c r="AI50" s="213">
        <f t="shared" si="4"/>
        <v>0</v>
      </c>
      <c r="AJ50" s="213">
        <f t="shared" si="4"/>
        <v>0</v>
      </c>
      <c r="AK50" s="213">
        <f t="shared" si="4"/>
        <v>0</v>
      </c>
      <c r="AL50" s="213">
        <f t="shared" si="4"/>
        <v>0</v>
      </c>
      <c r="AM50" s="213">
        <f t="shared" si="4"/>
        <v>0</v>
      </c>
      <c r="AN50" s="213">
        <f t="shared" si="4"/>
        <v>0</v>
      </c>
      <c r="AO50" s="213">
        <f t="shared" si="4"/>
        <v>0</v>
      </c>
      <c r="AP50" s="213">
        <f t="shared" si="4"/>
        <v>0</v>
      </c>
      <c r="AQ50" s="213">
        <f>AP50+AP51-AP52</f>
        <v>0</v>
      </c>
      <c r="AR50" s="213">
        <f>AQ50+AQ51-AQ52</f>
        <v>0</v>
      </c>
      <c r="AS50" s="280"/>
      <c r="AT50" s="280"/>
      <c r="AU50" s="281"/>
      <c r="AV50" s="281"/>
    </row>
    <row r="51" spans="1:48" s="279" customFormat="1" x14ac:dyDescent="0.2">
      <c r="A51" s="207" t="s">
        <v>300</v>
      </c>
      <c r="B51" s="213">
        <f>B22*B25*B40*1.18</f>
        <v>0</v>
      </c>
      <c r="C51" s="213">
        <v>0</v>
      </c>
      <c r="D51" s="213">
        <v>0</v>
      </c>
      <c r="E51" s="213">
        <v>0</v>
      </c>
      <c r="F51" s="213">
        <v>0</v>
      </c>
      <c r="G51" s="213">
        <v>0</v>
      </c>
      <c r="H51" s="213">
        <v>0</v>
      </c>
      <c r="I51" s="213">
        <v>0</v>
      </c>
      <c r="J51" s="213">
        <v>0</v>
      </c>
      <c r="K51" s="213">
        <v>0</v>
      </c>
      <c r="L51" s="213">
        <v>0</v>
      </c>
      <c r="M51" s="213">
        <v>0</v>
      </c>
      <c r="N51" s="213">
        <v>0</v>
      </c>
      <c r="O51" s="213">
        <v>0</v>
      </c>
      <c r="P51" s="213">
        <v>0</v>
      </c>
      <c r="Q51" s="213">
        <v>0</v>
      </c>
      <c r="R51" s="213">
        <v>0</v>
      </c>
      <c r="S51" s="213">
        <v>0</v>
      </c>
      <c r="T51" s="213">
        <v>0</v>
      </c>
      <c r="U51" s="213">
        <v>0</v>
      </c>
      <c r="V51" s="213">
        <v>0</v>
      </c>
      <c r="W51" s="213">
        <v>0</v>
      </c>
      <c r="X51" s="213">
        <v>0</v>
      </c>
      <c r="Y51" s="213">
        <v>0</v>
      </c>
      <c r="Z51" s="213">
        <v>0</v>
      </c>
      <c r="AA51" s="213">
        <v>0</v>
      </c>
      <c r="AB51" s="213">
        <v>0</v>
      </c>
      <c r="AC51" s="213">
        <v>0</v>
      </c>
      <c r="AD51" s="213">
        <v>0</v>
      </c>
      <c r="AE51" s="213">
        <v>0</v>
      </c>
      <c r="AF51" s="213">
        <v>0</v>
      </c>
      <c r="AG51" s="213">
        <v>0</v>
      </c>
      <c r="AH51" s="213">
        <v>0</v>
      </c>
      <c r="AI51" s="213">
        <v>0</v>
      </c>
      <c r="AJ51" s="213">
        <v>0</v>
      </c>
      <c r="AK51" s="213">
        <v>0</v>
      </c>
      <c r="AL51" s="213">
        <v>0</v>
      </c>
      <c r="AM51" s="213">
        <v>0</v>
      </c>
      <c r="AN51" s="213">
        <v>0</v>
      </c>
      <c r="AO51" s="213">
        <v>0</v>
      </c>
      <c r="AP51" s="213">
        <v>0</v>
      </c>
      <c r="AQ51" s="213">
        <v>0</v>
      </c>
      <c r="AR51" s="213">
        <v>0</v>
      </c>
      <c r="AS51" s="280"/>
      <c r="AT51" s="280"/>
      <c r="AU51" s="281"/>
      <c r="AV51" s="281"/>
    </row>
    <row r="52" spans="1:48" s="279" customFormat="1" x14ac:dyDescent="0.2">
      <c r="A52" s="207" t="s">
        <v>299</v>
      </c>
      <c r="B52" s="213">
        <f>$B$51/$B$37</f>
        <v>0</v>
      </c>
      <c r="C52" s="213">
        <f t="shared" ref="C52:AP52" si="5">IF(ROUND(C50,1)=0,0,B52+C51/$B$33)</f>
        <v>0</v>
      </c>
      <c r="D52" s="213">
        <f t="shared" si="5"/>
        <v>0</v>
      </c>
      <c r="E52" s="213">
        <f t="shared" si="5"/>
        <v>0</v>
      </c>
      <c r="F52" s="213">
        <f t="shared" si="5"/>
        <v>0</v>
      </c>
      <c r="G52" s="213">
        <f t="shared" si="5"/>
        <v>0</v>
      </c>
      <c r="H52" s="213">
        <f t="shared" si="5"/>
        <v>0</v>
      </c>
      <c r="I52" s="213">
        <f t="shared" si="5"/>
        <v>0</v>
      </c>
      <c r="J52" s="213">
        <f t="shared" si="5"/>
        <v>0</v>
      </c>
      <c r="K52" s="213">
        <f t="shared" si="5"/>
        <v>0</v>
      </c>
      <c r="L52" s="213">
        <f t="shared" si="5"/>
        <v>0</v>
      </c>
      <c r="M52" s="213">
        <f t="shared" si="5"/>
        <v>0</v>
      </c>
      <c r="N52" s="213">
        <f t="shared" si="5"/>
        <v>0</v>
      </c>
      <c r="O52" s="213">
        <f t="shared" si="5"/>
        <v>0</v>
      </c>
      <c r="P52" s="213">
        <f t="shared" si="5"/>
        <v>0</v>
      </c>
      <c r="Q52" s="213">
        <f t="shared" si="5"/>
        <v>0</v>
      </c>
      <c r="R52" s="213">
        <f t="shared" si="5"/>
        <v>0</v>
      </c>
      <c r="S52" s="213">
        <f t="shared" si="5"/>
        <v>0</v>
      </c>
      <c r="T52" s="213">
        <f t="shared" si="5"/>
        <v>0</v>
      </c>
      <c r="U52" s="213">
        <f t="shared" si="5"/>
        <v>0</v>
      </c>
      <c r="V52" s="213">
        <f t="shared" si="5"/>
        <v>0</v>
      </c>
      <c r="W52" s="213">
        <f t="shared" si="5"/>
        <v>0</v>
      </c>
      <c r="X52" s="213">
        <f t="shared" si="5"/>
        <v>0</v>
      </c>
      <c r="Y52" s="213">
        <f t="shared" si="5"/>
        <v>0</v>
      </c>
      <c r="Z52" s="213">
        <f t="shared" si="5"/>
        <v>0</v>
      </c>
      <c r="AA52" s="213">
        <f t="shared" si="5"/>
        <v>0</v>
      </c>
      <c r="AB52" s="213">
        <f t="shared" si="5"/>
        <v>0</v>
      </c>
      <c r="AC52" s="213">
        <f t="shared" si="5"/>
        <v>0</v>
      </c>
      <c r="AD52" s="213">
        <f t="shared" si="5"/>
        <v>0</v>
      </c>
      <c r="AE52" s="213">
        <f t="shared" si="5"/>
        <v>0</v>
      </c>
      <c r="AF52" s="213">
        <f t="shared" si="5"/>
        <v>0</v>
      </c>
      <c r="AG52" s="213">
        <f t="shared" si="5"/>
        <v>0</v>
      </c>
      <c r="AH52" s="213">
        <f t="shared" si="5"/>
        <v>0</v>
      </c>
      <c r="AI52" s="213">
        <f t="shared" si="5"/>
        <v>0</v>
      </c>
      <c r="AJ52" s="213">
        <f t="shared" si="5"/>
        <v>0</v>
      </c>
      <c r="AK52" s="213">
        <f t="shared" si="5"/>
        <v>0</v>
      </c>
      <c r="AL52" s="213">
        <f t="shared" si="5"/>
        <v>0</v>
      </c>
      <c r="AM52" s="213">
        <f t="shared" si="5"/>
        <v>0</v>
      </c>
      <c r="AN52" s="213">
        <f t="shared" si="5"/>
        <v>0</v>
      </c>
      <c r="AO52" s="213">
        <f t="shared" si="5"/>
        <v>0</v>
      </c>
      <c r="AP52" s="213">
        <f t="shared" si="5"/>
        <v>0</v>
      </c>
      <c r="AQ52" s="213">
        <f>IF(ROUND(AQ50,1)=0,0,AP52+AQ51/$B$33)</f>
        <v>0</v>
      </c>
      <c r="AR52" s="213">
        <f>IF(ROUND(AR50,1)=0,0,AQ52+AR51/$B$33)</f>
        <v>0</v>
      </c>
      <c r="AS52" s="280"/>
      <c r="AT52" s="280"/>
      <c r="AU52" s="281"/>
      <c r="AV52" s="281"/>
    </row>
    <row r="53" spans="1:48" s="279" customFormat="1" ht="16.5" thickBot="1" x14ac:dyDescent="0.25">
      <c r="A53" s="209" t="s">
        <v>298</v>
      </c>
      <c r="B53" s="210">
        <f t="shared" ref="B53:AP53" si="6">AVERAGE(SUM(B50:B51),(SUM(B50:B51)-B52))*$B$35</f>
        <v>0</v>
      </c>
      <c r="C53" s="210">
        <f t="shared" si="6"/>
        <v>0</v>
      </c>
      <c r="D53" s="210">
        <f t="shared" si="6"/>
        <v>0</v>
      </c>
      <c r="E53" s="210">
        <f t="shared" si="6"/>
        <v>0</v>
      </c>
      <c r="F53" s="210">
        <f t="shared" si="6"/>
        <v>0</v>
      </c>
      <c r="G53" s="210">
        <f t="shared" si="6"/>
        <v>0</v>
      </c>
      <c r="H53" s="210">
        <f t="shared" si="6"/>
        <v>0</v>
      </c>
      <c r="I53" s="210">
        <f t="shared" si="6"/>
        <v>0</v>
      </c>
      <c r="J53" s="210">
        <f t="shared" si="6"/>
        <v>0</v>
      </c>
      <c r="K53" s="210">
        <f t="shared" si="6"/>
        <v>0</v>
      </c>
      <c r="L53" s="210">
        <f t="shared" si="6"/>
        <v>0</v>
      </c>
      <c r="M53" s="210">
        <f t="shared" si="6"/>
        <v>0</v>
      </c>
      <c r="N53" s="210">
        <f t="shared" si="6"/>
        <v>0</v>
      </c>
      <c r="O53" s="210">
        <f t="shared" si="6"/>
        <v>0</v>
      </c>
      <c r="P53" s="210">
        <f t="shared" si="6"/>
        <v>0</v>
      </c>
      <c r="Q53" s="210">
        <f t="shared" si="6"/>
        <v>0</v>
      </c>
      <c r="R53" s="210">
        <f t="shared" si="6"/>
        <v>0</v>
      </c>
      <c r="S53" s="210">
        <f t="shared" si="6"/>
        <v>0</v>
      </c>
      <c r="T53" s="210">
        <f t="shared" si="6"/>
        <v>0</v>
      </c>
      <c r="U53" s="210">
        <f t="shared" si="6"/>
        <v>0</v>
      </c>
      <c r="V53" s="210">
        <f t="shared" si="6"/>
        <v>0</v>
      </c>
      <c r="W53" s="210">
        <f t="shared" si="6"/>
        <v>0</v>
      </c>
      <c r="X53" s="210">
        <f t="shared" si="6"/>
        <v>0</v>
      </c>
      <c r="Y53" s="210">
        <f t="shared" si="6"/>
        <v>0</v>
      </c>
      <c r="Z53" s="210">
        <f t="shared" si="6"/>
        <v>0</v>
      </c>
      <c r="AA53" s="210">
        <f t="shared" si="6"/>
        <v>0</v>
      </c>
      <c r="AB53" s="210">
        <f t="shared" si="6"/>
        <v>0</v>
      </c>
      <c r="AC53" s="210">
        <f t="shared" si="6"/>
        <v>0</v>
      </c>
      <c r="AD53" s="210">
        <f t="shared" si="6"/>
        <v>0</v>
      </c>
      <c r="AE53" s="210">
        <f t="shared" si="6"/>
        <v>0</v>
      </c>
      <c r="AF53" s="210">
        <f t="shared" si="6"/>
        <v>0</v>
      </c>
      <c r="AG53" s="210">
        <f t="shared" si="6"/>
        <v>0</v>
      </c>
      <c r="AH53" s="210">
        <f t="shared" si="6"/>
        <v>0</v>
      </c>
      <c r="AI53" s="210">
        <f t="shared" si="6"/>
        <v>0</v>
      </c>
      <c r="AJ53" s="210">
        <f t="shared" si="6"/>
        <v>0</v>
      </c>
      <c r="AK53" s="210">
        <f t="shared" si="6"/>
        <v>0</v>
      </c>
      <c r="AL53" s="210">
        <f t="shared" si="6"/>
        <v>0</v>
      </c>
      <c r="AM53" s="210">
        <f t="shared" si="6"/>
        <v>0</v>
      </c>
      <c r="AN53" s="210">
        <f t="shared" si="6"/>
        <v>0</v>
      </c>
      <c r="AO53" s="210">
        <f t="shared" si="6"/>
        <v>0</v>
      </c>
      <c r="AP53" s="210">
        <f t="shared" si="6"/>
        <v>0</v>
      </c>
      <c r="AQ53" s="210">
        <f>AVERAGE(SUM(AQ50:AQ51),(SUM(AQ50:AQ51)-AQ52))*$B$35</f>
        <v>0</v>
      </c>
      <c r="AR53" s="210">
        <f>AVERAGE(SUM(AR50:AR51),(SUM(AR50:AR51)-AR52))*$B$35</f>
        <v>0</v>
      </c>
      <c r="AS53" s="280"/>
      <c r="AT53" s="280"/>
      <c r="AU53" s="281"/>
      <c r="AV53" s="281"/>
    </row>
    <row r="54" spans="1:48" s="279" customFormat="1" ht="16.5" thickBot="1" x14ac:dyDescent="0.25">
      <c r="A54" s="215"/>
      <c r="B54" s="216">
        <v>2</v>
      </c>
      <c r="C54" s="216">
        <f>B54+1</f>
        <v>3</v>
      </c>
      <c r="D54" s="216">
        <f>C54+1</f>
        <v>4</v>
      </c>
      <c r="E54" s="216">
        <f t="shared" ref="E54:AR55" si="7">D54+1</f>
        <v>5</v>
      </c>
      <c r="F54" s="216">
        <f t="shared" si="7"/>
        <v>6</v>
      </c>
      <c r="G54" s="216">
        <f t="shared" si="7"/>
        <v>7</v>
      </c>
      <c r="H54" s="216">
        <f t="shared" si="7"/>
        <v>8</v>
      </c>
      <c r="I54" s="216">
        <f t="shared" si="7"/>
        <v>9</v>
      </c>
      <c r="J54" s="216">
        <f t="shared" si="7"/>
        <v>10</v>
      </c>
      <c r="K54" s="216">
        <f t="shared" si="7"/>
        <v>11</v>
      </c>
      <c r="L54" s="216">
        <f t="shared" si="7"/>
        <v>12</v>
      </c>
      <c r="M54" s="216">
        <f t="shared" si="7"/>
        <v>13</v>
      </c>
      <c r="N54" s="216">
        <f t="shared" si="7"/>
        <v>14</v>
      </c>
      <c r="O54" s="216">
        <f t="shared" si="7"/>
        <v>15</v>
      </c>
      <c r="P54" s="216">
        <f t="shared" si="7"/>
        <v>16</v>
      </c>
      <c r="Q54" s="216">
        <f t="shared" si="7"/>
        <v>17</v>
      </c>
      <c r="R54" s="216">
        <f t="shared" si="7"/>
        <v>18</v>
      </c>
      <c r="S54" s="216">
        <f t="shared" si="7"/>
        <v>19</v>
      </c>
      <c r="T54" s="216">
        <f t="shared" si="7"/>
        <v>20</v>
      </c>
      <c r="U54" s="216">
        <f t="shared" si="7"/>
        <v>21</v>
      </c>
      <c r="V54" s="216">
        <f t="shared" si="7"/>
        <v>22</v>
      </c>
      <c r="W54" s="216">
        <f t="shared" si="7"/>
        <v>23</v>
      </c>
      <c r="X54" s="216">
        <f t="shared" si="7"/>
        <v>24</v>
      </c>
      <c r="Y54" s="216">
        <f t="shared" si="7"/>
        <v>25</v>
      </c>
      <c r="Z54" s="216">
        <f t="shared" si="7"/>
        <v>26</v>
      </c>
      <c r="AA54" s="216">
        <f t="shared" si="7"/>
        <v>27</v>
      </c>
      <c r="AB54" s="216">
        <f t="shared" si="7"/>
        <v>28</v>
      </c>
      <c r="AC54" s="216">
        <f t="shared" si="7"/>
        <v>29</v>
      </c>
      <c r="AD54" s="216">
        <f t="shared" si="7"/>
        <v>30</v>
      </c>
      <c r="AE54" s="216">
        <f t="shared" si="7"/>
        <v>31</v>
      </c>
      <c r="AF54" s="216">
        <f t="shared" si="7"/>
        <v>32</v>
      </c>
      <c r="AG54" s="216">
        <f t="shared" si="7"/>
        <v>33</v>
      </c>
      <c r="AH54" s="216">
        <f t="shared" si="7"/>
        <v>34</v>
      </c>
      <c r="AI54" s="216">
        <f t="shared" si="7"/>
        <v>35</v>
      </c>
      <c r="AJ54" s="216">
        <f t="shared" si="7"/>
        <v>36</v>
      </c>
      <c r="AK54" s="216">
        <f t="shared" si="7"/>
        <v>37</v>
      </c>
      <c r="AL54" s="216">
        <f t="shared" si="7"/>
        <v>38</v>
      </c>
      <c r="AM54" s="216">
        <f t="shared" si="7"/>
        <v>39</v>
      </c>
      <c r="AN54" s="216">
        <f t="shared" si="7"/>
        <v>40</v>
      </c>
      <c r="AO54" s="216">
        <f t="shared" si="7"/>
        <v>41</v>
      </c>
      <c r="AP54" s="216">
        <f t="shared" si="7"/>
        <v>42</v>
      </c>
      <c r="AQ54" s="216">
        <f t="shared" si="7"/>
        <v>43</v>
      </c>
      <c r="AR54" s="216">
        <f t="shared" si="7"/>
        <v>44</v>
      </c>
      <c r="AS54" s="280"/>
      <c r="AT54" s="280"/>
      <c r="AU54" s="281"/>
      <c r="AV54" s="281"/>
    </row>
    <row r="55" spans="1:48" s="279" customFormat="1" x14ac:dyDescent="0.2">
      <c r="A55" s="212" t="s">
        <v>503</v>
      </c>
      <c r="B55" s="206">
        <v>1</v>
      </c>
      <c r="C55" s="206">
        <f>B55+1</f>
        <v>2</v>
      </c>
      <c r="D55" s="206">
        <f t="shared" ref="D55:AC55" si="8">C55+1</f>
        <v>3</v>
      </c>
      <c r="E55" s="206">
        <f t="shared" si="8"/>
        <v>4</v>
      </c>
      <c r="F55" s="206">
        <f t="shared" si="8"/>
        <v>5</v>
      </c>
      <c r="G55" s="206">
        <f t="shared" si="8"/>
        <v>6</v>
      </c>
      <c r="H55" s="206">
        <f t="shared" si="8"/>
        <v>7</v>
      </c>
      <c r="I55" s="206">
        <f t="shared" si="8"/>
        <v>8</v>
      </c>
      <c r="J55" s="206">
        <f t="shared" si="8"/>
        <v>9</v>
      </c>
      <c r="K55" s="206">
        <f t="shared" si="8"/>
        <v>10</v>
      </c>
      <c r="L55" s="206">
        <f t="shared" si="8"/>
        <v>11</v>
      </c>
      <c r="M55" s="206">
        <f t="shared" si="8"/>
        <v>12</v>
      </c>
      <c r="N55" s="206">
        <f t="shared" si="8"/>
        <v>13</v>
      </c>
      <c r="O55" s="206">
        <f t="shared" si="8"/>
        <v>14</v>
      </c>
      <c r="P55" s="206">
        <f t="shared" si="8"/>
        <v>15</v>
      </c>
      <c r="Q55" s="206">
        <f t="shared" si="8"/>
        <v>16</v>
      </c>
      <c r="R55" s="206">
        <f t="shared" si="8"/>
        <v>17</v>
      </c>
      <c r="S55" s="206">
        <f t="shared" si="8"/>
        <v>18</v>
      </c>
      <c r="T55" s="206">
        <f t="shared" si="8"/>
        <v>19</v>
      </c>
      <c r="U55" s="206">
        <f t="shared" si="8"/>
        <v>20</v>
      </c>
      <c r="V55" s="206">
        <f t="shared" si="8"/>
        <v>21</v>
      </c>
      <c r="W55" s="206">
        <f t="shared" si="8"/>
        <v>22</v>
      </c>
      <c r="X55" s="206">
        <f t="shared" si="8"/>
        <v>23</v>
      </c>
      <c r="Y55" s="206">
        <f t="shared" si="8"/>
        <v>24</v>
      </c>
      <c r="Z55" s="206">
        <f t="shared" si="8"/>
        <v>25</v>
      </c>
      <c r="AA55" s="206">
        <f t="shared" si="8"/>
        <v>26</v>
      </c>
      <c r="AB55" s="206">
        <f t="shared" si="8"/>
        <v>27</v>
      </c>
      <c r="AC55" s="206">
        <f t="shared" si="8"/>
        <v>28</v>
      </c>
      <c r="AD55" s="206">
        <f t="shared" si="7"/>
        <v>29</v>
      </c>
      <c r="AE55" s="206">
        <f t="shared" si="7"/>
        <v>30</v>
      </c>
      <c r="AF55" s="206">
        <f t="shared" si="7"/>
        <v>31</v>
      </c>
      <c r="AG55" s="206">
        <f t="shared" si="7"/>
        <v>32</v>
      </c>
      <c r="AH55" s="206">
        <f t="shared" si="7"/>
        <v>33</v>
      </c>
      <c r="AI55" s="206">
        <f t="shared" si="7"/>
        <v>34</v>
      </c>
      <c r="AJ55" s="206">
        <f t="shared" si="7"/>
        <v>35</v>
      </c>
      <c r="AK55" s="206">
        <f t="shared" si="7"/>
        <v>36</v>
      </c>
      <c r="AL55" s="206">
        <f t="shared" si="7"/>
        <v>37</v>
      </c>
      <c r="AM55" s="206">
        <f t="shared" si="7"/>
        <v>38</v>
      </c>
      <c r="AN55" s="206">
        <f t="shared" si="7"/>
        <v>39</v>
      </c>
      <c r="AO55" s="206">
        <f t="shared" si="7"/>
        <v>40</v>
      </c>
      <c r="AP55" s="206">
        <f t="shared" si="7"/>
        <v>41</v>
      </c>
      <c r="AQ55" s="206">
        <f>AP55+1</f>
        <v>42</v>
      </c>
      <c r="AR55" s="206">
        <f>AQ55+1</f>
        <v>43</v>
      </c>
      <c r="AS55" s="280"/>
      <c r="AT55" s="280"/>
      <c r="AU55" s="281"/>
      <c r="AV55" s="281"/>
    </row>
    <row r="56" spans="1:48" s="279" customFormat="1" ht="14.25" x14ac:dyDescent="0.2">
      <c r="A56" s="217" t="s">
        <v>297</v>
      </c>
      <c r="B56" s="218">
        <f>B47*$B$25</f>
        <v>54171444.217242703</v>
      </c>
      <c r="C56" s="218">
        <f t="shared" ref="C56:AR56" si="9">C47*$B$25</f>
        <v>761482081.29794395</v>
      </c>
      <c r="D56" s="218">
        <f t="shared" si="9"/>
        <v>134379149.64081401</v>
      </c>
      <c r="E56" s="218">
        <f t="shared" si="9"/>
        <v>0</v>
      </c>
      <c r="F56" s="218">
        <f t="shared" si="9"/>
        <v>0</v>
      </c>
      <c r="G56" s="218">
        <f t="shared" si="9"/>
        <v>0</v>
      </c>
      <c r="H56" s="218">
        <f t="shared" si="9"/>
        <v>0</v>
      </c>
      <c r="I56" s="218">
        <f t="shared" si="9"/>
        <v>0</v>
      </c>
      <c r="J56" s="218">
        <f t="shared" si="9"/>
        <v>0</v>
      </c>
      <c r="K56" s="218">
        <f t="shared" si="9"/>
        <v>0</v>
      </c>
      <c r="L56" s="218">
        <f t="shared" si="9"/>
        <v>0</v>
      </c>
      <c r="M56" s="218">
        <f t="shared" si="9"/>
        <v>0</v>
      </c>
      <c r="N56" s="218">
        <f t="shared" si="9"/>
        <v>0</v>
      </c>
      <c r="O56" s="218">
        <f t="shared" si="9"/>
        <v>0</v>
      </c>
      <c r="P56" s="218">
        <f t="shared" si="9"/>
        <v>0</v>
      </c>
      <c r="Q56" s="218">
        <f t="shared" si="9"/>
        <v>0</v>
      </c>
      <c r="R56" s="218">
        <f t="shared" si="9"/>
        <v>0</v>
      </c>
      <c r="S56" s="218">
        <f t="shared" si="9"/>
        <v>0</v>
      </c>
      <c r="T56" s="218">
        <f t="shared" si="9"/>
        <v>0</v>
      </c>
      <c r="U56" s="218">
        <f t="shared" si="9"/>
        <v>0</v>
      </c>
      <c r="V56" s="218">
        <f t="shared" si="9"/>
        <v>0</v>
      </c>
      <c r="W56" s="218">
        <f t="shared" si="9"/>
        <v>0</v>
      </c>
      <c r="X56" s="218">
        <f t="shared" si="9"/>
        <v>0</v>
      </c>
      <c r="Y56" s="218">
        <f t="shared" si="9"/>
        <v>0</v>
      </c>
      <c r="Z56" s="218">
        <f t="shared" si="9"/>
        <v>0</v>
      </c>
      <c r="AA56" s="218">
        <f t="shared" si="9"/>
        <v>0</v>
      </c>
      <c r="AB56" s="218">
        <f t="shared" si="9"/>
        <v>0</v>
      </c>
      <c r="AC56" s="218">
        <f t="shared" si="9"/>
        <v>0</v>
      </c>
      <c r="AD56" s="218">
        <f t="shared" si="9"/>
        <v>0</v>
      </c>
      <c r="AE56" s="218">
        <f t="shared" si="9"/>
        <v>0</v>
      </c>
      <c r="AF56" s="218">
        <f t="shared" si="9"/>
        <v>0</v>
      </c>
      <c r="AG56" s="218">
        <f t="shared" si="9"/>
        <v>0</v>
      </c>
      <c r="AH56" s="218">
        <f t="shared" si="9"/>
        <v>0</v>
      </c>
      <c r="AI56" s="218">
        <f t="shared" si="9"/>
        <v>0</v>
      </c>
      <c r="AJ56" s="218">
        <f t="shared" si="9"/>
        <v>0</v>
      </c>
      <c r="AK56" s="218">
        <f t="shared" si="9"/>
        <v>0</v>
      </c>
      <c r="AL56" s="218">
        <f t="shared" si="9"/>
        <v>0</v>
      </c>
      <c r="AM56" s="218">
        <f t="shared" si="9"/>
        <v>0</v>
      </c>
      <c r="AN56" s="218">
        <f t="shared" si="9"/>
        <v>0</v>
      </c>
      <c r="AO56" s="218">
        <f t="shared" si="9"/>
        <v>0</v>
      </c>
      <c r="AP56" s="218">
        <f t="shared" si="9"/>
        <v>0</v>
      </c>
      <c r="AQ56" s="218">
        <f t="shared" si="9"/>
        <v>0</v>
      </c>
      <c r="AR56" s="218">
        <f t="shared" si="9"/>
        <v>0</v>
      </c>
      <c r="AS56" s="280"/>
      <c r="AT56" s="280"/>
      <c r="AU56" s="281"/>
      <c r="AV56" s="281"/>
    </row>
    <row r="57" spans="1:48" s="279" customFormat="1" x14ac:dyDescent="0.2">
      <c r="A57" s="207" t="s">
        <v>296</v>
      </c>
      <c r="B57" s="213">
        <f>SUM(B58:B63)</f>
        <v>0</v>
      </c>
      <c r="C57" s="213">
        <f>SUM(C58:C63)</f>
        <v>0</v>
      </c>
      <c r="D57" s="213"/>
      <c r="E57" s="213">
        <f>SUM(E58:E63)</f>
        <v>-250604.98582553273</v>
      </c>
      <c r="F57" s="213">
        <f t="shared" ref="F57:T57" si="10">SUM(F58:F63)</f>
        <v>-258624.34537194975</v>
      </c>
      <c r="G57" s="213">
        <f t="shared" si="10"/>
        <v>-1063463.3081694574</v>
      </c>
      <c r="H57" s="213">
        <f t="shared" si="10"/>
        <v>-273044.20437250816</v>
      </c>
      <c r="I57" s="213">
        <f t="shared" si="10"/>
        <v>-280416.3978905658</v>
      </c>
      <c r="J57" s="213">
        <f t="shared" si="10"/>
        <v>-1149707.2313513199</v>
      </c>
      <c r="K57" s="213">
        <f t="shared" si="10"/>
        <v>-294037.62441810005</v>
      </c>
      <c r="L57" s="213">
        <f t="shared" si="10"/>
        <v>-300506.45215529826</v>
      </c>
      <c r="M57" s="213">
        <f t="shared" si="10"/>
        <v>-1226066.3247936168</v>
      </c>
      <c r="N57" s="213">
        <f t="shared" si="10"/>
        <v>-312646.91282237228</v>
      </c>
      <c r="O57" s="213">
        <f t="shared" si="10"/>
        <v>-318899.85107881972</v>
      </c>
      <c r="P57" s="213">
        <f t="shared" si="10"/>
        <v>-1301111.3924015844</v>
      </c>
      <c r="Q57" s="213">
        <f t="shared" si="10"/>
        <v>-331783.40506240405</v>
      </c>
      <c r="R57" s="213">
        <f t="shared" si="10"/>
        <v>-338419.07316365215</v>
      </c>
      <c r="S57" s="213">
        <f t="shared" si="10"/>
        <v>-1380749.8185077007</v>
      </c>
      <c r="T57" s="213">
        <f t="shared" si="10"/>
        <v>-352091.20371946367</v>
      </c>
      <c r="U57" s="213">
        <f t="shared" ref="U57:AN57" si="11">SUM(U58:U63)</f>
        <v>-359133.02779385296</v>
      </c>
      <c r="V57" s="213">
        <f t="shared" si="11"/>
        <v>-1465262.7533989202</v>
      </c>
      <c r="W57" s="213">
        <f t="shared" si="11"/>
        <v>-373642.00211672467</v>
      </c>
      <c r="X57" s="213">
        <f t="shared" si="11"/>
        <v>-381114.84215905913</v>
      </c>
      <c r="Y57" s="213">
        <f t="shared" si="11"/>
        <v>-1554948.5560089615</v>
      </c>
      <c r="Z57" s="213">
        <f t="shared" si="11"/>
        <v>-396511.88178228517</v>
      </c>
      <c r="AA57" s="213">
        <f t="shared" si="11"/>
        <v>-404442.11941793089</v>
      </c>
      <c r="AB57" s="213">
        <f t="shared" si="11"/>
        <v>-1650123.847225158</v>
      </c>
      <c r="AC57" s="213">
        <f t="shared" si="11"/>
        <v>-420781.58104241529</v>
      </c>
      <c r="AD57" s="213">
        <f t="shared" si="11"/>
        <v>-429197.21266326361</v>
      </c>
      <c r="AE57" s="213">
        <f t="shared" si="11"/>
        <v>-1751124.6276661158</v>
      </c>
      <c r="AF57" s="213">
        <f t="shared" si="11"/>
        <v>-446536.78005485953</v>
      </c>
      <c r="AG57" s="213">
        <f t="shared" si="11"/>
        <v>-455467.51565595664</v>
      </c>
      <c r="AH57" s="213">
        <f t="shared" si="11"/>
        <v>-1858307.4638763033</v>
      </c>
      <c r="AI57" s="213">
        <f t="shared" si="11"/>
        <v>-473868.40328845737</v>
      </c>
      <c r="AJ57" s="213">
        <f t="shared" si="11"/>
        <v>-483345.77135422651</v>
      </c>
      <c r="AK57" s="213">
        <f t="shared" si="11"/>
        <v>-1972050.7471252442</v>
      </c>
      <c r="AL57" s="213">
        <f t="shared" si="11"/>
        <v>-502872.94051693729</v>
      </c>
      <c r="AM57" s="213">
        <f t="shared" si="11"/>
        <v>-512930.39932727604</v>
      </c>
      <c r="AN57" s="213">
        <f t="shared" si="11"/>
        <v>-2092756.0292552861</v>
      </c>
      <c r="AO57" s="213">
        <f>SUM(AO58:AO63)</f>
        <v>-533652.78746009793</v>
      </c>
      <c r="AP57" s="213">
        <f>SUM(AP58:AP63)</f>
        <v>-544325.84320929984</v>
      </c>
      <c r="AQ57" s="213">
        <f>SUM(AQ58:AQ63)</f>
        <v>-2220849.4402939435</v>
      </c>
      <c r="AR57" s="213">
        <f>SUM(AR58:AR63)</f>
        <v>-566316.6072749556</v>
      </c>
      <c r="AS57" s="280"/>
      <c r="AT57" s="280"/>
      <c r="AU57" s="281"/>
      <c r="AV57" s="281"/>
    </row>
    <row r="58" spans="1:48" s="279" customFormat="1" x14ac:dyDescent="0.2">
      <c r="A58" s="219" t="s">
        <v>295</v>
      </c>
      <c r="B58" s="213"/>
      <c r="C58" s="213"/>
      <c r="D58" s="213"/>
      <c r="E58" s="213">
        <v>0</v>
      </c>
      <c r="F58" s="213">
        <v>0</v>
      </c>
      <c r="G58" s="213">
        <f>-IF(G$44&lt;=$B$27,0,$B$26*(1+G$46)*$B$25)</f>
        <v>-797597.48112709308</v>
      </c>
      <c r="H58" s="213">
        <v>0</v>
      </c>
      <c r="I58" s="213">
        <v>0</v>
      </c>
      <c r="J58" s="213">
        <f t="shared" ref="J58:AQ58" si="12">-IF(J$44&lt;=$B$27,0,$B$26*(1+J$46)*$B$25)</f>
        <v>-862280.42351348989</v>
      </c>
      <c r="K58" s="213">
        <v>0</v>
      </c>
      <c r="L58" s="213">
        <v>0</v>
      </c>
      <c r="M58" s="213">
        <f t="shared" si="12"/>
        <v>-919549.7435952127</v>
      </c>
      <c r="N58" s="213">
        <v>0</v>
      </c>
      <c r="O58" s="213">
        <v>0</v>
      </c>
      <c r="P58" s="213">
        <f t="shared" si="12"/>
        <v>-975833.54430118843</v>
      </c>
      <c r="Q58" s="213">
        <v>0</v>
      </c>
      <c r="R58" s="213">
        <v>0</v>
      </c>
      <c r="S58" s="213">
        <f t="shared" si="12"/>
        <v>-1035562.3638807755</v>
      </c>
      <c r="T58" s="213">
        <v>0</v>
      </c>
      <c r="U58" s="213">
        <v>0</v>
      </c>
      <c r="V58" s="213">
        <f t="shared" si="12"/>
        <v>-1098947.0650491901</v>
      </c>
      <c r="W58" s="213">
        <v>0</v>
      </c>
      <c r="X58" s="213">
        <v>0</v>
      </c>
      <c r="Y58" s="213">
        <f t="shared" si="12"/>
        <v>-1166211.417006721</v>
      </c>
      <c r="Z58" s="213">
        <v>0</v>
      </c>
      <c r="AA58" s="213">
        <v>0</v>
      </c>
      <c r="AB58" s="213">
        <f t="shared" si="12"/>
        <v>-1237592.8854188684</v>
      </c>
      <c r="AC58" s="213">
        <v>0</v>
      </c>
      <c r="AD58" s="213">
        <v>0</v>
      </c>
      <c r="AE58" s="213">
        <f t="shared" si="12"/>
        <v>-1313343.4707495868</v>
      </c>
      <c r="AF58" s="213">
        <v>0</v>
      </c>
      <c r="AG58" s="213">
        <v>0</v>
      </c>
      <c r="AH58" s="213">
        <f t="shared" si="12"/>
        <v>-1393730.5979072275</v>
      </c>
      <c r="AI58" s="213">
        <v>0</v>
      </c>
      <c r="AJ58" s="213">
        <v>0</v>
      </c>
      <c r="AK58" s="213">
        <f t="shared" si="12"/>
        <v>-1479038.0603439333</v>
      </c>
      <c r="AL58" s="213">
        <v>0</v>
      </c>
      <c r="AM58" s="213">
        <v>0</v>
      </c>
      <c r="AN58" s="213">
        <f t="shared" si="12"/>
        <v>-1569567.0219414646</v>
      </c>
      <c r="AO58" s="213">
        <v>0</v>
      </c>
      <c r="AP58" s="213">
        <v>0</v>
      </c>
      <c r="AQ58" s="213">
        <f t="shared" si="12"/>
        <v>-1665637.0802204576</v>
      </c>
      <c r="AR58" s="213">
        <v>0</v>
      </c>
      <c r="AS58" s="222"/>
      <c r="AT58" s="280"/>
      <c r="AU58" s="281"/>
      <c r="AV58" s="281"/>
    </row>
    <row r="59" spans="1:48" s="279" customFormat="1" x14ac:dyDescent="0.2">
      <c r="A59" s="219" t="str">
        <f>A29</f>
        <v>Прочие расходы при эксплуатации объекта, руб. без НДС</v>
      </c>
      <c r="B59" s="213"/>
      <c r="C59" s="213"/>
      <c r="D59" s="213"/>
      <c r="E59" s="213">
        <f>-IF(E$44&lt;=$B$30,0,$B$29*(1+E$46)*$B$25)</f>
        <v>-250604.98582553273</v>
      </c>
      <c r="F59" s="213">
        <f t="shared" ref="F59:AR59" si="13">-IF(F$44&lt;=$B$30,0,$B$29*(1+F$46)*$B$25)</f>
        <v>-258624.34537194975</v>
      </c>
      <c r="G59" s="213">
        <f t="shared" si="13"/>
        <v>-265865.82704236434</v>
      </c>
      <c r="H59" s="213">
        <f t="shared" si="13"/>
        <v>-273044.20437250816</v>
      </c>
      <c r="I59" s="213">
        <f t="shared" si="13"/>
        <v>-280416.3978905658</v>
      </c>
      <c r="J59" s="213">
        <f t="shared" si="13"/>
        <v>-287426.80783782998</v>
      </c>
      <c r="K59" s="213">
        <f t="shared" si="13"/>
        <v>-294037.62441810005</v>
      </c>
      <c r="L59" s="213">
        <f t="shared" si="13"/>
        <v>-300506.45215529826</v>
      </c>
      <c r="M59" s="213">
        <f t="shared" si="13"/>
        <v>-306516.58119840419</v>
      </c>
      <c r="N59" s="213">
        <f t="shared" si="13"/>
        <v>-312646.91282237228</v>
      </c>
      <c r="O59" s="213">
        <f t="shared" si="13"/>
        <v>-318899.85107881972</v>
      </c>
      <c r="P59" s="213">
        <f t="shared" si="13"/>
        <v>-325277.84810039611</v>
      </c>
      <c r="Q59" s="213">
        <f t="shared" si="13"/>
        <v>-331783.40506240405</v>
      </c>
      <c r="R59" s="213">
        <f t="shared" si="13"/>
        <v>-338419.07316365215</v>
      </c>
      <c r="S59" s="213">
        <f t="shared" si="13"/>
        <v>-345187.45462692517</v>
      </c>
      <c r="T59" s="213">
        <f t="shared" si="13"/>
        <v>-352091.20371946367</v>
      </c>
      <c r="U59" s="213">
        <f t="shared" si="13"/>
        <v>-359133.02779385296</v>
      </c>
      <c r="V59" s="213">
        <f t="shared" si="13"/>
        <v>-366315.68834973004</v>
      </c>
      <c r="W59" s="213">
        <f t="shared" si="13"/>
        <v>-373642.00211672467</v>
      </c>
      <c r="X59" s="213">
        <f t="shared" si="13"/>
        <v>-381114.84215905913</v>
      </c>
      <c r="Y59" s="213">
        <f t="shared" si="13"/>
        <v>-388737.13900224038</v>
      </c>
      <c r="Z59" s="213">
        <f t="shared" si="13"/>
        <v>-396511.88178228517</v>
      </c>
      <c r="AA59" s="213">
        <f t="shared" si="13"/>
        <v>-404442.11941793089</v>
      </c>
      <c r="AB59" s="213">
        <f t="shared" si="13"/>
        <v>-412530.9618062895</v>
      </c>
      <c r="AC59" s="213">
        <f t="shared" si="13"/>
        <v>-420781.58104241529</v>
      </c>
      <c r="AD59" s="213">
        <f t="shared" si="13"/>
        <v>-429197.21266326361</v>
      </c>
      <c r="AE59" s="213">
        <f t="shared" si="13"/>
        <v>-437781.15691652894</v>
      </c>
      <c r="AF59" s="213">
        <f t="shared" si="13"/>
        <v>-446536.78005485953</v>
      </c>
      <c r="AG59" s="213">
        <f t="shared" si="13"/>
        <v>-455467.51565595664</v>
      </c>
      <c r="AH59" s="213">
        <f t="shared" si="13"/>
        <v>-464576.86596907582</v>
      </c>
      <c r="AI59" s="213">
        <f t="shared" si="13"/>
        <v>-473868.40328845737</v>
      </c>
      <c r="AJ59" s="213">
        <f t="shared" si="13"/>
        <v>-483345.77135422651</v>
      </c>
      <c r="AK59" s="213">
        <f t="shared" si="13"/>
        <v>-493012.68678131106</v>
      </c>
      <c r="AL59" s="213">
        <f t="shared" si="13"/>
        <v>-502872.94051693729</v>
      </c>
      <c r="AM59" s="213">
        <f t="shared" si="13"/>
        <v>-512930.39932727604</v>
      </c>
      <c r="AN59" s="213">
        <f t="shared" si="13"/>
        <v>-523189.00731382152</v>
      </c>
      <c r="AO59" s="213">
        <f t="shared" si="13"/>
        <v>-533652.78746009793</v>
      </c>
      <c r="AP59" s="213">
        <f t="shared" si="13"/>
        <v>-544325.84320929984</v>
      </c>
      <c r="AQ59" s="213">
        <f t="shared" si="13"/>
        <v>-555212.36007348588</v>
      </c>
      <c r="AR59" s="213">
        <f t="shared" si="13"/>
        <v>-566316.6072749556</v>
      </c>
      <c r="AS59" s="280"/>
      <c r="AT59" s="280"/>
      <c r="AU59" s="281"/>
      <c r="AV59" s="281"/>
    </row>
    <row r="60" spans="1:48" s="279" customFormat="1" x14ac:dyDescent="0.2">
      <c r="A60" s="219" t="s">
        <v>499</v>
      </c>
      <c r="B60" s="213"/>
      <c r="C60" s="213"/>
      <c r="D60" s="213"/>
      <c r="E60" s="213"/>
      <c r="F60" s="213">
        <v>0</v>
      </c>
      <c r="G60" s="213">
        <v>0</v>
      </c>
      <c r="H60" s="213">
        <v>0</v>
      </c>
      <c r="I60" s="213">
        <v>0</v>
      </c>
      <c r="J60" s="213">
        <v>0</v>
      </c>
      <c r="K60" s="213">
        <v>0</v>
      </c>
      <c r="L60" s="213">
        <v>0</v>
      </c>
      <c r="M60" s="213">
        <f>-IF(M$40&lt;=$B$23,0,$B$28*(1+M$41)*$B$21)</f>
        <v>0</v>
      </c>
      <c r="N60" s="213">
        <v>0</v>
      </c>
      <c r="O60" s="213">
        <v>0</v>
      </c>
      <c r="P60" s="213">
        <v>0</v>
      </c>
      <c r="Q60" s="213">
        <v>0</v>
      </c>
      <c r="R60" s="213">
        <v>0</v>
      </c>
      <c r="S60" s="213">
        <v>0</v>
      </c>
      <c r="T60" s="213">
        <v>0</v>
      </c>
      <c r="U60" s="213">
        <v>0</v>
      </c>
      <c r="V60" s="213">
        <v>0</v>
      </c>
      <c r="W60" s="213">
        <v>0</v>
      </c>
      <c r="X60" s="213">
        <v>0</v>
      </c>
      <c r="Y60" s="213">
        <v>0</v>
      </c>
      <c r="Z60" s="213">
        <v>0</v>
      </c>
      <c r="AA60" s="213">
        <v>0</v>
      </c>
      <c r="AB60" s="213">
        <v>0</v>
      </c>
      <c r="AC60" s="213">
        <v>0</v>
      </c>
      <c r="AD60" s="213">
        <v>0</v>
      </c>
      <c r="AE60" s="213">
        <v>0</v>
      </c>
      <c r="AF60" s="213">
        <v>0</v>
      </c>
      <c r="AG60" s="213">
        <v>0</v>
      </c>
      <c r="AH60" s="213">
        <v>0</v>
      </c>
      <c r="AI60" s="213">
        <v>0</v>
      </c>
      <c r="AJ60" s="213">
        <v>0</v>
      </c>
      <c r="AK60" s="213">
        <v>0</v>
      </c>
      <c r="AL60" s="213">
        <v>0</v>
      </c>
      <c r="AM60" s="213">
        <v>0</v>
      </c>
      <c r="AN60" s="213">
        <v>0</v>
      </c>
      <c r="AO60" s="213">
        <v>0</v>
      </c>
      <c r="AP60" s="213">
        <v>0</v>
      </c>
      <c r="AQ60" s="213">
        <v>0</v>
      </c>
      <c r="AR60" s="213">
        <v>0</v>
      </c>
      <c r="AS60" s="280"/>
      <c r="AT60" s="280"/>
      <c r="AU60" s="281"/>
      <c r="AV60" s="281"/>
    </row>
    <row r="61" spans="1:48" s="279" customFormat="1" x14ac:dyDescent="0.2">
      <c r="A61" s="219" t="s">
        <v>494</v>
      </c>
      <c r="B61" s="213">
        <f>-$B$34*(1+B$46)*$B$25*365</f>
        <v>0</v>
      </c>
      <c r="C61" s="213">
        <f t="shared" ref="C61:AR61" si="14">-$B$34*(1+C$46)*$B$25*365</f>
        <v>0</v>
      </c>
      <c r="D61" s="213">
        <f t="shared" si="14"/>
        <v>0</v>
      </c>
      <c r="E61" s="213">
        <f t="shared" si="14"/>
        <v>0</v>
      </c>
      <c r="F61" s="213">
        <f t="shared" si="14"/>
        <v>0</v>
      </c>
      <c r="G61" s="213">
        <f t="shared" si="14"/>
        <v>0</v>
      </c>
      <c r="H61" s="213">
        <f t="shared" si="14"/>
        <v>0</v>
      </c>
      <c r="I61" s="213">
        <f t="shared" si="14"/>
        <v>0</v>
      </c>
      <c r="J61" s="213">
        <f t="shared" si="14"/>
        <v>0</v>
      </c>
      <c r="K61" s="213">
        <f t="shared" si="14"/>
        <v>0</v>
      </c>
      <c r="L61" s="213">
        <f t="shared" si="14"/>
        <v>0</v>
      </c>
      <c r="M61" s="213">
        <f t="shared" si="14"/>
        <v>0</v>
      </c>
      <c r="N61" s="213">
        <f t="shared" si="14"/>
        <v>0</v>
      </c>
      <c r="O61" s="213">
        <f t="shared" si="14"/>
        <v>0</v>
      </c>
      <c r="P61" s="213">
        <f t="shared" si="14"/>
        <v>0</v>
      </c>
      <c r="Q61" s="213">
        <f t="shared" si="14"/>
        <v>0</v>
      </c>
      <c r="R61" s="213">
        <f t="shared" si="14"/>
        <v>0</v>
      </c>
      <c r="S61" s="213">
        <f t="shared" si="14"/>
        <v>0</v>
      </c>
      <c r="T61" s="213">
        <f t="shared" si="14"/>
        <v>0</v>
      </c>
      <c r="U61" s="213">
        <f t="shared" si="14"/>
        <v>0</v>
      </c>
      <c r="V61" s="213">
        <f t="shared" si="14"/>
        <v>0</v>
      </c>
      <c r="W61" s="213">
        <f t="shared" si="14"/>
        <v>0</v>
      </c>
      <c r="X61" s="213">
        <f t="shared" si="14"/>
        <v>0</v>
      </c>
      <c r="Y61" s="213">
        <f t="shared" si="14"/>
        <v>0</v>
      </c>
      <c r="Z61" s="213">
        <f t="shared" si="14"/>
        <v>0</v>
      </c>
      <c r="AA61" s="213">
        <f t="shared" si="14"/>
        <v>0</v>
      </c>
      <c r="AB61" s="213">
        <f t="shared" si="14"/>
        <v>0</v>
      </c>
      <c r="AC61" s="213">
        <f t="shared" si="14"/>
        <v>0</v>
      </c>
      <c r="AD61" s="213">
        <f t="shared" si="14"/>
        <v>0</v>
      </c>
      <c r="AE61" s="213">
        <f t="shared" si="14"/>
        <v>0</v>
      </c>
      <c r="AF61" s="213">
        <f t="shared" si="14"/>
        <v>0</v>
      </c>
      <c r="AG61" s="213">
        <f t="shared" si="14"/>
        <v>0</v>
      </c>
      <c r="AH61" s="213">
        <f t="shared" si="14"/>
        <v>0</v>
      </c>
      <c r="AI61" s="213">
        <f t="shared" si="14"/>
        <v>0</v>
      </c>
      <c r="AJ61" s="213">
        <f t="shared" si="14"/>
        <v>0</v>
      </c>
      <c r="AK61" s="213">
        <f t="shared" si="14"/>
        <v>0</v>
      </c>
      <c r="AL61" s="213">
        <f t="shared" si="14"/>
        <v>0</v>
      </c>
      <c r="AM61" s="213">
        <f t="shared" si="14"/>
        <v>0</v>
      </c>
      <c r="AN61" s="213">
        <f t="shared" si="14"/>
        <v>0</v>
      </c>
      <c r="AO61" s="213">
        <f t="shared" si="14"/>
        <v>0</v>
      </c>
      <c r="AP61" s="213">
        <f t="shared" si="14"/>
        <v>0</v>
      </c>
      <c r="AQ61" s="213">
        <f t="shared" si="14"/>
        <v>0</v>
      </c>
      <c r="AR61" s="213">
        <f t="shared" si="14"/>
        <v>0</v>
      </c>
      <c r="AS61" s="280"/>
      <c r="AT61" s="280"/>
      <c r="AU61" s="281"/>
      <c r="AV61" s="281"/>
    </row>
    <row r="62" spans="1:48" s="279" customFormat="1" x14ac:dyDescent="0.2">
      <c r="A62" s="219" t="s">
        <v>494</v>
      </c>
      <c r="B62" s="213">
        <f>-$B$35*(1+B$46)*12</f>
        <v>0</v>
      </c>
      <c r="C62" s="213">
        <f t="shared" ref="C62:AR62" si="15">-$B$35*(1+C$46)*12</f>
        <v>0</v>
      </c>
      <c r="D62" s="213">
        <f t="shared" si="15"/>
        <v>0</v>
      </c>
      <c r="E62" s="213">
        <f t="shared" si="15"/>
        <v>0</v>
      </c>
      <c r="F62" s="213">
        <f t="shared" si="15"/>
        <v>0</v>
      </c>
      <c r="G62" s="213">
        <f t="shared" si="15"/>
        <v>0</v>
      </c>
      <c r="H62" s="213">
        <f t="shared" si="15"/>
        <v>0</v>
      </c>
      <c r="I62" s="213">
        <f t="shared" si="15"/>
        <v>0</v>
      </c>
      <c r="J62" s="213">
        <f t="shared" si="15"/>
        <v>0</v>
      </c>
      <c r="K62" s="213">
        <f t="shared" si="15"/>
        <v>0</v>
      </c>
      <c r="L62" s="213">
        <f t="shared" si="15"/>
        <v>0</v>
      </c>
      <c r="M62" s="213">
        <f t="shared" si="15"/>
        <v>0</v>
      </c>
      <c r="N62" s="213">
        <f t="shared" si="15"/>
        <v>0</v>
      </c>
      <c r="O62" s="213">
        <f t="shared" si="15"/>
        <v>0</v>
      </c>
      <c r="P62" s="213">
        <f t="shared" si="15"/>
        <v>0</v>
      </c>
      <c r="Q62" s="213">
        <f t="shared" si="15"/>
        <v>0</v>
      </c>
      <c r="R62" s="213">
        <f t="shared" si="15"/>
        <v>0</v>
      </c>
      <c r="S62" s="213">
        <f t="shared" si="15"/>
        <v>0</v>
      </c>
      <c r="T62" s="213">
        <f t="shared" si="15"/>
        <v>0</v>
      </c>
      <c r="U62" s="213">
        <f t="shared" si="15"/>
        <v>0</v>
      </c>
      <c r="V62" s="213">
        <f t="shared" si="15"/>
        <v>0</v>
      </c>
      <c r="W62" s="213">
        <f t="shared" si="15"/>
        <v>0</v>
      </c>
      <c r="X62" s="213">
        <f t="shared" si="15"/>
        <v>0</v>
      </c>
      <c r="Y62" s="213">
        <f t="shared" si="15"/>
        <v>0</v>
      </c>
      <c r="Z62" s="213">
        <f t="shared" si="15"/>
        <v>0</v>
      </c>
      <c r="AA62" s="213">
        <f t="shared" si="15"/>
        <v>0</v>
      </c>
      <c r="AB62" s="213">
        <f t="shared" si="15"/>
        <v>0</v>
      </c>
      <c r="AC62" s="213">
        <f t="shared" si="15"/>
        <v>0</v>
      </c>
      <c r="AD62" s="213">
        <f t="shared" si="15"/>
        <v>0</v>
      </c>
      <c r="AE62" s="213">
        <f t="shared" si="15"/>
        <v>0</v>
      </c>
      <c r="AF62" s="213">
        <f t="shared" si="15"/>
        <v>0</v>
      </c>
      <c r="AG62" s="213">
        <f t="shared" si="15"/>
        <v>0</v>
      </c>
      <c r="AH62" s="213">
        <f t="shared" si="15"/>
        <v>0</v>
      </c>
      <c r="AI62" s="213">
        <f t="shared" si="15"/>
        <v>0</v>
      </c>
      <c r="AJ62" s="213">
        <f t="shared" si="15"/>
        <v>0</v>
      </c>
      <c r="AK62" s="213">
        <f t="shared" si="15"/>
        <v>0</v>
      </c>
      <c r="AL62" s="213">
        <f t="shared" si="15"/>
        <v>0</v>
      </c>
      <c r="AM62" s="213">
        <f t="shared" si="15"/>
        <v>0</v>
      </c>
      <c r="AN62" s="213">
        <f t="shared" si="15"/>
        <v>0</v>
      </c>
      <c r="AO62" s="213">
        <f t="shared" si="15"/>
        <v>0</v>
      </c>
      <c r="AP62" s="213">
        <f t="shared" si="15"/>
        <v>0</v>
      </c>
      <c r="AQ62" s="213">
        <f t="shared" si="15"/>
        <v>0</v>
      </c>
      <c r="AR62" s="213">
        <f t="shared" si="15"/>
        <v>0</v>
      </c>
      <c r="AS62" s="280"/>
      <c r="AT62" s="280"/>
      <c r="AU62" s="281"/>
      <c r="AV62" s="281"/>
    </row>
    <row r="63" spans="1:48" s="279" customFormat="1" x14ac:dyDescent="0.2">
      <c r="A63" s="219" t="s">
        <v>504</v>
      </c>
      <c r="B63" s="213">
        <v>0</v>
      </c>
      <c r="C63" s="213">
        <v>0</v>
      </c>
      <c r="D63" s="213">
        <v>0</v>
      </c>
      <c r="E63" s="213">
        <v>0</v>
      </c>
      <c r="F63" s="213">
        <v>0</v>
      </c>
      <c r="G63" s="213">
        <v>0</v>
      </c>
      <c r="H63" s="213">
        <v>0</v>
      </c>
      <c r="I63" s="213">
        <v>0</v>
      </c>
      <c r="J63" s="213">
        <v>0</v>
      </c>
      <c r="K63" s="213">
        <v>0</v>
      </c>
      <c r="L63" s="213">
        <v>0</v>
      </c>
      <c r="M63" s="213">
        <v>0</v>
      </c>
      <c r="N63" s="213">
        <v>0</v>
      </c>
      <c r="O63" s="213">
        <v>0</v>
      </c>
      <c r="P63" s="213">
        <v>0</v>
      </c>
      <c r="Q63" s="213">
        <v>0</v>
      </c>
      <c r="R63" s="213">
        <v>0</v>
      </c>
      <c r="S63" s="213">
        <v>0</v>
      </c>
      <c r="T63" s="213">
        <v>0</v>
      </c>
      <c r="U63" s="213">
        <v>0</v>
      </c>
      <c r="V63" s="213">
        <v>0</v>
      </c>
      <c r="W63" s="213">
        <v>0</v>
      </c>
      <c r="X63" s="213">
        <v>0</v>
      </c>
      <c r="Y63" s="213">
        <v>0</v>
      </c>
      <c r="Z63" s="213">
        <v>0</v>
      </c>
      <c r="AA63" s="213">
        <v>0</v>
      </c>
      <c r="AB63" s="213">
        <v>0</v>
      </c>
      <c r="AC63" s="213">
        <v>0</v>
      </c>
      <c r="AD63" s="213">
        <v>0</v>
      </c>
      <c r="AE63" s="213">
        <v>0</v>
      </c>
      <c r="AF63" s="213">
        <v>0</v>
      </c>
      <c r="AG63" s="213">
        <v>0</v>
      </c>
      <c r="AH63" s="213">
        <v>0</v>
      </c>
      <c r="AI63" s="213">
        <v>0</v>
      </c>
      <c r="AJ63" s="213">
        <v>0</v>
      </c>
      <c r="AK63" s="213">
        <v>0</v>
      </c>
      <c r="AL63" s="213">
        <v>0</v>
      </c>
      <c r="AM63" s="213">
        <v>0</v>
      </c>
      <c r="AN63" s="213">
        <v>0</v>
      </c>
      <c r="AO63" s="213">
        <v>0</v>
      </c>
      <c r="AP63" s="213">
        <v>0</v>
      </c>
      <c r="AQ63" s="213">
        <v>0</v>
      </c>
      <c r="AR63" s="213">
        <v>0</v>
      </c>
      <c r="AS63" s="280"/>
      <c r="AT63" s="280"/>
      <c r="AU63" s="281"/>
      <c r="AV63" s="281"/>
    </row>
    <row r="64" spans="1:48" s="279" customFormat="1" ht="14.25" x14ac:dyDescent="0.2">
      <c r="A64" s="220" t="s">
        <v>505</v>
      </c>
      <c r="B64" s="218">
        <f t="shared" ref="B64:AP64" si="16">B56+B57</f>
        <v>54171444.217242703</v>
      </c>
      <c r="C64" s="218">
        <f t="shared" si="16"/>
        <v>761482081.29794395</v>
      </c>
      <c r="D64" s="218">
        <f>D56+D57</f>
        <v>134379149.64081401</v>
      </c>
      <c r="E64" s="218">
        <f t="shared" si="16"/>
        <v>-250604.98582553273</v>
      </c>
      <c r="F64" s="218">
        <f t="shared" si="16"/>
        <v>-258624.34537194975</v>
      </c>
      <c r="G64" s="218">
        <f t="shared" si="16"/>
        <v>-1063463.3081694574</v>
      </c>
      <c r="H64" s="218">
        <f t="shared" si="16"/>
        <v>-273044.20437250816</v>
      </c>
      <c r="I64" s="218">
        <f t="shared" si="16"/>
        <v>-280416.3978905658</v>
      </c>
      <c r="J64" s="218">
        <f t="shared" si="16"/>
        <v>-1149707.2313513199</v>
      </c>
      <c r="K64" s="218">
        <f t="shared" si="16"/>
        <v>-294037.62441810005</v>
      </c>
      <c r="L64" s="218">
        <f t="shared" si="16"/>
        <v>-300506.45215529826</v>
      </c>
      <c r="M64" s="218">
        <f t="shared" si="16"/>
        <v>-1226066.3247936168</v>
      </c>
      <c r="N64" s="218">
        <f t="shared" si="16"/>
        <v>-312646.91282237228</v>
      </c>
      <c r="O64" s="218">
        <f t="shared" si="16"/>
        <v>-318899.85107881972</v>
      </c>
      <c r="P64" s="218">
        <f t="shared" si="16"/>
        <v>-1301111.3924015844</v>
      </c>
      <c r="Q64" s="218">
        <f t="shared" si="16"/>
        <v>-331783.40506240405</v>
      </c>
      <c r="R64" s="218">
        <f t="shared" si="16"/>
        <v>-338419.07316365215</v>
      </c>
      <c r="S64" s="218">
        <f t="shared" si="16"/>
        <v>-1380749.8185077007</v>
      </c>
      <c r="T64" s="218">
        <f t="shared" si="16"/>
        <v>-352091.20371946367</v>
      </c>
      <c r="U64" s="218">
        <f t="shared" si="16"/>
        <v>-359133.02779385296</v>
      </c>
      <c r="V64" s="218">
        <f t="shared" si="16"/>
        <v>-1465262.7533989202</v>
      </c>
      <c r="W64" s="218">
        <f t="shared" si="16"/>
        <v>-373642.00211672467</v>
      </c>
      <c r="X64" s="218">
        <f t="shared" si="16"/>
        <v>-381114.84215905913</v>
      </c>
      <c r="Y64" s="218">
        <f t="shared" si="16"/>
        <v>-1554948.5560089615</v>
      </c>
      <c r="Z64" s="218">
        <f t="shared" si="16"/>
        <v>-396511.88178228517</v>
      </c>
      <c r="AA64" s="218">
        <f t="shared" si="16"/>
        <v>-404442.11941793089</v>
      </c>
      <c r="AB64" s="218">
        <f t="shared" si="16"/>
        <v>-1650123.847225158</v>
      </c>
      <c r="AC64" s="218">
        <f t="shared" si="16"/>
        <v>-420781.58104241529</v>
      </c>
      <c r="AD64" s="218">
        <f t="shared" si="16"/>
        <v>-429197.21266326361</v>
      </c>
      <c r="AE64" s="218">
        <f t="shared" si="16"/>
        <v>-1751124.6276661158</v>
      </c>
      <c r="AF64" s="218">
        <f t="shared" si="16"/>
        <v>-446536.78005485953</v>
      </c>
      <c r="AG64" s="218">
        <f t="shared" si="16"/>
        <v>-455467.51565595664</v>
      </c>
      <c r="AH64" s="218">
        <f t="shared" si="16"/>
        <v>-1858307.4638763033</v>
      </c>
      <c r="AI64" s="218">
        <f t="shared" si="16"/>
        <v>-473868.40328845737</v>
      </c>
      <c r="AJ64" s="218">
        <f t="shared" si="16"/>
        <v>-483345.77135422651</v>
      </c>
      <c r="AK64" s="218">
        <f t="shared" si="16"/>
        <v>-1972050.7471252442</v>
      </c>
      <c r="AL64" s="218">
        <f t="shared" si="16"/>
        <v>-502872.94051693729</v>
      </c>
      <c r="AM64" s="218">
        <f t="shared" si="16"/>
        <v>-512930.39932727604</v>
      </c>
      <c r="AN64" s="218">
        <f t="shared" si="16"/>
        <v>-2092756.0292552861</v>
      </c>
      <c r="AO64" s="218">
        <f t="shared" si="16"/>
        <v>-533652.78746009793</v>
      </c>
      <c r="AP64" s="218">
        <f t="shared" si="16"/>
        <v>-544325.84320929984</v>
      </c>
      <c r="AQ64" s="218">
        <f>AQ56+AQ57</f>
        <v>-2220849.4402939435</v>
      </c>
      <c r="AR64" s="218">
        <f>AR56+AR57</f>
        <v>-566316.6072749556</v>
      </c>
      <c r="AS64" s="280"/>
      <c r="AT64" s="280"/>
      <c r="AU64" s="281"/>
      <c r="AV64" s="281"/>
    </row>
    <row r="65" spans="1:48" s="279" customFormat="1" x14ac:dyDescent="0.2">
      <c r="A65" s="219" t="s">
        <v>290</v>
      </c>
      <c r="B65" s="175"/>
      <c r="C65" s="213"/>
      <c r="D65" s="213"/>
      <c r="E65" s="213">
        <f>-B22*1.18*B25/B24</f>
        <v>-23750820.628899984</v>
      </c>
      <c r="F65" s="213">
        <f t="shared" ref="F65:AR65" si="17">E65</f>
        <v>-23750820.628899984</v>
      </c>
      <c r="G65" s="213">
        <f t="shared" si="17"/>
        <v>-23750820.628899984</v>
      </c>
      <c r="H65" s="213">
        <f t="shared" si="17"/>
        <v>-23750820.628899984</v>
      </c>
      <c r="I65" s="213">
        <f t="shared" si="17"/>
        <v>-23750820.628899984</v>
      </c>
      <c r="J65" s="213">
        <f t="shared" si="17"/>
        <v>-23750820.628899984</v>
      </c>
      <c r="K65" s="213">
        <f t="shared" si="17"/>
        <v>-23750820.628899984</v>
      </c>
      <c r="L65" s="213">
        <f t="shared" si="17"/>
        <v>-23750820.628899984</v>
      </c>
      <c r="M65" s="213">
        <f t="shared" si="17"/>
        <v>-23750820.628899984</v>
      </c>
      <c r="N65" s="213">
        <f t="shared" si="17"/>
        <v>-23750820.628899984</v>
      </c>
      <c r="O65" s="213">
        <f t="shared" si="17"/>
        <v>-23750820.628899984</v>
      </c>
      <c r="P65" s="213">
        <f t="shared" si="17"/>
        <v>-23750820.628899984</v>
      </c>
      <c r="Q65" s="213">
        <f t="shared" si="17"/>
        <v>-23750820.628899984</v>
      </c>
      <c r="R65" s="213">
        <f t="shared" si="17"/>
        <v>-23750820.628899984</v>
      </c>
      <c r="S65" s="213">
        <f t="shared" si="17"/>
        <v>-23750820.628899984</v>
      </c>
      <c r="T65" s="213">
        <f t="shared" si="17"/>
        <v>-23750820.628899984</v>
      </c>
      <c r="U65" s="213">
        <f t="shared" si="17"/>
        <v>-23750820.628899984</v>
      </c>
      <c r="V65" s="213">
        <f t="shared" si="17"/>
        <v>-23750820.628899984</v>
      </c>
      <c r="W65" s="213">
        <f t="shared" si="17"/>
        <v>-23750820.628899984</v>
      </c>
      <c r="X65" s="213">
        <f t="shared" si="17"/>
        <v>-23750820.628899984</v>
      </c>
      <c r="Y65" s="213">
        <f t="shared" si="17"/>
        <v>-23750820.628899984</v>
      </c>
      <c r="Z65" s="213">
        <f t="shared" si="17"/>
        <v>-23750820.628899984</v>
      </c>
      <c r="AA65" s="213">
        <f t="shared" si="17"/>
        <v>-23750820.628899984</v>
      </c>
      <c r="AB65" s="213">
        <f t="shared" si="17"/>
        <v>-23750820.628899984</v>
      </c>
      <c r="AC65" s="213">
        <f t="shared" si="17"/>
        <v>-23750820.628899984</v>
      </c>
      <c r="AD65" s="213">
        <f t="shared" si="17"/>
        <v>-23750820.628899984</v>
      </c>
      <c r="AE65" s="213">
        <f t="shared" si="17"/>
        <v>-23750820.628899984</v>
      </c>
      <c r="AF65" s="213">
        <f t="shared" si="17"/>
        <v>-23750820.628899984</v>
      </c>
      <c r="AG65" s="213">
        <f t="shared" si="17"/>
        <v>-23750820.628899984</v>
      </c>
      <c r="AH65" s="213">
        <f t="shared" si="17"/>
        <v>-23750820.628899984</v>
      </c>
      <c r="AI65" s="213">
        <f t="shared" si="17"/>
        <v>-23750820.628899984</v>
      </c>
      <c r="AJ65" s="213">
        <f t="shared" si="17"/>
        <v>-23750820.628899984</v>
      </c>
      <c r="AK65" s="213">
        <f t="shared" si="17"/>
        <v>-23750820.628899984</v>
      </c>
      <c r="AL65" s="213">
        <f t="shared" si="17"/>
        <v>-23750820.628899984</v>
      </c>
      <c r="AM65" s="213">
        <f t="shared" si="17"/>
        <v>-23750820.628899984</v>
      </c>
      <c r="AN65" s="213">
        <f t="shared" si="17"/>
        <v>-23750820.628899984</v>
      </c>
      <c r="AO65" s="213">
        <f t="shared" si="17"/>
        <v>-23750820.628899984</v>
      </c>
      <c r="AP65" s="213">
        <f t="shared" si="17"/>
        <v>-23750820.628899984</v>
      </c>
      <c r="AQ65" s="213">
        <f t="shared" si="17"/>
        <v>-23750820.628899984</v>
      </c>
      <c r="AR65" s="213">
        <f t="shared" si="17"/>
        <v>-23750820.628899984</v>
      </c>
      <c r="AS65" s="221">
        <f>SUM(B65:AR65)/1.18</f>
        <v>-805112563.69152427</v>
      </c>
      <c r="AT65" s="222">
        <f>AS65*1.18</f>
        <v>-950032825.15599859</v>
      </c>
      <c r="AU65" s="281"/>
      <c r="AV65" s="281"/>
    </row>
    <row r="66" spans="1:48" s="279" customFormat="1" ht="14.25" x14ac:dyDescent="0.2">
      <c r="A66" s="220" t="s">
        <v>506</v>
      </c>
      <c r="B66" s="218">
        <f t="shared" ref="B66:J66" si="18">B64+B65</f>
        <v>54171444.217242703</v>
      </c>
      <c r="C66" s="218">
        <f t="shared" si="18"/>
        <v>761482081.29794395</v>
      </c>
      <c r="D66" s="218">
        <f t="shared" si="18"/>
        <v>134379149.64081401</v>
      </c>
      <c r="E66" s="218">
        <f t="shared" si="18"/>
        <v>-24001425.614725515</v>
      </c>
      <c r="F66" s="218">
        <f t="shared" si="18"/>
        <v>-24009444.974271934</v>
      </c>
      <c r="G66" s="218">
        <f t="shared" si="18"/>
        <v>-24814283.937069442</v>
      </c>
      <c r="H66" s="218">
        <f t="shared" si="18"/>
        <v>-24023864.833272491</v>
      </c>
      <c r="I66" s="218">
        <f t="shared" si="18"/>
        <v>-24031237.026790548</v>
      </c>
      <c r="J66" s="218">
        <f t="shared" si="18"/>
        <v>-24900527.860251304</v>
      </c>
      <c r="K66" s="218">
        <f>K64+K65</f>
        <v>-24044858.253318083</v>
      </c>
      <c r="L66" s="218">
        <f>L64+L65</f>
        <v>-24051327.081055284</v>
      </c>
      <c r="M66" s="218">
        <f t="shared" ref="M66:AP66" si="19">M64+M65</f>
        <v>-24976886.953693602</v>
      </c>
      <c r="N66" s="218">
        <f t="shared" si="19"/>
        <v>-24063467.541722357</v>
      </c>
      <c r="O66" s="218">
        <f t="shared" si="19"/>
        <v>-24069720.479978804</v>
      </c>
      <c r="P66" s="218">
        <f t="shared" si="19"/>
        <v>-25051932.021301568</v>
      </c>
      <c r="Q66" s="218">
        <f t="shared" si="19"/>
        <v>-24082604.033962388</v>
      </c>
      <c r="R66" s="218">
        <f t="shared" si="19"/>
        <v>-24089239.702063635</v>
      </c>
      <c r="S66" s="218">
        <f t="shared" si="19"/>
        <v>-25131570.447407685</v>
      </c>
      <c r="T66" s="218">
        <f t="shared" si="19"/>
        <v>-24102911.832619447</v>
      </c>
      <c r="U66" s="218">
        <f t="shared" si="19"/>
        <v>-24109953.656693839</v>
      </c>
      <c r="V66" s="218">
        <f t="shared" si="19"/>
        <v>-25216083.382298905</v>
      </c>
      <c r="W66" s="218">
        <f t="shared" si="19"/>
        <v>-24124462.631016709</v>
      </c>
      <c r="X66" s="218">
        <f t="shared" si="19"/>
        <v>-24131935.471059043</v>
      </c>
      <c r="Y66" s="218">
        <f t="shared" si="19"/>
        <v>-25305769.184908945</v>
      </c>
      <c r="Z66" s="218">
        <f t="shared" si="19"/>
        <v>-24147332.51068227</v>
      </c>
      <c r="AA66" s="218">
        <f t="shared" si="19"/>
        <v>-24155262.748317916</v>
      </c>
      <c r="AB66" s="218">
        <f t="shared" si="19"/>
        <v>-25400944.476125143</v>
      </c>
      <c r="AC66" s="218">
        <f t="shared" si="19"/>
        <v>-24171602.2099424</v>
      </c>
      <c r="AD66" s="218">
        <f t="shared" si="19"/>
        <v>-24180017.841563247</v>
      </c>
      <c r="AE66" s="218">
        <f t="shared" si="19"/>
        <v>-25501945.2565661</v>
      </c>
      <c r="AF66" s="218">
        <f t="shared" si="19"/>
        <v>-24197357.408954844</v>
      </c>
      <c r="AG66" s="218">
        <f t="shared" si="19"/>
        <v>-24206288.144555941</v>
      </c>
      <c r="AH66" s="218">
        <f t="shared" si="19"/>
        <v>-25609128.092776287</v>
      </c>
      <c r="AI66" s="218">
        <f t="shared" si="19"/>
        <v>-24224689.032188442</v>
      </c>
      <c r="AJ66" s="218">
        <f t="shared" si="19"/>
        <v>-24234166.400254212</v>
      </c>
      <c r="AK66" s="218">
        <f t="shared" si="19"/>
        <v>-25722871.37602523</v>
      </c>
      <c r="AL66" s="218">
        <f t="shared" si="19"/>
        <v>-24253693.569416922</v>
      </c>
      <c r="AM66" s="218">
        <f t="shared" si="19"/>
        <v>-24263751.028227258</v>
      </c>
      <c r="AN66" s="218">
        <f t="shared" si="19"/>
        <v>-25843576.65815527</v>
      </c>
      <c r="AO66" s="218">
        <f t="shared" si="19"/>
        <v>-24284473.41636008</v>
      </c>
      <c r="AP66" s="218">
        <f t="shared" si="19"/>
        <v>-24295146.472109284</v>
      </c>
      <c r="AQ66" s="218">
        <f>AQ64+AQ65</f>
        <v>-25971670.069193929</v>
      </c>
      <c r="AR66" s="218">
        <f>AR64+AR65</f>
        <v>-24317137.236174941</v>
      </c>
      <c r="AS66" s="280"/>
      <c r="AT66" s="280"/>
      <c r="AU66" s="281"/>
      <c r="AV66" s="281"/>
    </row>
    <row r="67" spans="1:48" s="279" customFormat="1" x14ac:dyDescent="0.2">
      <c r="A67" s="219" t="s">
        <v>289</v>
      </c>
      <c r="B67" s="213">
        <f t="shared" ref="B67:AP67" si="20">-B53</f>
        <v>0</v>
      </c>
      <c r="C67" s="213">
        <f t="shared" si="20"/>
        <v>0</v>
      </c>
      <c r="D67" s="213">
        <f t="shared" si="20"/>
        <v>0</v>
      </c>
      <c r="E67" s="213">
        <f t="shared" si="20"/>
        <v>0</v>
      </c>
      <c r="F67" s="213">
        <f t="shared" si="20"/>
        <v>0</v>
      </c>
      <c r="G67" s="213">
        <f t="shared" si="20"/>
        <v>0</v>
      </c>
      <c r="H67" s="213">
        <f t="shared" si="20"/>
        <v>0</v>
      </c>
      <c r="I67" s="213">
        <f t="shared" si="20"/>
        <v>0</v>
      </c>
      <c r="J67" s="213">
        <f t="shared" si="20"/>
        <v>0</v>
      </c>
      <c r="K67" s="213">
        <f t="shared" si="20"/>
        <v>0</v>
      </c>
      <c r="L67" s="213">
        <f t="shared" si="20"/>
        <v>0</v>
      </c>
      <c r="M67" s="213">
        <f t="shared" si="20"/>
        <v>0</v>
      </c>
      <c r="N67" s="213">
        <f t="shared" si="20"/>
        <v>0</v>
      </c>
      <c r="O67" s="213">
        <f t="shared" si="20"/>
        <v>0</v>
      </c>
      <c r="P67" s="213">
        <f t="shared" si="20"/>
        <v>0</v>
      </c>
      <c r="Q67" s="213">
        <f t="shared" si="20"/>
        <v>0</v>
      </c>
      <c r="R67" s="213">
        <f t="shared" si="20"/>
        <v>0</v>
      </c>
      <c r="S67" s="213">
        <f t="shared" si="20"/>
        <v>0</v>
      </c>
      <c r="T67" s="213">
        <f t="shared" si="20"/>
        <v>0</v>
      </c>
      <c r="U67" s="213">
        <f t="shared" si="20"/>
        <v>0</v>
      </c>
      <c r="V67" s="213">
        <f t="shared" si="20"/>
        <v>0</v>
      </c>
      <c r="W67" s="213">
        <f t="shared" si="20"/>
        <v>0</v>
      </c>
      <c r="X67" s="213">
        <f t="shared" si="20"/>
        <v>0</v>
      </c>
      <c r="Y67" s="213">
        <f t="shared" si="20"/>
        <v>0</v>
      </c>
      <c r="Z67" s="213">
        <f t="shared" si="20"/>
        <v>0</v>
      </c>
      <c r="AA67" s="213">
        <f t="shared" si="20"/>
        <v>0</v>
      </c>
      <c r="AB67" s="213">
        <f t="shared" si="20"/>
        <v>0</v>
      </c>
      <c r="AC67" s="213">
        <f t="shared" si="20"/>
        <v>0</v>
      </c>
      <c r="AD67" s="213">
        <f t="shared" si="20"/>
        <v>0</v>
      </c>
      <c r="AE67" s="213">
        <f t="shared" si="20"/>
        <v>0</v>
      </c>
      <c r="AF67" s="213">
        <f t="shared" si="20"/>
        <v>0</v>
      </c>
      <c r="AG67" s="213">
        <f t="shared" si="20"/>
        <v>0</v>
      </c>
      <c r="AH67" s="213">
        <f t="shared" si="20"/>
        <v>0</v>
      </c>
      <c r="AI67" s="213">
        <f t="shared" si="20"/>
        <v>0</v>
      </c>
      <c r="AJ67" s="213">
        <f t="shared" si="20"/>
        <v>0</v>
      </c>
      <c r="AK67" s="213">
        <f t="shared" si="20"/>
        <v>0</v>
      </c>
      <c r="AL67" s="213">
        <f t="shared" si="20"/>
        <v>0</v>
      </c>
      <c r="AM67" s="213">
        <f t="shared" si="20"/>
        <v>0</v>
      </c>
      <c r="AN67" s="213">
        <f t="shared" si="20"/>
        <v>0</v>
      </c>
      <c r="AO67" s="213">
        <f t="shared" si="20"/>
        <v>0</v>
      </c>
      <c r="AP67" s="213">
        <f t="shared" si="20"/>
        <v>0</v>
      </c>
      <c r="AQ67" s="213">
        <f>-AQ53</f>
        <v>0</v>
      </c>
      <c r="AR67" s="213">
        <f>-AR53</f>
        <v>0</v>
      </c>
      <c r="AS67" s="280"/>
      <c r="AT67" s="280"/>
      <c r="AU67" s="281"/>
      <c r="AV67" s="281"/>
    </row>
    <row r="68" spans="1:48" s="279" customFormat="1" ht="14.25" x14ac:dyDescent="0.2">
      <c r="A68" s="220" t="s">
        <v>293</v>
      </c>
      <c r="B68" s="218">
        <f t="shared" ref="B68:AP68" si="21">B66+B67</f>
        <v>54171444.217242703</v>
      </c>
      <c r="C68" s="218">
        <f t="shared" si="21"/>
        <v>761482081.29794395</v>
      </c>
      <c r="D68" s="218">
        <f t="shared" si="21"/>
        <v>134379149.64081401</v>
      </c>
      <c r="E68" s="218">
        <f t="shared" si="21"/>
        <v>-24001425.614725515</v>
      </c>
      <c r="F68" s="218">
        <f t="shared" si="21"/>
        <v>-24009444.974271934</v>
      </c>
      <c r="G68" s="218">
        <f t="shared" si="21"/>
        <v>-24814283.937069442</v>
      </c>
      <c r="H68" s="218">
        <f t="shared" si="21"/>
        <v>-24023864.833272491</v>
      </c>
      <c r="I68" s="218">
        <f t="shared" si="21"/>
        <v>-24031237.026790548</v>
      </c>
      <c r="J68" s="218">
        <f t="shared" si="21"/>
        <v>-24900527.860251304</v>
      </c>
      <c r="K68" s="218">
        <f t="shared" si="21"/>
        <v>-24044858.253318083</v>
      </c>
      <c r="L68" s="218">
        <f t="shared" si="21"/>
        <v>-24051327.081055284</v>
      </c>
      <c r="M68" s="218">
        <f t="shared" si="21"/>
        <v>-24976886.953693602</v>
      </c>
      <c r="N68" s="218">
        <f t="shared" si="21"/>
        <v>-24063467.541722357</v>
      </c>
      <c r="O68" s="218">
        <f t="shared" si="21"/>
        <v>-24069720.479978804</v>
      </c>
      <c r="P68" s="218">
        <f t="shared" si="21"/>
        <v>-25051932.021301568</v>
      </c>
      <c r="Q68" s="218">
        <f t="shared" si="21"/>
        <v>-24082604.033962388</v>
      </c>
      <c r="R68" s="218">
        <f t="shared" si="21"/>
        <v>-24089239.702063635</v>
      </c>
      <c r="S68" s="218">
        <f t="shared" si="21"/>
        <v>-25131570.447407685</v>
      </c>
      <c r="T68" s="218">
        <f t="shared" si="21"/>
        <v>-24102911.832619447</v>
      </c>
      <c r="U68" s="218">
        <f t="shared" si="21"/>
        <v>-24109953.656693839</v>
      </c>
      <c r="V68" s="218">
        <f t="shared" si="21"/>
        <v>-25216083.382298905</v>
      </c>
      <c r="W68" s="218">
        <f t="shared" si="21"/>
        <v>-24124462.631016709</v>
      </c>
      <c r="X68" s="218">
        <f t="shared" si="21"/>
        <v>-24131935.471059043</v>
      </c>
      <c r="Y68" s="218">
        <f t="shared" si="21"/>
        <v>-25305769.184908945</v>
      </c>
      <c r="Z68" s="218">
        <f t="shared" si="21"/>
        <v>-24147332.51068227</v>
      </c>
      <c r="AA68" s="218">
        <f t="shared" si="21"/>
        <v>-24155262.748317916</v>
      </c>
      <c r="AB68" s="218">
        <f t="shared" si="21"/>
        <v>-25400944.476125143</v>
      </c>
      <c r="AC68" s="218">
        <f t="shared" si="21"/>
        <v>-24171602.2099424</v>
      </c>
      <c r="AD68" s="218">
        <f t="shared" si="21"/>
        <v>-24180017.841563247</v>
      </c>
      <c r="AE68" s="218">
        <f t="shared" si="21"/>
        <v>-25501945.2565661</v>
      </c>
      <c r="AF68" s="218">
        <f t="shared" si="21"/>
        <v>-24197357.408954844</v>
      </c>
      <c r="AG68" s="218">
        <f t="shared" si="21"/>
        <v>-24206288.144555941</v>
      </c>
      <c r="AH68" s="218">
        <f t="shared" si="21"/>
        <v>-25609128.092776287</v>
      </c>
      <c r="AI68" s="218">
        <f t="shared" si="21"/>
        <v>-24224689.032188442</v>
      </c>
      <c r="AJ68" s="218">
        <f t="shared" si="21"/>
        <v>-24234166.400254212</v>
      </c>
      <c r="AK68" s="218">
        <f t="shared" si="21"/>
        <v>-25722871.37602523</v>
      </c>
      <c r="AL68" s="218">
        <f t="shared" si="21"/>
        <v>-24253693.569416922</v>
      </c>
      <c r="AM68" s="218">
        <f t="shared" si="21"/>
        <v>-24263751.028227258</v>
      </c>
      <c r="AN68" s="218">
        <f t="shared" si="21"/>
        <v>-25843576.65815527</v>
      </c>
      <c r="AO68" s="218">
        <f t="shared" si="21"/>
        <v>-24284473.41636008</v>
      </c>
      <c r="AP68" s="218">
        <f t="shared" si="21"/>
        <v>-24295146.472109284</v>
      </c>
      <c r="AQ68" s="218">
        <f>AQ66+AQ67</f>
        <v>-25971670.069193929</v>
      </c>
      <c r="AR68" s="218">
        <f>AR66+AR67</f>
        <v>-24317137.236174941</v>
      </c>
      <c r="AS68" s="280"/>
      <c r="AT68" s="280"/>
      <c r="AU68" s="281"/>
      <c r="AV68" s="281"/>
    </row>
    <row r="69" spans="1:48" s="279" customFormat="1" x14ac:dyDescent="0.2">
      <c r="A69" s="219" t="s">
        <v>288</v>
      </c>
      <c r="B69" s="213">
        <f>-B68*$B$33</f>
        <v>-10834288.843448542</v>
      </c>
      <c r="C69" s="213">
        <f t="shared" ref="C69:AR69" si="22">-C68*$B$33</f>
        <v>-152296416.25958881</v>
      </c>
      <c r="D69" s="213">
        <f t="shared" si="22"/>
        <v>-26875829.928162802</v>
      </c>
      <c r="E69" s="213">
        <f t="shared" si="22"/>
        <v>4800285.1229451029</v>
      </c>
      <c r="F69" s="213">
        <f t="shared" si="22"/>
        <v>4801888.9948543869</v>
      </c>
      <c r="G69" s="213">
        <f t="shared" si="22"/>
        <v>4962856.7874138886</v>
      </c>
      <c r="H69" s="213">
        <f t="shared" si="22"/>
        <v>4804772.9666544981</v>
      </c>
      <c r="I69" s="213">
        <f t="shared" si="22"/>
        <v>4806247.4053581096</v>
      </c>
      <c r="J69" s="213">
        <f t="shared" si="22"/>
        <v>4980105.5720502613</v>
      </c>
      <c r="K69" s="213">
        <f t="shared" si="22"/>
        <v>4808971.6506636171</v>
      </c>
      <c r="L69" s="213">
        <f t="shared" si="22"/>
        <v>4810265.4162110565</v>
      </c>
      <c r="M69" s="213">
        <f t="shared" si="22"/>
        <v>4995377.390738721</v>
      </c>
      <c r="N69" s="213">
        <f t="shared" si="22"/>
        <v>4812693.5083444715</v>
      </c>
      <c r="O69" s="213">
        <f t="shared" si="22"/>
        <v>4813944.0959957605</v>
      </c>
      <c r="P69" s="213">
        <f t="shared" si="22"/>
        <v>5010386.4042603141</v>
      </c>
      <c r="Q69" s="213">
        <f t="shared" si="22"/>
        <v>4816520.8067924781</v>
      </c>
      <c r="R69" s="213">
        <f t="shared" si="22"/>
        <v>4817847.9404127272</v>
      </c>
      <c r="S69" s="213">
        <f t="shared" si="22"/>
        <v>5026314.0894815372</v>
      </c>
      <c r="T69" s="213">
        <f t="shared" si="22"/>
        <v>4820582.3665238898</v>
      </c>
      <c r="U69" s="213">
        <f t="shared" si="22"/>
        <v>4821990.7313387683</v>
      </c>
      <c r="V69" s="213">
        <f t="shared" si="22"/>
        <v>5043216.6764597818</v>
      </c>
      <c r="W69" s="213">
        <f t="shared" si="22"/>
        <v>4824892.5262033418</v>
      </c>
      <c r="X69" s="213">
        <f t="shared" si="22"/>
        <v>4826387.0942118084</v>
      </c>
      <c r="Y69" s="213">
        <f t="shared" si="22"/>
        <v>5061153.8369817892</v>
      </c>
      <c r="Z69" s="213">
        <f t="shared" si="22"/>
        <v>4829466.502136454</v>
      </c>
      <c r="AA69" s="213">
        <f t="shared" si="22"/>
        <v>4831052.5496635837</v>
      </c>
      <c r="AB69" s="213">
        <f t="shared" si="22"/>
        <v>5080188.8952250294</v>
      </c>
      <c r="AC69" s="213">
        <f t="shared" si="22"/>
        <v>4834320.4419884803</v>
      </c>
      <c r="AD69" s="213">
        <f t="shared" si="22"/>
        <v>4836003.5683126496</v>
      </c>
      <c r="AE69" s="213">
        <f t="shared" si="22"/>
        <v>5100389.0513132205</v>
      </c>
      <c r="AF69" s="213">
        <f t="shared" si="22"/>
        <v>4839471.4817909691</v>
      </c>
      <c r="AG69" s="213">
        <f t="shared" si="22"/>
        <v>4841257.6289111888</v>
      </c>
      <c r="AH69" s="213">
        <f t="shared" si="22"/>
        <v>5121825.618555258</v>
      </c>
      <c r="AI69" s="213">
        <f t="shared" si="22"/>
        <v>4844937.8064376889</v>
      </c>
      <c r="AJ69" s="213">
        <f t="shared" si="22"/>
        <v>4846833.280050843</v>
      </c>
      <c r="AK69" s="213">
        <f t="shared" si="22"/>
        <v>5144574.2752050459</v>
      </c>
      <c r="AL69" s="213">
        <f t="shared" si="22"/>
        <v>4850738.7138833841</v>
      </c>
      <c r="AM69" s="213">
        <f t="shared" si="22"/>
        <v>4852750.2056454523</v>
      </c>
      <c r="AN69" s="213">
        <f t="shared" si="22"/>
        <v>5168715.3316310542</v>
      </c>
      <c r="AO69" s="213">
        <f t="shared" si="22"/>
        <v>4856894.6832720162</v>
      </c>
      <c r="AP69" s="213">
        <f t="shared" si="22"/>
        <v>4859029.2944218572</v>
      </c>
      <c r="AQ69" s="213">
        <f t="shared" si="22"/>
        <v>5194334.0138387866</v>
      </c>
      <c r="AR69" s="213">
        <f t="shared" si="22"/>
        <v>4863427.4472349882</v>
      </c>
      <c r="AS69" s="280"/>
      <c r="AT69" s="280"/>
      <c r="AU69" s="281"/>
      <c r="AV69" s="281"/>
    </row>
    <row r="70" spans="1:48" s="279" customFormat="1" ht="15" thickBot="1" x14ac:dyDescent="0.25">
      <c r="A70" s="223" t="s">
        <v>292</v>
      </c>
      <c r="B70" s="211">
        <f>B68+B69</f>
        <v>43337155.373794161</v>
      </c>
      <c r="C70" s="211">
        <f t="shared" ref="C70:AP70" si="23">C68+C69</f>
        <v>609185665.03835511</v>
      </c>
      <c r="D70" s="211">
        <f t="shared" si="23"/>
        <v>107503319.71265121</v>
      </c>
      <c r="E70" s="211">
        <f t="shared" si="23"/>
        <v>-19201140.491780411</v>
      </c>
      <c r="F70" s="211">
        <f t="shared" si="23"/>
        <v>-19207555.979417548</v>
      </c>
      <c r="G70" s="211">
        <f t="shared" si="23"/>
        <v>-19851427.149655554</v>
      </c>
      <c r="H70" s="211">
        <f t="shared" si="23"/>
        <v>-19219091.866617993</v>
      </c>
      <c r="I70" s="211">
        <f t="shared" si="23"/>
        <v>-19224989.621432438</v>
      </c>
      <c r="J70" s="211">
        <f t="shared" si="23"/>
        <v>-19920422.288201042</v>
      </c>
      <c r="K70" s="211">
        <f t="shared" si="23"/>
        <v>-19235886.602654465</v>
      </c>
      <c r="L70" s="211">
        <f t="shared" si="23"/>
        <v>-19241061.664844226</v>
      </c>
      <c r="M70" s="211">
        <f t="shared" si="23"/>
        <v>-19981509.56295488</v>
      </c>
      <c r="N70" s="211">
        <f t="shared" si="23"/>
        <v>-19250774.033377886</v>
      </c>
      <c r="O70" s="211">
        <f t="shared" si="23"/>
        <v>-19255776.383983042</v>
      </c>
      <c r="P70" s="211">
        <f t="shared" si="23"/>
        <v>-20041545.617041253</v>
      </c>
      <c r="Q70" s="211">
        <f t="shared" si="23"/>
        <v>-19266083.227169909</v>
      </c>
      <c r="R70" s="211">
        <f t="shared" si="23"/>
        <v>-19271391.761650909</v>
      </c>
      <c r="S70" s="211">
        <f t="shared" si="23"/>
        <v>-20105256.357926149</v>
      </c>
      <c r="T70" s="211">
        <f t="shared" si="23"/>
        <v>-19282329.466095559</v>
      </c>
      <c r="U70" s="211">
        <f t="shared" si="23"/>
        <v>-19287962.925355069</v>
      </c>
      <c r="V70" s="211">
        <f t="shared" si="23"/>
        <v>-20172866.705839124</v>
      </c>
      <c r="W70" s="211">
        <f t="shared" si="23"/>
        <v>-19299570.104813367</v>
      </c>
      <c r="X70" s="211">
        <f t="shared" si="23"/>
        <v>-19305548.376847234</v>
      </c>
      <c r="Y70" s="211">
        <f t="shared" si="23"/>
        <v>-20244615.347927157</v>
      </c>
      <c r="Z70" s="211">
        <f t="shared" si="23"/>
        <v>-19317866.008545816</v>
      </c>
      <c r="AA70" s="211">
        <f t="shared" si="23"/>
        <v>-19324210.198654331</v>
      </c>
      <c r="AB70" s="211">
        <f t="shared" si="23"/>
        <v>-20320755.580900114</v>
      </c>
      <c r="AC70" s="211">
        <f t="shared" si="23"/>
        <v>-19337281.767953921</v>
      </c>
      <c r="AD70" s="211">
        <f t="shared" si="23"/>
        <v>-19344014.273250598</v>
      </c>
      <c r="AE70" s="211">
        <f t="shared" si="23"/>
        <v>-20401556.205252878</v>
      </c>
      <c r="AF70" s="211">
        <f t="shared" si="23"/>
        <v>-19357885.927163877</v>
      </c>
      <c r="AG70" s="211">
        <f t="shared" si="23"/>
        <v>-19365030.515644751</v>
      </c>
      <c r="AH70" s="211">
        <f t="shared" si="23"/>
        <v>-20487302.474221028</v>
      </c>
      <c r="AI70" s="211">
        <f t="shared" si="23"/>
        <v>-19379751.225750752</v>
      </c>
      <c r="AJ70" s="211">
        <f t="shared" si="23"/>
        <v>-19387333.120203368</v>
      </c>
      <c r="AK70" s="211">
        <f t="shared" si="23"/>
        <v>-20578297.100820184</v>
      </c>
      <c r="AL70" s="211">
        <f t="shared" si="23"/>
        <v>-19402954.855533537</v>
      </c>
      <c r="AM70" s="211">
        <f t="shared" si="23"/>
        <v>-19411000.822581805</v>
      </c>
      <c r="AN70" s="211">
        <f t="shared" si="23"/>
        <v>-20674861.326524217</v>
      </c>
      <c r="AO70" s="211">
        <f t="shared" si="23"/>
        <v>-19427578.733088065</v>
      </c>
      <c r="AP70" s="211">
        <f t="shared" si="23"/>
        <v>-19436117.177687429</v>
      </c>
      <c r="AQ70" s="211">
        <f>AQ68+AQ69</f>
        <v>-20777336.055355143</v>
      </c>
      <c r="AR70" s="211">
        <f>AR68+AR69</f>
        <v>-19453709.788939953</v>
      </c>
      <c r="AS70" s="280"/>
      <c r="AT70" s="280"/>
      <c r="AU70" s="281"/>
      <c r="AV70" s="281"/>
    </row>
    <row r="71" spans="1:48" s="279" customFormat="1" ht="16.5" thickBot="1" x14ac:dyDescent="0.25">
      <c r="A71" s="215"/>
      <c r="B71" s="224">
        <v>1.5</v>
      </c>
      <c r="C71" s="224">
        <f>AVERAGE(B54:C54)</f>
        <v>2.5</v>
      </c>
      <c r="D71" s="224">
        <f>AVERAGE(C54:D54)</f>
        <v>3.5</v>
      </c>
      <c r="E71" s="224">
        <f>AVERAGE(D54:E54)</f>
        <v>4.5</v>
      </c>
      <c r="F71" s="224">
        <f t="shared" ref="F71:AR71" si="24">AVERAGE(E54:F54)</f>
        <v>5.5</v>
      </c>
      <c r="G71" s="224">
        <f t="shared" si="24"/>
        <v>6.5</v>
      </c>
      <c r="H71" s="224">
        <f t="shared" si="24"/>
        <v>7.5</v>
      </c>
      <c r="I71" s="224">
        <f t="shared" si="24"/>
        <v>8.5</v>
      </c>
      <c r="J71" s="224">
        <f t="shared" si="24"/>
        <v>9.5</v>
      </c>
      <c r="K71" s="224">
        <f t="shared" si="24"/>
        <v>10.5</v>
      </c>
      <c r="L71" s="224">
        <f t="shared" si="24"/>
        <v>11.5</v>
      </c>
      <c r="M71" s="224">
        <f t="shared" si="24"/>
        <v>12.5</v>
      </c>
      <c r="N71" s="224">
        <f t="shared" si="24"/>
        <v>13.5</v>
      </c>
      <c r="O71" s="224">
        <f t="shared" si="24"/>
        <v>14.5</v>
      </c>
      <c r="P71" s="224">
        <f t="shared" si="24"/>
        <v>15.5</v>
      </c>
      <c r="Q71" s="224">
        <f t="shared" si="24"/>
        <v>16.5</v>
      </c>
      <c r="R71" s="224">
        <f t="shared" si="24"/>
        <v>17.5</v>
      </c>
      <c r="S71" s="224">
        <f t="shared" si="24"/>
        <v>18.5</v>
      </c>
      <c r="T71" s="224">
        <f t="shared" si="24"/>
        <v>19.5</v>
      </c>
      <c r="U71" s="224">
        <f t="shared" si="24"/>
        <v>20.5</v>
      </c>
      <c r="V71" s="224">
        <f t="shared" si="24"/>
        <v>21.5</v>
      </c>
      <c r="W71" s="224">
        <f t="shared" si="24"/>
        <v>22.5</v>
      </c>
      <c r="X71" s="224">
        <f t="shared" si="24"/>
        <v>23.5</v>
      </c>
      <c r="Y71" s="224">
        <f t="shared" si="24"/>
        <v>24.5</v>
      </c>
      <c r="Z71" s="224">
        <f t="shared" si="24"/>
        <v>25.5</v>
      </c>
      <c r="AA71" s="224">
        <f t="shared" si="24"/>
        <v>26.5</v>
      </c>
      <c r="AB71" s="224">
        <f t="shared" si="24"/>
        <v>27.5</v>
      </c>
      <c r="AC71" s="224">
        <f t="shared" si="24"/>
        <v>28.5</v>
      </c>
      <c r="AD71" s="224">
        <f t="shared" si="24"/>
        <v>29.5</v>
      </c>
      <c r="AE71" s="224">
        <f t="shared" si="24"/>
        <v>30.5</v>
      </c>
      <c r="AF71" s="224">
        <f t="shared" si="24"/>
        <v>31.5</v>
      </c>
      <c r="AG71" s="224">
        <f t="shared" si="24"/>
        <v>32.5</v>
      </c>
      <c r="AH71" s="224">
        <f t="shared" si="24"/>
        <v>33.5</v>
      </c>
      <c r="AI71" s="224">
        <f t="shared" si="24"/>
        <v>34.5</v>
      </c>
      <c r="AJ71" s="224">
        <f t="shared" si="24"/>
        <v>35.5</v>
      </c>
      <c r="AK71" s="224">
        <f t="shared" si="24"/>
        <v>36.5</v>
      </c>
      <c r="AL71" s="224">
        <f t="shared" si="24"/>
        <v>37.5</v>
      </c>
      <c r="AM71" s="224">
        <f t="shared" si="24"/>
        <v>38.5</v>
      </c>
      <c r="AN71" s="224">
        <f t="shared" si="24"/>
        <v>39.5</v>
      </c>
      <c r="AO71" s="224">
        <f t="shared" si="24"/>
        <v>40.5</v>
      </c>
      <c r="AP71" s="224">
        <f t="shared" si="24"/>
        <v>41.5</v>
      </c>
      <c r="AQ71" s="224">
        <f t="shared" si="24"/>
        <v>42.5</v>
      </c>
      <c r="AR71" s="224">
        <f t="shared" si="24"/>
        <v>43.5</v>
      </c>
      <c r="AS71" s="280"/>
      <c r="AT71" s="280"/>
      <c r="AU71" s="281"/>
      <c r="AV71" s="281"/>
    </row>
    <row r="72" spans="1:48" s="279" customFormat="1" x14ac:dyDescent="0.2">
      <c r="A72" s="212" t="s">
        <v>291</v>
      </c>
      <c r="B72" s="206">
        <f>B55</f>
        <v>1</v>
      </c>
      <c r="C72" s="206">
        <f t="shared" ref="C72:AP72" si="25">C55</f>
        <v>2</v>
      </c>
      <c r="D72" s="206">
        <f t="shared" si="25"/>
        <v>3</v>
      </c>
      <c r="E72" s="206">
        <f t="shared" si="25"/>
        <v>4</v>
      </c>
      <c r="F72" s="206">
        <f t="shared" si="25"/>
        <v>5</v>
      </c>
      <c r="G72" s="206">
        <f t="shared" si="25"/>
        <v>6</v>
      </c>
      <c r="H72" s="206">
        <f t="shared" si="25"/>
        <v>7</v>
      </c>
      <c r="I72" s="206">
        <f t="shared" si="25"/>
        <v>8</v>
      </c>
      <c r="J72" s="206">
        <f t="shared" si="25"/>
        <v>9</v>
      </c>
      <c r="K72" s="206">
        <f t="shared" si="25"/>
        <v>10</v>
      </c>
      <c r="L72" s="206">
        <f t="shared" si="25"/>
        <v>11</v>
      </c>
      <c r="M72" s="206">
        <f t="shared" si="25"/>
        <v>12</v>
      </c>
      <c r="N72" s="206">
        <f t="shared" si="25"/>
        <v>13</v>
      </c>
      <c r="O72" s="206">
        <f t="shared" si="25"/>
        <v>14</v>
      </c>
      <c r="P72" s="206">
        <f t="shared" si="25"/>
        <v>15</v>
      </c>
      <c r="Q72" s="206">
        <f t="shared" si="25"/>
        <v>16</v>
      </c>
      <c r="R72" s="206">
        <f t="shared" si="25"/>
        <v>17</v>
      </c>
      <c r="S72" s="206">
        <f t="shared" si="25"/>
        <v>18</v>
      </c>
      <c r="T72" s="206">
        <f t="shared" si="25"/>
        <v>19</v>
      </c>
      <c r="U72" s="206">
        <f t="shared" si="25"/>
        <v>20</v>
      </c>
      <c r="V72" s="206">
        <f t="shared" si="25"/>
        <v>21</v>
      </c>
      <c r="W72" s="206">
        <f t="shared" si="25"/>
        <v>22</v>
      </c>
      <c r="X72" s="206">
        <f t="shared" si="25"/>
        <v>23</v>
      </c>
      <c r="Y72" s="206">
        <f t="shared" si="25"/>
        <v>24</v>
      </c>
      <c r="Z72" s="206">
        <f t="shared" si="25"/>
        <v>25</v>
      </c>
      <c r="AA72" s="206">
        <f t="shared" si="25"/>
        <v>26</v>
      </c>
      <c r="AB72" s="206">
        <f t="shared" si="25"/>
        <v>27</v>
      </c>
      <c r="AC72" s="206">
        <f t="shared" si="25"/>
        <v>28</v>
      </c>
      <c r="AD72" s="206">
        <f t="shared" si="25"/>
        <v>29</v>
      </c>
      <c r="AE72" s="206">
        <f t="shared" si="25"/>
        <v>30</v>
      </c>
      <c r="AF72" s="206">
        <f t="shared" si="25"/>
        <v>31</v>
      </c>
      <c r="AG72" s="206">
        <f t="shared" si="25"/>
        <v>32</v>
      </c>
      <c r="AH72" s="206">
        <f t="shared" si="25"/>
        <v>33</v>
      </c>
      <c r="AI72" s="206">
        <f t="shared" si="25"/>
        <v>34</v>
      </c>
      <c r="AJ72" s="206">
        <f t="shared" si="25"/>
        <v>35</v>
      </c>
      <c r="AK72" s="206">
        <f t="shared" si="25"/>
        <v>36</v>
      </c>
      <c r="AL72" s="206">
        <f t="shared" si="25"/>
        <v>37</v>
      </c>
      <c r="AM72" s="206">
        <f t="shared" si="25"/>
        <v>38</v>
      </c>
      <c r="AN72" s="206">
        <f t="shared" si="25"/>
        <v>39</v>
      </c>
      <c r="AO72" s="206">
        <f t="shared" si="25"/>
        <v>40</v>
      </c>
      <c r="AP72" s="206">
        <f t="shared" si="25"/>
        <v>41</v>
      </c>
      <c r="AQ72" s="206">
        <f>AQ55</f>
        <v>42</v>
      </c>
      <c r="AR72" s="206">
        <f>AR55</f>
        <v>43</v>
      </c>
      <c r="AS72" s="280"/>
      <c r="AT72" s="280"/>
      <c r="AU72" s="281"/>
      <c r="AV72" s="281"/>
    </row>
    <row r="73" spans="1:48" s="279" customFormat="1" ht="14.25" x14ac:dyDescent="0.2">
      <c r="A73" s="217" t="s">
        <v>506</v>
      </c>
      <c r="B73" s="218">
        <f t="shared" ref="B73:AP73" si="26">B66</f>
        <v>54171444.217242703</v>
      </c>
      <c r="C73" s="218">
        <f t="shared" si="26"/>
        <v>761482081.29794395</v>
      </c>
      <c r="D73" s="218">
        <f>D66</f>
        <v>134379149.64081401</v>
      </c>
      <c r="E73" s="218">
        <f t="shared" si="26"/>
        <v>-24001425.614725515</v>
      </c>
      <c r="F73" s="218">
        <f t="shared" si="26"/>
        <v>-24009444.974271934</v>
      </c>
      <c r="G73" s="218">
        <f t="shared" si="26"/>
        <v>-24814283.937069442</v>
      </c>
      <c r="H73" s="218">
        <f t="shared" si="26"/>
        <v>-24023864.833272491</v>
      </c>
      <c r="I73" s="218">
        <f t="shared" si="26"/>
        <v>-24031237.026790548</v>
      </c>
      <c r="J73" s="218">
        <f t="shared" si="26"/>
        <v>-24900527.860251304</v>
      </c>
      <c r="K73" s="218">
        <f t="shared" si="26"/>
        <v>-24044858.253318083</v>
      </c>
      <c r="L73" s="218">
        <f t="shared" si="26"/>
        <v>-24051327.081055284</v>
      </c>
      <c r="M73" s="218">
        <f t="shared" si="26"/>
        <v>-24976886.953693602</v>
      </c>
      <c r="N73" s="218">
        <f t="shared" si="26"/>
        <v>-24063467.541722357</v>
      </c>
      <c r="O73" s="218">
        <f t="shared" si="26"/>
        <v>-24069720.479978804</v>
      </c>
      <c r="P73" s="218">
        <f t="shared" si="26"/>
        <v>-25051932.021301568</v>
      </c>
      <c r="Q73" s="218">
        <f t="shared" si="26"/>
        <v>-24082604.033962388</v>
      </c>
      <c r="R73" s="218">
        <f t="shared" si="26"/>
        <v>-24089239.702063635</v>
      </c>
      <c r="S73" s="218">
        <f t="shared" si="26"/>
        <v>-25131570.447407685</v>
      </c>
      <c r="T73" s="218">
        <f t="shared" si="26"/>
        <v>-24102911.832619447</v>
      </c>
      <c r="U73" s="218">
        <f t="shared" si="26"/>
        <v>-24109953.656693839</v>
      </c>
      <c r="V73" s="218">
        <f t="shared" si="26"/>
        <v>-25216083.382298905</v>
      </c>
      <c r="W73" s="218">
        <f t="shared" si="26"/>
        <v>-24124462.631016709</v>
      </c>
      <c r="X73" s="218">
        <f t="shared" si="26"/>
        <v>-24131935.471059043</v>
      </c>
      <c r="Y73" s="218">
        <f t="shared" si="26"/>
        <v>-25305769.184908945</v>
      </c>
      <c r="Z73" s="218">
        <f t="shared" si="26"/>
        <v>-24147332.51068227</v>
      </c>
      <c r="AA73" s="218">
        <f t="shared" si="26"/>
        <v>-24155262.748317916</v>
      </c>
      <c r="AB73" s="218">
        <f t="shared" si="26"/>
        <v>-25400944.476125143</v>
      </c>
      <c r="AC73" s="218">
        <f t="shared" si="26"/>
        <v>-24171602.2099424</v>
      </c>
      <c r="AD73" s="218">
        <f t="shared" si="26"/>
        <v>-24180017.841563247</v>
      </c>
      <c r="AE73" s="218">
        <f t="shared" si="26"/>
        <v>-25501945.2565661</v>
      </c>
      <c r="AF73" s="218">
        <f t="shared" si="26"/>
        <v>-24197357.408954844</v>
      </c>
      <c r="AG73" s="218">
        <f t="shared" si="26"/>
        <v>-24206288.144555941</v>
      </c>
      <c r="AH73" s="218">
        <f t="shared" si="26"/>
        <v>-25609128.092776287</v>
      </c>
      <c r="AI73" s="218">
        <f t="shared" si="26"/>
        <v>-24224689.032188442</v>
      </c>
      <c r="AJ73" s="218">
        <f t="shared" si="26"/>
        <v>-24234166.400254212</v>
      </c>
      <c r="AK73" s="218">
        <f t="shared" si="26"/>
        <v>-25722871.37602523</v>
      </c>
      <c r="AL73" s="218">
        <f t="shared" si="26"/>
        <v>-24253693.569416922</v>
      </c>
      <c r="AM73" s="218">
        <f t="shared" si="26"/>
        <v>-24263751.028227258</v>
      </c>
      <c r="AN73" s="218">
        <f t="shared" si="26"/>
        <v>-25843576.65815527</v>
      </c>
      <c r="AO73" s="218">
        <f t="shared" si="26"/>
        <v>-24284473.41636008</v>
      </c>
      <c r="AP73" s="218">
        <f t="shared" si="26"/>
        <v>-24295146.472109284</v>
      </c>
      <c r="AQ73" s="218">
        <f>AQ66</f>
        <v>-25971670.069193929</v>
      </c>
      <c r="AR73" s="218">
        <f>AR66</f>
        <v>-24317137.236174941</v>
      </c>
      <c r="AS73" s="280"/>
      <c r="AT73" s="280"/>
      <c r="AU73" s="281"/>
      <c r="AV73" s="281"/>
    </row>
    <row r="74" spans="1:48" s="279" customFormat="1" x14ac:dyDescent="0.2">
      <c r="A74" s="219" t="s">
        <v>290</v>
      </c>
      <c r="B74" s="213">
        <f t="shared" ref="B74:AP74" si="27">-B65</f>
        <v>0</v>
      </c>
      <c r="C74" s="213">
        <f t="shared" si="27"/>
        <v>0</v>
      </c>
      <c r="D74" s="213">
        <f t="shared" si="27"/>
        <v>0</v>
      </c>
      <c r="E74" s="213">
        <f t="shared" si="27"/>
        <v>23750820.628899984</v>
      </c>
      <c r="F74" s="213">
        <f t="shared" si="27"/>
        <v>23750820.628899984</v>
      </c>
      <c r="G74" s="213">
        <f t="shared" si="27"/>
        <v>23750820.628899984</v>
      </c>
      <c r="H74" s="213">
        <f t="shared" si="27"/>
        <v>23750820.628899984</v>
      </c>
      <c r="I74" s="213">
        <f t="shared" si="27"/>
        <v>23750820.628899984</v>
      </c>
      <c r="J74" s="213">
        <f t="shared" si="27"/>
        <v>23750820.628899984</v>
      </c>
      <c r="K74" s="213">
        <f t="shared" si="27"/>
        <v>23750820.628899984</v>
      </c>
      <c r="L74" s="213">
        <f>-L65</f>
        <v>23750820.628899984</v>
      </c>
      <c r="M74" s="213">
        <f>-M65</f>
        <v>23750820.628899984</v>
      </c>
      <c r="N74" s="213">
        <f t="shared" si="27"/>
        <v>23750820.628899984</v>
      </c>
      <c r="O74" s="213">
        <f t="shared" si="27"/>
        <v>23750820.628899984</v>
      </c>
      <c r="P74" s="213">
        <f t="shared" si="27"/>
        <v>23750820.628899984</v>
      </c>
      <c r="Q74" s="213">
        <f t="shared" si="27"/>
        <v>23750820.628899984</v>
      </c>
      <c r="R74" s="213">
        <f t="shared" si="27"/>
        <v>23750820.628899984</v>
      </c>
      <c r="S74" s="213">
        <f t="shared" si="27"/>
        <v>23750820.628899984</v>
      </c>
      <c r="T74" s="213">
        <f t="shared" si="27"/>
        <v>23750820.628899984</v>
      </c>
      <c r="U74" s="213">
        <f t="shared" si="27"/>
        <v>23750820.628899984</v>
      </c>
      <c r="V74" s="213">
        <f t="shared" si="27"/>
        <v>23750820.628899984</v>
      </c>
      <c r="W74" s="213">
        <f t="shared" si="27"/>
        <v>23750820.628899984</v>
      </c>
      <c r="X74" s="213">
        <f t="shared" si="27"/>
        <v>23750820.628899984</v>
      </c>
      <c r="Y74" s="213">
        <f t="shared" si="27"/>
        <v>23750820.628899984</v>
      </c>
      <c r="Z74" s="213">
        <f t="shared" si="27"/>
        <v>23750820.628899984</v>
      </c>
      <c r="AA74" s="213">
        <f t="shared" si="27"/>
        <v>23750820.628899984</v>
      </c>
      <c r="AB74" s="213">
        <f t="shared" si="27"/>
        <v>23750820.628899984</v>
      </c>
      <c r="AC74" s="213">
        <f t="shared" si="27"/>
        <v>23750820.628899984</v>
      </c>
      <c r="AD74" s="213">
        <f t="shared" si="27"/>
        <v>23750820.628899984</v>
      </c>
      <c r="AE74" s="213">
        <f t="shared" si="27"/>
        <v>23750820.628899984</v>
      </c>
      <c r="AF74" s="213">
        <f t="shared" si="27"/>
        <v>23750820.628899984</v>
      </c>
      <c r="AG74" s="213">
        <f t="shared" si="27"/>
        <v>23750820.628899984</v>
      </c>
      <c r="AH74" s="213">
        <f t="shared" si="27"/>
        <v>23750820.628899984</v>
      </c>
      <c r="AI74" s="213">
        <f t="shared" si="27"/>
        <v>23750820.628899984</v>
      </c>
      <c r="AJ74" s="213">
        <f t="shared" si="27"/>
        <v>23750820.628899984</v>
      </c>
      <c r="AK74" s="213">
        <f t="shared" si="27"/>
        <v>23750820.628899984</v>
      </c>
      <c r="AL74" s="213">
        <f t="shared" si="27"/>
        <v>23750820.628899984</v>
      </c>
      <c r="AM74" s="213">
        <f t="shared" si="27"/>
        <v>23750820.628899984</v>
      </c>
      <c r="AN74" s="213">
        <f t="shared" si="27"/>
        <v>23750820.628899984</v>
      </c>
      <c r="AO74" s="213">
        <f t="shared" si="27"/>
        <v>23750820.628899984</v>
      </c>
      <c r="AP74" s="213">
        <f t="shared" si="27"/>
        <v>23750820.628899984</v>
      </c>
      <c r="AQ74" s="213">
        <f>-AQ65</f>
        <v>23750820.628899984</v>
      </c>
      <c r="AR74" s="213">
        <f>-AR65</f>
        <v>23750820.628899984</v>
      </c>
      <c r="AS74" s="280"/>
      <c r="AT74" s="280"/>
      <c r="AU74" s="281"/>
      <c r="AV74" s="281"/>
    </row>
    <row r="75" spans="1:48" s="279" customFormat="1" x14ac:dyDescent="0.2">
      <c r="A75" s="219" t="s">
        <v>289</v>
      </c>
      <c r="B75" s="213">
        <f t="shared" ref="B75:AP75" si="28">B67</f>
        <v>0</v>
      </c>
      <c r="C75" s="213">
        <f t="shared" si="28"/>
        <v>0</v>
      </c>
      <c r="D75" s="213">
        <f t="shared" si="28"/>
        <v>0</v>
      </c>
      <c r="E75" s="213">
        <f t="shared" si="28"/>
        <v>0</v>
      </c>
      <c r="F75" s="213">
        <f t="shared" si="28"/>
        <v>0</v>
      </c>
      <c r="G75" s="213">
        <f t="shared" si="28"/>
        <v>0</v>
      </c>
      <c r="H75" s="213">
        <f t="shared" si="28"/>
        <v>0</v>
      </c>
      <c r="I75" s="213">
        <f t="shared" si="28"/>
        <v>0</v>
      </c>
      <c r="J75" s="213">
        <f t="shared" si="28"/>
        <v>0</v>
      </c>
      <c r="K75" s="213">
        <f t="shared" si="28"/>
        <v>0</v>
      </c>
      <c r="L75" s="213">
        <f t="shared" si="28"/>
        <v>0</v>
      </c>
      <c r="M75" s="213">
        <f t="shared" si="28"/>
        <v>0</v>
      </c>
      <c r="N75" s="213">
        <f t="shared" si="28"/>
        <v>0</v>
      </c>
      <c r="O75" s="213">
        <f t="shared" si="28"/>
        <v>0</v>
      </c>
      <c r="P75" s="213">
        <f t="shared" si="28"/>
        <v>0</v>
      </c>
      <c r="Q75" s="213">
        <f t="shared" si="28"/>
        <v>0</v>
      </c>
      <c r="R75" s="213">
        <f t="shared" si="28"/>
        <v>0</v>
      </c>
      <c r="S75" s="213">
        <f t="shared" si="28"/>
        <v>0</v>
      </c>
      <c r="T75" s="213">
        <f t="shared" si="28"/>
        <v>0</v>
      </c>
      <c r="U75" s="213">
        <f t="shared" si="28"/>
        <v>0</v>
      </c>
      <c r="V75" s="213">
        <f t="shared" si="28"/>
        <v>0</v>
      </c>
      <c r="W75" s="213">
        <f t="shared" si="28"/>
        <v>0</v>
      </c>
      <c r="X75" s="213">
        <f t="shared" si="28"/>
        <v>0</v>
      </c>
      <c r="Y75" s="213">
        <f t="shared" si="28"/>
        <v>0</v>
      </c>
      <c r="Z75" s="213">
        <f t="shared" si="28"/>
        <v>0</v>
      </c>
      <c r="AA75" s="213">
        <f t="shared" si="28"/>
        <v>0</v>
      </c>
      <c r="AB75" s="213">
        <f t="shared" si="28"/>
        <v>0</v>
      </c>
      <c r="AC75" s="213">
        <f t="shared" si="28"/>
        <v>0</v>
      </c>
      <c r="AD75" s="213">
        <f t="shared" si="28"/>
        <v>0</v>
      </c>
      <c r="AE75" s="213">
        <f t="shared" si="28"/>
        <v>0</v>
      </c>
      <c r="AF75" s="213">
        <f t="shared" si="28"/>
        <v>0</v>
      </c>
      <c r="AG75" s="213">
        <f t="shared" si="28"/>
        <v>0</v>
      </c>
      <c r="AH75" s="213">
        <f t="shared" si="28"/>
        <v>0</v>
      </c>
      <c r="AI75" s="213">
        <f t="shared" si="28"/>
        <v>0</v>
      </c>
      <c r="AJ75" s="213">
        <f t="shared" si="28"/>
        <v>0</v>
      </c>
      <c r="AK75" s="213">
        <f t="shared" si="28"/>
        <v>0</v>
      </c>
      <c r="AL75" s="213">
        <f t="shared" si="28"/>
        <v>0</v>
      </c>
      <c r="AM75" s="213">
        <f t="shared" si="28"/>
        <v>0</v>
      </c>
      <c r="AN75" s="213">
        <f t="shared" si="28"/>
        <v>0</v>
      </c>
      <c r="AO75" s="213">
        <f t="shared" si="28"/>
        <v>0</v>
      </c>
      <c r="AP75" s="213">
        <f t="shared" si="28"/>
        <v>0</v>
      </c>
      <c r="AQ75" s="213">
        <f>AQ67</f>
        <v>0</v>
      </c>
      <c r="AR75" s="213">
        <f>AR67</f>
        <v>0</v>
      </c>
      <c r="AS75" s="280"/>
      <c r="AT75" s="280"/>
      <c r="AU75" s="281"/>
      <c r="AV75" s="281"/>
    </row>
    <row r="76" spans="1:48" s="279" customFormat="1" x14ac:dyDescent="0.2">
      <c r="A76" s="219" t="s">
        <v>288</v>
      </c>
      <c r="B76" s="213">
        <f>IF(SUM($B$69:B69)+SUM($A$76:A76)&gt;0,0,SUM($B$69:B69)-SUM($A$76:A76))</f>
        <v>-10834288.843448542</v>
      </c>
      <c r="C76" s="213">
        <f>IF(SUM($B$69:C69)+SUM($A$76:B76)&gt;0,0,SUM($B$69:C69)-SUM($A$76:B76))</f>
        <v>-152296416.25958881</v>
      </c>
      <c r="D76" s="213">
        <f>IF(SUM($B$69:D69)+SUM($A$76:C76)&gt;0,0,SUM($B$69:D69)-SUM($A$76:C76))</f>
        <v>-26875829.928162813</v>
      </c>
      <c r="E76" s="213">
        <f>IF(SUM($B$69:E69)+SUM($A$76:D76)&gt;0,0,SUM($B$69:E69)-SUM($A$76:D76))</f>
        <v>4800285.1229451001</v>
      </c>
      <c r="F76" s="213">
        <f>IF(SUM($B$69:F69)+SUM($A$76:E76)&gt;0,0,SUM($B$69:F69)-SUM($A$76:E76))</f>
        <v>4801888.9948543906</v>
      </c>
      <c r="G76" s="213">
        <f>IF(SUM($B$69:G69)+SUM($A$76:F76)&gt;0,0,SUM($B$69:G69)-SUM($A$76:F76))</f>
        <v>4962856.7874138951</v>
      </c>
      <c r="H76" s="213">
        <f>IF(SUM($B$69:H69)+SUM($A$76:G76)&gt;0,0,SUM($B$69:H69)-SUM($A$76:G76))</f>
        <v>4804772.9666545093</v>
      </c>
      <c r="I76" s="213">
        <f>IF(SUM($B$69:I69)+SUM($A$76:H76)&gt;0,0,SUM($B$69:I69)-SUM($A$76:H76))</f>
        <v>4806247.4053581059</v>
      </c>
      <c r="J76" s="213">
        <f>IF(SUM($B$69:J69)+SUM($A$76:I76)&gt;0,0,SUM($B$69:J69)-SUM($A$76:I76))</f>
        <v>4980105.5720502734</v>
      </c>
      <c r="K76" s="213">
        <f>IF(SUM($B$69:K69)+SUM($A$76:J76)&gt;0,0,SUM($B$69:K69)-SUM($A$76:J76))</f>
        <v>4808971.6506636143</v>
      </c>
      <c r="L76" s="213">
        <f>IF(SUM($B$69:L69)+SUM($A$76:K76)&gt;0,0,SUM($B$69:L69)-SUM($A$76:K76))</f>
        <v>4810265.4162110686</v>
      </c>
      <c r="M76" s="213">
        <f>IF(SUM($B$69:M69)+SUM($A$76:L76)&gt;0,0,SUM($B$69:M69)-SUM($A$76:L76))</f>
        <v>4995377.3907387257</v>
      </c>
      <c r="N76" s="213">
        <f>IF(SUM($B$69:N69)+SUM($A$76:M76)&gt;0,0,SUM($B$69:N69)-SUM($A$76:M76))</f>
        <v>4812693.5083444715</v>
      </c>
      <c r="O76" s="213">
        <f>IF(SUM($B$69:O69)+SUM($A$76:N76)&gt;0,0,SUM($B$69:O69)-SUM($A$76:N76))</f>
        <v>4813944.095995754</v>
      </c>
      <c r="P76" s="213">
        <f>IF(SUM($B$69:P69)+SUM($A$76:O76)&gt;0,0,SUM($B$69:P69)-SUM($A$76:O76))</f>
        <v>5010386.4042603076</v>
      </c>
      <c r="Q76" s="213">
        <f>IF(SUM($B$69:Q69)+SUM($A$76:P76)&gt;0,0,SUM($B$69:Q69)-SUM($A$76:P76))</f>
        <v>4816520.8067924827</v>
      </c>
      <c r="R76" s="213">
        <f>IF(SUM($B$69:R69)+SUM($A$76:Q76)&gt;0,0,SUM($B$69:R69)-SUM($A$76:Q76))</f>
        <v>4817847.94041273</v>
      </c>
      <c r="S76" s="213">
        <f>IF(SUM($B$69:S69)+SUM($A$76:R76)&gt;0,0,SUM($B$69:S69)-SUM($A$76:R76))</f>
        <v>5026314.0894815326</v>
      </c>
      <c r="T76" s="213">
        <f>IF(SUM($B$69:T69)+SUM($A$76:S76)&gt;0,0,SUM($B$69:T69)-SUM($A$76:S76))</f>
        <v>4820582.3665238917</v>
      </c>
      <c r="U76" s="213">
        <f>IF(SUM($B$69:U69)+SUM($A$76:T76)&gt;0,0,SUM($B$69:U69)-SUM($A$76:T76))</f>
        <v>4821990.7313387692</v>
      </c>
      <c r="V76" s="213">
        <f>IF(SUM($B$69:V69)+SUM($A$76:U76)&gt;0,0,SUM($B$69:V69)-SUM($A$76:U76))</f>
        <v>5043216.6764597744</v>
      </c>
      <c r="W76" s="213">
        <f>IF(SUM($B$69:W69)+SUM($A$76:V76)&gt;0,0,SUM($B$69:W69)-SUM($A$76:V76))</f>
        <v>4824892.5262033343</v>
      </c>
      <c r="X76" s="213">
        <f>IF(SUM($B$69:X69)+SUM($A$76:W76)&gt;0,0,SUM($B$69:X69)-SUM($A$76:W76))</f>
        <v>4826387.0942118019</v>
      </c>
      <c r="Y76" s="213">
        <f>IF(SUM($B$69:Y69)+SUM($A$76:X76)&gt;0,0,SUM($B$69:Y69)-SUM($A$76:X76))</f>
        <v>5061153.8369817883</v>
      </c>
      <c r="Z76" s="213">
        <f>IF(SUM($B$69:Z69)+SUM($A$76:Y76)&gt;0,0,SUM($B$69:Z69)-SUM($A$76:Y76))</f>
        <v>4829466.502136454</v>
      </c>
      <c r="AA76" s="213">
        <f>IF(SUM($B$69:AA69)+SUM($A$76:Z76)&gt;0,0,SUM($B$69:AA69)-SUM($A$76:Z76))</f>
        <v>4831052.5496635884</v>
      </c>
      <c r="AB76" s="213">
        <f>IF(SUM($B$69:AB69)+SUM($A$76:AA76)&gt;0,0,SUM($B$69:AB69)-SUM($A$76:AA76))</f>
        <v>5080188.8952250332</v>
      </c>
      <c r="AC76" s="213">
        <f>IF(SUM($B$69:AC69)+SUM($A$76:AB76)&gt;0,0,SUM($B$69:AC69)-SUM($A$76:AB76))</f>
        <v>4834320.4419884831</v>
      </c>
      <c r="AD76" s="213">
        <f>IF(SUM($B$69:AD69)+SUM($A$76:AC76)&gt;0,0,SUM($B$69:AD69)-SUM($A$76:AC76))</f>
        <v>4836003.5683126524</v>
      </c>
      <c r="AE76" s="213">
        <f>IF(SUM($B$69:AE69)+SUM($A$76:AD76)&gt;0,0,SUM($B$69:AE69)-SUM($A$76:AD76))</f>
        <v>5100389.0513132215</v>
      </c>
      <c r="AF76" s="213">
        <f>IF(SUM($B$69:AF69)+SUM($A$76:AE76)&gt;0,0,SUM($B$69:AF69)-SUM($A$76:AE76))</f>
        <v>4839471.4817909673</v>
      </c>
      <c r="AG76" s="213">
        <f>IF(SUM($B$69:AG69)+SUM($A$76:AF76)&gt;0,0,SUM($B$69:AG69)-SUM($A$76:AF76))</f>
        <v>4841257.6289111897</v>
      </c>
      <c r="AH76" s="213">
        <f>IF(SUM($B$69:AH69)+SUM($A$76:AG76)&gt;0,0,SUM($B$69:AH69)-SUM($A$76:AG76))</f>
        <v>5121825.6185552552</v>
      </c>
      <c r="AI76" s="213">
        <f>IF(SUM($B$69:AI69)+SUM($A$76:AH76)&gt;0,0,SUM($B$69:AI69)-SUM($A$76:AH76))</f>
        <v>4844937.8064376861</v>
      </c>
      <c r="AJ76" s="213">
        <f>IF(SUM($B$69:AJ69)+SUM($A$76:AI76)&gt;0,0,SUM($B$69:AJ69)-SUM($A$76:AI76))</f>
        <v>4846833.280050844</v>
      </c>
      <c r="AK76" s="213">
        <f>IF(SUM($B$69:AK69)+SUM($A$76:AJ76)&gt;0,0,SUM($B$69:AK69)-SUM($A$76:AJ76))</f>
        <v>5144574.2752050459</v>
      </c>
      <c r="AL76" s="213">
        <f>IF(SUM($B$69:AL69)+SUM($A$76:AK76)&gt;0,0,SUM($B$69:AL69)-SUM($A$76:AK76))</f>
        <v>4850738.7138833851</v>
      </c>
      <c r="AM76" s="213">
        <f>IF(SUM($B$69:AM69)+SUM($A$76:AL76)&gt;0,0,SUM($B$69:AM69)-SUM($A$76:AL76))</f>
        <v>4852750.2056454532</v>
      </c>
      <c r="AN76" s="213">
        <f>IF(SUM($B$69:AN69)+SUM($A$76:AM76)&gt;0,0,SUM($B$69:AN69)-SUM($A$76:AM76))</f>
        <v>5168715.3316310532</v>
      </c>
      <c r="AO76" s="213">
        <f>IF(SUM($B$69:AO69)+SUM($A$76:AN76)&gt;0,0,SUM($B$69:AO69)-SUM($A$76:AN76))</f>
        <v>4856894.6832720153</v>
      </c>
      <c r="AP76" s="213">
        <f>IF(SUM($B$69:AP69)+SUM($A$76:AO76)&gt;0,0,SUM($B$69:AP69)-SUM($A$76:AO76))</f>
        <v>4859029.2944218572</v>
      </c>
      <c r="AQ76" s="213">
        <f>IF(SUM($B$69:AQ69)+SUM($A$76:AP76)&gt;0,0,SUM($B$69:AQ69)-SUM($A$76:AP76))</f>
        <v>5194334.0138387866</v>
      </c>
      <c r="AR76" s="213">
        <f>IF(SUM($B$69:AR69)+SUM($A$76:AQ76)&gt;0,0,SUM($B$69:AR69)-SUM($A$76:AQ76))</f>
        <v>0</v>
      </c>
      <c r="AS76" s="280"/>
      <c r="AT76" s="280"/>
      <c r="AU76" s="281"/>
      <c r="AV76" s="281"/>
    </row>
    <row r="77" spans="1:48" s="279" customFormat="1" x14ac:dyDescent="0.2">
      <c r="A77" s="219" t="s">
        <v>287</v>
      </c>
      <c r="B77" s="213">
        <f>IF(((SUM($B$56:B56)+SUM($B$58:B62))+SUM($B$79:B79))&lt;0,((SUM($B$56:B56)+SUM($B$58:B62))+SUM($B$79:B79))*0.18-SUM($A$77:A77),IF(SUM(A$77:$B77)&lt;0,0-SUM(A$77:$B77),0))</f>
        <v>-9</v>
      </c>
      <c r="C77" s="213">
        <f>IF(((SUM($B$56:C56)+SUM($B$58:C62))+SUM($B$79:C79))&lt;0,((SUM($B$56:C56)+SUM($B$58:C62))+SUM($B$79:C79))*0.18-SUM($A$77:B77),IF(SUM(B$77:$B77)&lt;0,0-SUM(B$77:$B77),0))</f>
        <v>-9</v>
      </c>
      <c r="D77" s="213">
        <f>IF(((SUM($B$56:D56)+SUM($B$58:D62))+SUM($B$79:D79))&lt;0,((SUM($B$56:D56)+SUM($B$58:D62))+SUM($B$79:D79))*0.18-SUM($A$77:C77),IF(SUM($B$77:C77)&lt;0,0-SUM($B$77:C77),0))</f>
        <v>-9</v>
      </c>
      <c r="E77" s="213">
        <f>IF(((SUM($B$56:E56)+SUM($B$58:E62))+SUM($B$79:E79))&lt;0,((SUM($B$56:E56)+SUM($B$58:E62))+SUM($B$79:E79))*0.18-SUM($A$77:D77),IF(SUM($B$77:D77)&lt;0,0-SUM($B$77:D77),0))</f>
        <v>-45108.897448596952</v>
      </c>
      <c r="F77" s="213">
        <f>IF(((SUM($B$56:F56)+SUM($B$58:F62))+SUM($B$79:F79))&lt;0,((SUM($B$56:F56)+SUM($B$58:F62))+SUM($B$79:F79))*0.18-SUM($A$77:E77),IF(SUM($B$77:E77)&lt;0,0-SUM($B$77:E77),0))</f>
        <v>-46552.382166953088</v>
      </c>
      <c r="G77" s="213">
        <f>IF(((SUM($B$56:G56)+SUM($B$58:G62))+SUM($B$79:G79))&lt;0,((SUM($B$56:G56)+SUM($B$58:G62))+SUM($B$79:G79))*0.18-SUM($A$77:F77),IF(SUM($B$77:F77)&lt;0,0-SUM($B$77:F77),0))</f>
        <v>-191423.39547050712</v>
      </c>
      <c r="H77" s="213">
        <f>IF(((SUM($B$56:H56)+SUM($B$58:H62))+SUM($B$79:H79))&lt;0,((SUM($B$56:H56)+SUM($B$58:H62))+SUM($B$79:H79))*0.18-SUM($A$77:G77),IF(SUM($B$77:G77)&lt;0,0-SUM($B$77:G77),0))</f>
        <v>-49147.956787033065</v>
      </c>
      <c r="I77" s="213">
        <f>IF(((SUM($B$56:I56)+SUM($B$58:I62))+SUM($B$79:I79))&lt;0,((SUM($B$56:I56)+SUM($B$58:I62))+SUM($B$79:I79))*0.18-SUM($A$77:H77),IF(SUM($B$77:H77)&lt;0,0-SUM($B$77:H77),0))</f>
        <v>-50474.951620302221</v>
      </c>
      <c r="J77" s="213">
        <f>IF(((SUM($B$56:J56)+SUM($B$58:J62))+SUM($B$79:J79))&lt;0,((SUM($B$56:J56)+SUM($B$58:J62))+SUM($B$79:J79))*0.18-SUM($A$77:I77),IF(SUM($B$77:I77)&lt;0,0-SUM($B$77:I77),0))</f>
        <v>-206947.3016432476</v>
      </c>
      <c r="K77" s="213">
        <f>IF(((SUM($B$56:K56)+SUM($B$58:K62))+SUM($B$79:K79))&lt;0,((SUM($B$56:K56)+SUM($B$58:K62))+SUM($B$79:K79))*0.18-SUM($A$77:J77),IF(SUM($B$77:J77)&lt;0,0-SUM($B$77:J77),0))</f>
        <v>-52926.772395265056</v>
      </c>
      <c r="L77" s="213">
        <f>IF(((SUM($B$56:L56)+SUM($B$58:L62))+SUM($B$79:L79))&lt;0,((SUM($B$56:L56)+SUM($B$58:L62))+SUM($B$79:L79))*0.18-SUM($A$77:K77),IF(SUM($B$77:K77)&lt;0,0-SUM($B$77:K77),0))</f>
        <v>-54091.161387941916</v>
      </c>
      <c r="M77" s="213">
        <f>IF(((SUM($B$56:M56)+SUM($B$58:M62))+SUM($B$79:M79))&lt;0,((SUM($B$56:M56)+SUM($B$58:M62))+SUM($B$79:M79))*0.18-SUM($A$77:L77),IF(SUM($B$77:L77)&lt;0,0-SUM($B$77:L77),0))</f>
        <v>-220691.93846286531</v>
      </c>
      <c r="N77" s="213">
        <f>IF(((SUM($B$56:N56)+SUM($B$58:N62))+SUM($B$79:N79))&lt;0,((SUM($B$56:N56)+SUM($B$58:N62))+SUM($B$79:N79))*0.18-SUM($A$77:M77),IF(SUM($B$77:M77)&lt;0,0-SUM($B$77:M77),0))</f>
        <v>-56276.444308025879</v>
      </c>
      <c r="O77" s="213">
        <f>IF(((SUM($B$56:O56)+SUM($B$58:O62))+SUM($B$79:O79))&lt;0,((SUM($B$56:O56)+SUM($B$58:O62))+SUM($B$79:O79))*0.18-SUM($A$77:N77),IF(SUM($B$77:N77)&lt;0,0-SUM($B$77:N77),0))</f>
        <v>-57401.973194174701</v>
      </c>
      <c r="P77" s="213">
        <f>IF(((SUM($B$56:P56)+SUM($B$58:P62))+SUM($B$79:P79))&lt;0,((SUM($B$56:P56)+SUM($B$58:P62))+SUM($B$79:P79))*0.18-SUM($A$77:O77),IF(SUM($B$77:O77)&lt;0,0-SUM($B$77:O77),0))</f>
        <v>-234200.05063228367</v>
      </c>
      <c r="Q77" s="213">
        <f>IF(((SUM($B$56:Q56)+SUM($B$58:Q62))+SUM($B$79:Q79))&lt;0,((SUM($B$56:Q56)+SUM($B$58:Q62))+SUM($B$79:Q79))*0.18-SUM($A$77:P77),IF(SUM($B$77:P77)&lt;0,0-SUM($B$77:P77),0))</f>
        <v>-59721.012911238708</v>
      </c>
      <c r="R77" s="213">
        <f>IF(((SUM($B$56:R56)+SUM($B$58:R62))+SUM($B$79:R79))&lt;0,((SUM($B$56:R56)+SUM($B$58:R62))+SUM($B$79:R79))*0.18-SUM($A$77:Q77),IF(SUM($B$77:Q77)&lt;0,0-SUM($B$77:Q77),0))</f>
        <v>-60915.433169453172</v>
      </c>
      <c r="S77" s="213">
        <f>IF(((SUM($B$56:S56)+SUM($B$58:S62))+SUM($B$79:S79))&lt;0,((SUM($B$56:S56)+SUM($B$58:S62))+SUM($B$79:S79))*0.18-SUM($A$77:R77),IF(SUM($B$77:R77)&lt;0,0-SUM($B$77:R77),0))</f>
        <v>-248534.96733138082</v>
      </c>
      <c r="T77" s="213">
        <f>IF(((SUM($B$56:T56)+SUM($B$58:T62))+SUM($B$79:T79))&lt;0,((SUM($B$56:T56)+SUM($B$58:T62))+SUM($B$79:T79))*0.18-SUM($A$77:S77),IF(SUM($B$77:S77)&lt;0,0-SUM($B$77:S77),0))</f>
        <v>-63376.416669509374</v>
      </c>
      <c r="U77" s="213">
        <f>IF(((SUM($B$56:U56)+SUM($B$58:U62))+SUM($B$79:U79))&lt;0,((SUM($B$56:U56)+SUM($B$58:U62))+SUM($B$79:U79))*0.18-SUM($A$77:T77),IF(SUM($B$77:T77)&lt;0,0-SUM($B$77:T77),0))</f>
        <v>-64643.945002899272</v>
      </c>
      <c r="V77" s="213">
        <f>IF(((SUM($B$56:V56)+SUM($B$58:V62))+SUM($B$79:V79))&lt;0,((SUM($B$56:V56)+SUM($B$58:V62))+SUM($B$79:V79))*0.18-SUM($A$77:U77),IF(SUM($B$77:U77)&lt;0,0-SUM($B$77:U77),0))</f>
        <v>-263747.29561180109</v>
      </c>
      <c r="W77" s="213">
        <f>IF(((SUM($B$56:W56)+SUM($B$58:W62))+SUM($B$79:W79))&lt;0,((SUM($B$56:W56)+SUM($B$58:W62))+SUM($B$79:W79))*0.18-SUM($A$77:V77),IF(SUM($B$77:V77)&lt;0,0-SUM($B$77:V77),0))</f>
        <v>-67255.560381002491</v>
      </c>
      <c r="X77" s="213">
        <f>IF(((SUM($B$56:X56)+SUM($B$58:X62))+SUM($B$79:X79))&lt;0,((SUM($B$56:X56)+SUM($B$58:X62))+SUM($B$79:X79))*0.18-SUM($A$77:W77),IF(SUM($B$77:W77)&lt;0,0-SUM($B$77:W77),0))</f>
        <v>-68600.671588647179</v>
      </c>
      <c r="Y77" s="213">
        <f>IF(((SUM($B$56:Y56)+SUM($B$58:Y62))+SUM($B$79:Y79))&lt;0,((SUM($B$56:Y56)+SUM($B$58:Y62))+SUM($B$79:Y79))*0.18-SUM($A$77:X77),IF(SUM($B$77:X77)&lt;0,0-SUM($B$77:X77),0))</f>
        <v>-279890.7400816083</v>
      </c>
      <c r="Z77" s="213">
        <f>IF(((SUM($B$56:Z56)+SUM($B$58:Z62))+SUM($B$79:Z79))&lt;0,((SUM($B$56:Z56)+SUM($B$58:Z62))+SUM($B$79:Z79))*0.18-SUM($A$77:Y77),IF(SUM($B$77:Y77)&lt;0,0-SUM($B$77:Y77),0))</f>
        <v>-71372.138720812742</v>
      </c>
      <c r="AA77" s="213">
        <f>IF(((SUM($B$56:AA56)+SUM($B$58:AA62))+SUM($B$79:AA79))&lt;0,((SUM($B$56:AA56)+SUM($B$58:AA62))+SUM($B$79:AA79))*0.18-SUM($A$77:Z77),IF(SUM($B$77:Z77)&lt;0,0-SUM($B$77:Z77),0))</f>
        <v>-72799.581495223101</v>
      </c>
      <c r="AB77" s="213">
        <f>IF(((SUM($B$56:AB56)+SUM($B$58:AB62))+SUM($B$79:AB79))&lt;0,((SUM($B$56:AB56)+SUM($B$58:AB62))+SUM($B$79:AB79))*0.18-SUM($A$77:AA77),IF(SUM($B$77:AA77)&lt;0,0-SUM($B$77:AA77),0))</f>
        <v>-297022.29250053409</v>
      </c>
      <c r="AC77" s="213">
        <f>IF(((SUM($B$56:AC56)+SUM($B$58:AC62))+SUM($B$79:AC79))&lt;0,((SUM($B$56:AC56)+SUM($B$58:AC62))+SUM($B$79:AC79))*0.18-SUM($A$77:AB77),IF(SUM($B$77:AB77)&lt;0,0-SUM($B$77:AB77),0))</f>
        <v>-75740.684587633703</v>
      </c>
      <c r="AD77" s="213">
        <f>IF(((SUM($B$56:AD56)+SUM($B$58:AD62))+SUM($B$79:AD79))&lt;0,((SUM($B$56:AD56)+SUM($B$58:AD62))+SUM($B$79:AD79))*0.18-SUM($A$77:AC77),IF(SUM($B$77:AC77)&lt;0,0-SUM($B$77:AC77),0))</f>
        <v>-77255.498279392719</v>
      </c>
      <c r="AE77" s="213">
        <f>IF(((SUM($B$56:AE56)+SUM($B$58:AE62))+SUM($B$79:AE79))&lt;0,((SUM($B$56:AE56)+SUM($B$58:AE62))+SUM($B$79:AE79))*0.18-SUM($A$77:AD77),IF(SUM($B$77:AD77)&lt;0,0-SUM($B$77:AD77),0))</f>
        <v>-315202.43297990086</v>
      </c>
      <c r="AF77" s="213">
        <f>IF(((SUM($B$56:AF56)+SUM($B$58:AF62))+SUM($B$79:AF79))&lt;0,((SUM($B$56:AF56)+SUM($B$58:AF62))+SUM($B$79:AF79))*0.18-SUM($A$77:AE77),IF(SUM($B$77:AE77)&lt;0,0-SUM($B$77:AE77),0))</f>
        <v>-80376.620409865398</v>
      </c>
      <c r="AG77" s="213">
        <f>IF(((SUM($B$56:AG56)+SUM($B$58:AG62))+SUM($B$79:AG79))&lt;0,((SUM($B$56:AG56)+SUM($B$58:AG62))+SUM($B$79:AG79))*0.18-SUM($A$77:AF77),IF(SUM($B$77:AF77)&lt;0,0-SUM($B$77:AF77),0))</f>
        <v>-81984.152818078641</v>
      </c>
      <c r="AH77" s="213">
        <f>IF(((SUM($B$56:AH56)+SUM($B$58:AH62))+SUM($B$79:AH79))&lt;0,((SUM($B$56:AH56)+SUM($B$58:AH62))+SUM($B$79:AH79))*0.18-SUM($A$77:AG77),IF(SUM($B$77:AG77)&lt;0,0-SUM($B$77:AG77),0))</f>
        <v>-334495.34349772474</v>
      </c>
      <c r="AI77" s="213">
        <f>IF(((SUM($B$56:AI56)+SUM($B$58:AI62))+SUM($B$79:AI79))&lt;0,((SUM($B$56:AI56)+SUM($B$58:AI62))+SUM($B$79:AI79))*0.18-SUM($A$77:AH77),IF(SUM($B$77:AH77)&lt;0,0-SUM($B$77:AH77),0))</f>
        <v>-85296.312591927126</v>
      </c>
      <c r="AJ77" s="213">
        <f>IF(((SUM($B$56:AJ56)+SUM($B$58:AJ62))+SUM($B$79:AJ79))&lt;0,((SUM($B$56:AJ56)+SUM($B$58:AJ62))+SUM($B$79:AJ79))*0.18-SUM($A$77:AI77),IF(SUM($B$77:AI77)&lt;0,0-SUM($B$77:AI77),0))</f>
        <v>-87002.238843755797</v>
      </c>
      <c r="AK77" s="213">
        <f>IF(((SUM($B$56:AK56)+SUM($B$58:AK62))+SUM($B$79:AK79))&lt;0,((SUM($B$56:AK56)+SUM($B$58:AK62))+SUM($B$79:AK79))*0.18-SUM($A$77:AJ77),IF(SUM($B$77:AJ77)&lt;0,0-SUM($B$77:AJ77),0))</f>
        <v>-354969.13448254811</v>
      </c>
      <c r="AL77" s="213">
        <f>IF(((SUM($B$56:AL56)+SUM($B$58:AL62))+SUM($B$79:AL79))&lt;0,((SUM($B$56:AL56)+SUM($B$58:AL62))+SUM($B$79:AL79))*0.18-SUM($A$77:AK77),IF(SUM($B$77:AK77)&lt;0,0-SUM($B$77:AK77),0))</f>
        <v>-90517.129293050617</v>
      </c>
      <c r="AM77" s="213">
        <f>IF(((SUM($B$56:AM56)+SUM($B$58:AM62))+SUM($B$79:AM79))&lt;0,((SUM($B$56:AM56)+SUM($B$58:AM62))+SUM($B$79:AM79))*0.18-SUM($A$77:AL77),IF(SUM($B$77:AL77)&lt;0,0-SUM($B$77:AL77),0))</f>
        <v>-92327.471878910437</v>
      </c>
      <c r="AN77" s="213">
        <f>IF(((SUM($B$56:AN56)+SUM($B$58:AN62))+SUM($B$79:AN79))&lt;0,((SUM($B$56:AN56)+SUM($B$58:AN62))+SUM($B$79:AN79))*0.18-SUM($A$77:AM77),IF(SUM($B$77:AM77)&lt;0,0-SUM($B$77:AM77),0))</f>
        <v>-376696.08526594844</v>
      </c>
      <c r="AO77" s="213">
        <f>IF(((SUM($B$56:AO56)+SUM($B$58:AO62))+SUM($B$79:AO79))&lt;0,((SUM($B$56:AO56)+SUM($B$58:AO62))+SUM($B$79:AO79))*0.18-SUM($A$77:AN77),IF(SUM($B$77:AN77)&lt;0,0-SUM($B$77:AN77),0))</f>
        <v>-96057.501742815599</v>
      </c>
      <c r="AP77" s="213">
        <f>IF(((SUM($B$56:AP56)+SUM($B$58:AP62))+SUM($B$79:AP79))&lt;0,((SUM($B$56:AP56)+SUM($B$58:AP62))+SUM($B$79:AP79))*0.18-SUM($A$77:AO77),IF(SUM($B$77:AO77)&lt;0,0-SUM($B$77:AO77),0))</f>
        <v>-97978.651777668856</v>
      </c>
      <c r="AQ77" s="213">
        <f>IF(((SUM($B$56:AQ56)+SUM($B$58:AQ62))+SUM($B$79:AQ79))&lt;0,((SUM($B$56:AQ56)+SUM($B$58:AQ62))+SUM($B$79:AQ79))*0.18-SUM($A$77:AP77),IF(SUM($B$77:AP77)&lt;0,0-SUM($B$77:AP77),0))</f>
        <v>-399752.89925292414</v>
      </c>
      <c r="AR77" s="213">
        <f>IF(((SUM($B$56:AR56)+SUM($B$58:AR62))+SUM($B$79:AR79))&lt;0,((SUM($B$56:AR56)+SUM($B$58:AR62))+SUM($B$79:AR79))*0.18-SUM($A$77:AQ77),IF(SUM($B$77:AQ77)&lt;0,0-SUM($B$77:AQ77),0))</f>
        <v>-101936.98930948041</v>
      </c>
      <c r="AS77" s="280"/>
      <c r="AT77" s="280"/>
      <c r="AU77" s="281"/>
      <c r="AV77" s="281"/>
    </row>
    <row r="78" spans="1:48" s="279" customFormat="1" x14ac:dyDescent="0.2">
      <c r="A78" s="219" t="s">
        <v>286</v>
      </c>
      <c r="B78" s="213">
        <f>-B56*(B36)</f>
        <v>-4875429.9795518434</v>
      </c>
      <c r="C78" s="213">
        <f>-(C56-B56)*$B$36</f>
        <v>-63657957.337263107</v>
      </c>
      <c r="D78" s="213">
        <f t="shared" ref="D78:E78" si="29">-(D56-C56)*$B$36</f>
        <v>56439263.849141695</v>
      </c>
      <c r="E78" s="213">
        <f t="shared" si="29"/>
        <v>12094123.467673261</v>
      </c>
      <c r="F78" s="213">
        <f t="shared" ref="F78:AP78" si="30">-(F56-E56)*$B$32</f>
        <v>0</v>
      </c>
      <c r="G78" s="213">
        <f t="shared" si="30"/>
        <v>0</v>
      </c>
      <c r="H78" s="213">
        <f t="shared" si="30"/>
        <v>0</v>
      </c>
      <c r="I78" s="213">
        <f t="shared" si="30"/>
        <v>0</v>
      </c>
      <c r="J78" s="213">
        <f t="shared" si="30"/>
        <v>0</v>
      </c>
      <c r="K78" s="213">
        <f t="shared" si="30"/>
        <v>0</v>
      </c>
      <c r="L78" s="213">
        <f t="shared" si="30"/>
        <v>0</v>
      </c>
      <c r="M78" s="213">
        <f t="shared" si="30"/>
        <v>0</v>
      </c>
      <c r="N78" s="213">
        <f t="shared" si="30"/>
        <v>0</v>
      </c>
      <c r="O78" s="213">
        <f t="shared" si="30"/>
        <v>0</v>
      </c>
      <c r="P78" s="213">
        <f t="shared" si="30"/>
        <v>0</v>
      </c>
      <c r="Q78" s="213">
        <f t="shared" si="30"/>
        <v>0</v>
      </c>
      <c r="R78" s="213">
        <f t="shared" si="30"/>
        <v>0</v>
      </c>
      <c r="S78" s="213">
        <f t="shared" si="30"/>
        <v>0</v>
      </c>
      <c r="T78" s="213">
        <f t="shared" si="30"/>
        <v>0</v>
      </c>
      <c r="U78" s="213">
        <f t="shared" si="30"/>
        <v>0</v>
      </c>
      <c r="V78" s="213">
        <f t="shared" si="30"/>
        <v>0</v>
      </c>
      <c r="W78" s="213">
        <f t="shared" si="30"/>
        <v>0</v>
      </c>
      <c r="X78" s="213">
        <f t="shared" si="30"/>
        <v>0</v>
      </c>
      <c r="Y78" s="213">
        <f t="shared" si="30"/>
        <v>0</v>
      </c>
      <c r="Z78" s="213">
        <f t="shared" si="30"/>
        <v>0</v>
      </c>
      <c r="AA78" s="213">
        <f t="shared" si="30"/>
        <v>0</v>
      </c>
      <c r="AB78" s="213">
        <f t="shared" si="30"/>
        <v>0</v>
      </c>
      <c r="AC78" s="213">
        <f t="shared" si="30"/>
        <v>0</v>
      </c>
      <c r="AD78" s="213">
        <f t="shared" si="30"/>
        <v>0</v>
      </c>
      <c r="AE78" s="213">
        <f t="shared" si="30"/>
        <v>0</v>
      </c>
      <c r="AF78" s="213">
        <f t="shared" si="30"/>
        <v>0</v>
      </c>
      <c r="AG78" s="213">
        <f t="shared" si="30"/>
        <v>0</v>
      </c>
      <c r="AH78" s="213">
        <f t="shared" si="30"/>
        <v>0</v>
      </c>
      <c r="AI78" s="213">
        <f t="shared" si="30"/>
        <v>0</v>
      </c>
      <c r="AJ78" s="213">
        <f t="shared" si="30"/>
        <v>0</v>
      </c>
      <c r="AK78" s="213">
        <f t="shared" si="30"/>
        <v>0</v>
      </c>
      <c r="AL78" s="213">
        <f t="shared" si="30"/>
        <v>0</v>
      </c>
      <c r="AM78" s="213">
        <f t="shared" si="30"/>
        <v>0</v>
      </c>
      <c r="AN78" s="213">
        <f t="shared" si="30"/>
        <v>0</v>
      </c>
      <c r="AO78" s="213">
        <f t="shared" si="30"/>
        <v>0</v>
      </c>
      <c r="AP78" s="213">
        <f t="shared" si="30"/>
        <v>0</v>
      </c>
      <c r="AQ78" s="213">
        <f>-(AQ56-AP56)*$B$32</f>
        <v>0</v>
      </c>
      <c r="AR78" s="213">
        <f>-(AR56-AQ56)*$B$32</f>
        <v>0</v>
      </c>
      <c r="AS78" s="280"/>
      <c r="AT78" s="280"/>
      <c r="AU78" s="281"/>
      <c r="AV78" s="281"/>
    </row>
    <row r="79" spans="1:48" s="279" customFormat="1" x14ac:dyDescent="0.2">
      <c r="A79" s="219" t="s">
        <v>507</v>
      </c>
      <c r="B79" s="282">
        <v>-54171494.217242703</v>
      </c>
      <c r="C79" s="282">
        <v>-761482131.29794395</v>
      </c>
      <c r="D79" s="282">
        <v>-134379199.64081398</v>
      </c>
      <c r="E79" s="213">
        <v>0</v>
      </c>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13"/>
      <c r="AL79" s="213"/>
      <c r="AM79" s="213"/>
      <c r="AN79" s="213"/>
      <c r="AO79" s="213"/>
      <c r="AP79" s="213"/>
      <c r="AQ79" s="213"/>
      <c r="AR79" s="213"/>
      <c r="AS79" s="221">
        <f>SUM(B79:AR79)/1.18</f>
        <v>-805112563.69152594</v>
      </c>
      <c r="AT79" s="222">
        <f>AS79*1.18</f>
        <v>-950032825.15600061</v>
      </c>
      <c r="AU79" s="281"/>
      <c r="AV79" s="281"/>
    </row>
    <row r="80" spans="1:48" s="279" customFormat="1" x14ac:dyDescent="0.2">
      <c r="A80" s="219" t="s">
        <v>285</v>
      </c>
      <c r="B80" s="213">
        <f>B51-B52</f>
        <v>0</v>
      </c>
      <c r="C80" s="213">
        <f t="shared" ref="C80:AP80" si="31">C51-C52</f>
        <v>0</v>
      </c>
      <c r="D80" s="213">
        <f t="shared" si="31"/>
        <v>0</v>
      </c>
      <c r="E80" s="213">
        <f t="shared" si="31"/>
        <v>0</v>
      </c>
      <c r="F80" s="213">
        <f t="shared" si="31"/>
        <v>0</v>
      </c>
      <c r="G80" s="213">
        <f t="shared" si="31"/>
        <v>0</v>
      </c>
      <c r="H80" s="213">
        <f t="shared" si="31"/>
        <v>0</v>
      </c>
      <c r="I80" s="213">
        <f t="shared" si="31"/>
        <v>0</v>
      </c>
      <c r="J80" s="213">
        <f t="shared" si="31"/>
        <v>0</v>
      </c>
      <c r="K80" s="213">
        <f t="shared" si="31"/>
        <v>0</v>
      </c>
      <c r="L80" s="213">
        <f t="shared" si="31"/>
        <v>0</v>
      </c>
      <c r="M80" s="213">
        <f t="shared" si="31"/>
        <v>0</v>
      </c>
      <c r="N80" s="213">
        <f t="shared" si="31"/>
        <v>0</v>
      </c>
      <c r="O80" s="213">
        <f t="shared" si="31"/>
        <v>0</v>
      </c>
      <c r="P80" s="213">
        <f t="shared" si="31"/>
        <v>0</v>
      </c>
      <c r="Q80" s="213">
        <f t="shared" si="31"/>
        <v>0</v>
      </c>
      <c r="R80" s="213">
        <f t="shared" si="31"/>
        <v>0</v>
      </c>
      <c r="S80" s="213">
        <f t="shared" si="31"/>
        <v>0</v>
      </c>
      <c r="T80" s="213">
        <f t="shared" si="31"/>
        <v>0</v>
      </c>
      <c r="U80" s="213">
        <f t="shared" si="31"/>
        <v>0</v>
      </c>
      <c r="V80" s="213">
        <f t="shared" si="31"/>
        <v>0</v>
      </c>
      <c r="W80" s="213">
        <f t="shared" si="31"/>
        <v>0</v>
      </c>
      <c r="X80" s="213">
        <f t="shared" si="31"/>
        <v>0</v>
      </c>
      <c r="Y80" s="213">
        <f t="shared" si="31"/>
        <v>0</v>
      </c>
      <c r="Z80" s="213">
        <f t="shared" si="31"/>
        <v>0</v>
      </c>
      <c r="AA80" s="213">
        <f t="shared" si="31"/>
        <v>0</v>
      </c>
      <c r="AB80" s="213">
        <f t="shared" si="31"/>
        <v>0</v>
      </c>
      <c r="AC80" s="213">
        <f t="shared" si="31"/>
        <v>0</v>
      </c>
      <c r="AD80" s="213">
        <f t="shared" si="31"/>
        <v>0</v>
      </c>
      <c r="AE80" s="213">
        <f t="shared" si="31"/>
        <v>0</v>
      </c>
      <c r="AF80" s="213">
        <f t="shared" si="31"/>
        <v>0</v>
      </c>
      <c r="AG80" s="213">
        <f t="shared" si="31"/>
        <v>0</v>
      </c>
      <c r="AH80" s="213">
        <f t="shared" si="31"/>
        <v>0</v>
      </c>
      <c r="AI80" s="213">
        <f t="shared" si="31"/>
        <v>0</v>
      </c>
      <c r="AJ80" s="213">
        <f t="shared" si="31"/>
        <v>0</v>
      </c>
      <c r="AK80" s="213">
        <f t="shared" si="31"/>
        <v>0</v>
      </c>
      <c r="AL80" s="213">
        <f t="shared" si="31"/>
        <v>0</v>
      </c>
      <c r="AM80" s="213">
        <f t="shared" si="31"/>
        <v>0</v>
      </c>
      <c r="AN80" s="213">
        <f t="shared" si="31"/>
        <v>0</v>
      </c>
      <c r="AO80" s="213">
        <f t="shared" si="31"/>
        <v>0</v>
      </c>
      <c r="AP80" s="213">
        <f t="shared" si="31"/>
        <v>0</v>
      </c>
      <c r="AQ80" s="213">
        <f>AQ51-AQ52</f>
        <v>0</v>
      </c>
      <c r="AR80" s="213">
        <f>AR51-AR52</f>
        <v>0</v>
      </c>
      <c r="AS80" s="280"/>
      <c r="AT80" s="280"/>
      <c r="AU80" s="281"/>
      <c r="AV80" s="281"/>
    </row>
    <row r="81" spans="1:48" s="279" customFormat="1" ht="14.25" x14ac:dyDescent="0.2">
      <c r="A81" s="220" t="s">
        <v>284</v>
      </c>
      <c r="B81" s="218">
        <f>SUM(B73:B80)</f>
        <v>-15709777.823000386</v>
      </c>
      <c r="C81" s="218">
        <f t="shared" ref="C81:V81" si="32">SUM(C73:C80)</f>
        <v>-215954432.59685194</v>
      </c>
      <c r="D81" s="218">
        <f t="shared" si="32"/>
        <v>29563374.920978904</v>
      </c>
      <c r="E81" s="218">
        <f>SUM(E73:E80)</f>
        <v>16598694.707344234</v>
      </c>
      <c r="F81" s="218">
        <f t="shared" si="32"/>
        <v>4496712.2673154874</v>
      </c>
      <c r="G81" s="218">
        <f t="shared" si="32"/>
        <v>3707970.0837739301</v>
      </c>
      <c r="H81" s="218">
        <f t="shared" si="32"/>
        <v>4482580.8054949697</v>
      </c>
      <c r="I81" s="218">
        <f t="shared" si="32"/>
        <v>4475356.0558472397</v>
      </c>
      <c r="J81" s="218">
        <f t="shared" si="32"/>
        <v>3623451.039055706</v>
      </c>
      <c r="K81" s="218">
        <f t="shared" si="32"/>
        <v>4462007.2538502505</v>
      </c>
      <c r="L81" s="218">
        <f t="shared" si="32"/>
        <v>4455667.8026678273</v>
      </c>
      <c r="M81" s="218">
        <f t="shared" si="32"/>
        <v>3548619.127482242</v>
      </c>
      <c r="N81" s="218">
        <f t="shared" si="32"/>
        <v>4443770.1512140725</v>
      </c>
      <c r="O81" s="218">
        <f t="shared" si="32"/>
        <v>4437642.2717227601</v>
      </c>
      <c r="P81" s="218">
        <f t="shared" si="32"/>
        <v>3475074.9612264405</v>
      </c>
      <c r="Q81" s="218">
        <f t="shared" si="32"/>
        <v>4425016.3888188405</v>
      </c>
      <c r="R81" s="218">
        <f t="shared" si="32"/>
        <v>4418513.4340796256</v>
      </c>
      <c r="S81" s="218">
        <f t="shared" si="32"/>
        <v>3397029.3036424508</v>
      </c>
      <c r="T81" s="218">
        <f t="shared" si="32"/>
        <v>4405114.7461349191</v>
      </c>
      <c r="U81" s="218">
        <f t="shared" si="32"/>
        <v>4398213.7585420152</v>
      </c>
      <c r="V81" s="218">
        <f t="shared" si="32"/>
        <v>3314206.6274490519</v>
      </c>
      <c r="W81" s="218">
        <f t="shared" ref="W81:AP81" si="33">SUM(W73:W80)</f>
        <v>4383994.9637056068</v>
      </c>
      <c r="X81" s="218">
        <f t="shared" si="33"/>
        <v>4376671.5804640958</v>
      </c>
      <c r="Y81" s="218">
        <f t="shared" si="33"/>
        <v>3226314.5408912189</v>
      </c>
      <c r="Z81" s="218">
        <f t="shared" si="33"/>
        <v>4361582.4816333558</v>
      </c>
      <c r="AA81" s="218">
        <f t="shared" si="33"/>
        <v>4353810.848750433</v>
      </c>
      <c r="AB81" s="218">
        <f t="shared" si="33"/>
        <v>3133042.7554993397</v>
      </c>
      <c r="AC81" s="218">
        <f t="shared" si="33"/>
        <v>4337798.1763584334</v>
      </c>
      <c r="AD81" s="218">
        <f t="shared" si="33"/>
        <v>4329550.8573699966</v>
      </c>
      <c r="AE81" s="218">
        <f t="shared" si="33"/>
        <v>3034061.9906672048</v>
      </c>
      <c r="AF81" s="218">
        <f t="shared" si="33"/>
        <v>4312558.0813262425</v>
      </c>
      <c r="AG81" s="218">
        <f t="shared" si="33"/>
        <v>4303805.9604371544</v>
      </c>
      <c r="AH81" s="218">
        <f t="shared" si="33"/>
        <v>2929022.8111812272</v>
      </c>
      <c r="AI81" s="218">
        <f t="shared" si="33"/>
        <v>4285773.0905573014</v>
      </c>
      <c r="AJ81" s="218">
        <f t="shared" si="33"/>
        <v>4276485.2698528599</v>
      </c>
      <c r="AK81" s="218">
        <f t="shared" si="33"/>
        <v>2817554.3935972522</v>
      </c>
      <c r="AL81" s="218">
        <f t="shared" si="33"/>
        <v>4257348.6440733969</v>
      </c>
      <c r="AM81" s="218">
        <f t="shared" si="33"/>
        <v>4247492.3344392683</v>
      </c>
      <c r="AN81" s="218">
        <f t="shared" si="33"/>
        <v>2699263.2171098189</v>
      </c>
      <c r="AO81" s="218">
        <f t="shared" si="33"/>
        <v>4227184.3940691035</v>
      </c>
      <c r="AP81" s="218">
        <f t="shared" si="33"/>
        <v>4216724.7994348882</v>
      </c>
      <c r="AQ81" s="218">
        <f>SUM(AQ73:AQ80)</f>
        <v>2573731.6742919171</v>
      </c>
      <c r="AR81" s="218">
        <f>SUM(AR73:AR80)</f>
        <v>-668253.59658443742</v>
      </c>
      <c r="AS81" s="280"/>
      <c r="AT81" s="280"/>
      <c r="AU81" s="281"/>
      <c r="AV81" s="281"/>
    </row>
    <row r="82" spans="1:48" s="279" customFormat="1" ht="14.25" x14ac:dyDescent="0.2">
      <c r="A82" s="220" t="s">
        <v>508</v>
      </c>
      <c r="B82" s="218">
        <f>SUM($B$81:B81)</f>
        <v>-15709777.823000386</v>
      </c>
      <c r="C82" s="218">
        <f>SUM($B$81:C81)</f>
        <v>-231664210.41985232</v>
      </c>
      <c r="D82" s="218">
        <f>SUM($B$81:D81)</f>
        <v>-202100835.49887341</v>
      </c>
      <c r="E82" s="218">
        <f>SUM($B$81:E81)</f>
        <v>-185502140.79152918</v>
      </c>
      <c r="F82" s="218">
        <f>SUM($B$81:F81)</f>
        <v>-181005428.5242137</v>
      </c>
      <c r="G82" s="218">
        <f>SUM($B$81:G81)</f>
        <v>-177297458.44043976</v>
      </c>
      <c r="H82" s="218">
        <f>SUM($B$81:H81)</f>
        <v>-172814877.6349448</v>
      </c>
      <c r="I82" s="218">
        <f>SUM($B$81:I81)</f>
        <v>-168339521.57909757</v>
      </c>
      <c r="J82" s="218">
        <f>SUM($B$81:J81)</f>
        <v>-164716070.54004186</v>
      </c>
      <c r="K82" s="218">
        <f>SUM($B$81:K81)</f>
        <v>-160254063.28619161</v>
      </c>
      <c r="L82" s="218">
        <f>SUM($B$81:L81)</f>
        <v>-155798395.48352379</v>
      </c>
      <c r="M82" s="218">
        <f>SUM($B$81:M81)</f>
        <v>-152249776.35604155</v>
      </c>
      <c r="N82" s="218">
        <f>SUM($B$81:N81)</f>
        <v>-147806006.20482749</v>
      </c>
      <c r="O82" s="218">
        <f>SUM($B$81:O81)</f>
        <v>-143368363.93310472</v>
      </c>
      <c r="P82" s="218">
        <f>SUM($B$81:P81)</f>
        <v>-139893288.97187829</v>
      </c>
      <c r="Q82" s="218">
        <f>SUM($B$81:Q81)</f>
        <v>-135468272.58305946</v>
      </c>
      <c r="R82" s="218">
        <f>SUM($B$81:R81)</f>
        <v>-131049759.14897983</v>
      </c>
      <c r="S82" s="218">
        <f>SUM($B$81:S81)</f>
        <v>-127652729.84533738</v>
      </c>
      <c r="T82" s="218">
        <f>SUM($B$81:T81)</f>
        <v>-123247615.09920245</v>
      </c>
      <c r="U82" s="218">
        <f>SUM($B$81:U81)</f>
        <v>-118849401.34066044</v>
      </c>
      <c r="V82" s="218">
        <f>SUM($B$81:V81)</f>
        <v>-115535194.71321139</v>
      </c>
      <c r="W82" s="218">
        <f>SUM($B$81:W81)</f>
        <v>-111151199.74950579</v>
      </c>
      <c r="X82" s="218">
        <f>SUM($B$81:X81)</f>
        <v>-106774528.16904169</v>
      </c>
      <c r="Y82" s="218">
        <f>SUM($B$81:Y81)</f>
        <v>-103548213.62815048</v>
      </c>
      <c r="Z82" s="218">
        <f>SUM($B$81:Z81)</f>
        <v>-99186631.146517128</v>
      </c>
      <c r="AA82" s="218">
        <f>SUM($B$81:AA81)</f>
        <v>-94832820.2977667</v>
      </c>
      <c r="AB82" s="218">
        <f>SUM($B$81:AB81)</f>
        <v>-91699777.542267367</v>
      </c>
      <c r="AC82" s="218">
        <f>SUM($B$81:AC81)</f>
        <v>-87361979.365908936</v>
      </c>
      <c r="AD82" s="218">
        <f>SUM($B$81:AD81)</f>
        <v>-83032428.508538932</v>
      </c>
      <c r="AE82" s="218">
        <f>SUM($B$81:AE81)</f>
        <v>-79998366.517871723</v>
      </c>
      <c r="AF82" s="218">
        <f>SUM($B$81:AF81)</f>
        <v>-75685808.436545476</v>
      </c>
      <c r="AG82" s="218">
        <f>SUM($B$81:AG81)</f>
        <v>-71382002.476108328</v>
      </c>
      <c r="AH82" s="218">
        <f>SUM($B$81:AH81)</f>
        <v>-68452979.664927095</v>
      </c>
      <c r="AI82" s="218">
        <f>SUM($B$81:AI81)</f>
        <v>-64167206.574369796</v>
      </c>
      <c r="AJ82" s="218">
        <f>SUM($B$81:AJ81)</f>
        <v>-59890721.304516934</v>
      </c>
      <c r="AK82" s="218">
        <f>SUM($B$81:AK81)</f>
        <v>-57073166.910919681</v>
      </c>
      <c r="AL82" s="218">
        <f>SUM($B$81:AL81)</f>
        <v>-52815818.266846284</v>
      </c>
      <c r="AM82" s="218">
        <f>SUM($B$81:AM81)</f>
        <v>-48568325.932407014</v>
      </c>
      <c r="AN82" s="218">
        <f>SUM($B$81:AN81)</f>
        <v>-45869062.715297192</v>
      </c>
      <c r="AO82" s="218">
        <f>SUM($B$81:AO81)</f>
        <v>-41641878.321228087</v>
      </c>
      <c r="AP82" s="218">
        <f>SUM($B$81:AP81)</f>
        <v>-37425153.521793202</v>
      </c>
      <c r="AQ82" s="218">
        <f>SUM($B$81:AQ81)</f>
        <v>-34851421.847501285</v>
      </c>
      <c r="AR82" s="218">
        <f>SUM($B$81:AR81)</f>
        <v>-35519675.444085725</v>
      </c>
      <c r="AS82" s="280"/>
      <c r="AT82" s="280"/>
      <c r="AU82" s="281"/>
      <c r="AV82" s="281"/>
    </row>
    <row r="83" spans="1:48" s="279" customFormat="1" x14ac:dyDescent="0.2">
      <c r="A83" s="225" t="s">
        <v>509</v>
      </c>
      <c r="B83" s="226">
        <f>1/POWER((1+$B$41),B71)</f>
        <v>0.75599588161705711</v>
      </c>
      <c r="C83" s="226">
        <f t="shared" ref="C83:AR83" si="34">1/POWER((1+$B$41),C71)</f>
        <v>0.6273824743710017</v>
      </c>
      <c r="D83" s="226">
        <f t="shared" si="34"/>
        <v>0.52064935632448273</v>
      </c>
      <c r="E83" s="226">
        <f t="shared" si="34"/>
        <v>0.43207415462612664</v>
      </c>
      <c r="F83" s="226">
        <f t="shared" si="34"/>
        <v>0.35856776317520883</v>
      </c>
      <c r="G83" s="226">
        <f t="shared" si="34"/>
        <v>0.29756660844415667</v>
      </c>
      <c r="H83" s="226">
        <f t="shared" si="34"/>
        <v>0.24694324352212174</v>
      </c>
      <c r="I83" s="226">
        <f t="shared" si="34"/>
        <v>0.20493215230051592</v>
      </c>
      <c r="J83" s="226">
        <f t="shared" si="34"/>
        <v>0.1700681761830008</v>
      </c>
      <c r="K83" s="226">
        <f t="shared" si="34"/>
        <v>0.14113541591950271</v>
      </c>
      <c r="L83" s="226">
        <f t="shared" si="34"/>
        <v>0.11712482648921385</v>
      </c>
      <c r="M83" s="226">
        <f t="shared" si="34"/>
        <v>9.719902613212765E-2</v>
      </c>
      <c r="N83" s="226">
        <f t="shared" si="34"/>
        <v>8.0663092225832109E-2</v>
      </c>
      <c r="O83" s="226">
        <f t="shared" si="34"/>
        <v>6.6940325498615838E-2</v>
      </c>
      <c r="P83" s="226">
        <f t="shared" si="34"/>
        <v>5.5552137343249659E-2</v>
      </c>
      <c r="Q83" s="226">
        <f t="shared" si="34"/>
        <v>4.6101358791078552E-2</v>
      </c>
      <c r="R83" s="226">
        <f t="shared" si="34"/>
        <v>3.825838903823945E-2</v>
      </c>
      <c r="S83" s="226">
        <f t="shared" si="34"/>
        <v>3.174970044667174E-2</v>
      </c>
      <c r="T83" s="226">
        <f t="shared" si="34"/>
        <v>2.6348299125868668E-2</v>
      </c>
      <c r="U83" s="226">
        <f t="shared" si="34"/>
        <v>2.1865808403210511E-2</v>
      </c>
      <c r="V83" s="226">
        <f t="shared" si="34"/>
        <v>1.814589908980126E-2</v>
      </c>
      <c r="W83" s="226">
        <f t="shared" si="34"/>
        <v>1.5058837418922204E-2</v>
      </c>
      <c r="X83" s="226">
        <f t="shared" si="34"/>
        <v>1.2496960513628384E-2</v>
      </c>
      <c r="Y83" s="226">
        <f t="shared" si="34"/>
        <v>1.0370921588073345E-2</v>
      </c>
      <c r="Z83" s="226">
        <f t="shared" si="34"/>
        <v>8.6065739320110735E-3</v>
      </c>
      <c r="AA83" s="226">
        <f t="shared" si="34"/>
        <v>7.1423850058183183E-3</v>
      </c>
      <c r="AB83" s="226">
        <f t="shared" si="34"/>
        <v>5.9272904612600145E-3</v>
      </c>
      <c r="AC83" s="226">
        <f t="shared" si="34"/>
        <v>4.9189132458589318E-3</v>
      </c>
      <c r="AD83" s="226">
        <f t="shared" si="34"/>
        <v>4.082085681210732E-3</v>
      </c>
      <c r="AE83" s="226">
        <f t="shared" si="34"/>
        <v>3.3876229719591129E-3</v>
      </c>
      <c r="AF83" s="226">
        <f t="shared" si="34"/>
        <v>2.8113053709204251E-3</v>
      </c>
      <c r="AG83" s="226">
        <f t="shared" si="34"/>
        <v>2.3330335028385286E-3</v>
      </c>
      <c r="AH83" s="226">
        <f t="shared" si="34"/>
        <v>1.9361273882477412E-3</v>
      </c>
      <c r="AI83" s="226">
        <f t="shared" si="34"/>
        <v>1.6067447205375444E-3</v>
      </c>
      <c r="AJ83" s="226">
        <f t="shared" si="34"/>
        <v>1.3333981083299121E-3</v>
      </c>
      <c r="AK83" s="226">
        <f t="shared" si="34"/>
        <v>1.1065544467468149E-3</v>
      </c>
      <c r="AL83" s="226">
        <f t="shared" si="34"/>
        <v>9.1830244543304122E-4</v>
      </c>
      <c r="AM83" s="226">
        <f t="shared" si="34"/>
        <v>7.6207671820169396E-4</v>
      </c>
      <c r="AN83" s="226">
        <f t="shared" si="34"/>
        <v>6.3242881178563804E-4</v>
      </c>
      <c r="AO83" s="226">
        <f t="shared" si="34"/>
        <v>5.2483718820384888E-4</v>
      </c>
      <c r="AP83" s="226">
        <f t="shared" si="34"/>
        <v>4.3554953377912764E-4</v>
      </c>
      <c r="AQ83" s="226">
        <f t="shared" si="34"/>
        <v>3.6145189525238806E-4</v>
      </c>
      <c r="AR83" s="226">
        <f t="shared" si="34"/>
        <v>2.9996007904762516E-4</v>
      </c>
      <c r="AS83" s="280"/>
      <c r="AT83" s="280"/>
      <c r="AU83" s="281"/>
      <c r="AV83" s="281"/>
    </row>
    <row r="84" spans="1:48" s="279" customFormat="1" ht="14.25" x14ac:dyDescent="0.2">
      <c r="A84" s="217" t="s">
        <v>510</v>
      </c>
      <c r="B84" s="218">
        <f t="shared" ref="B84:AP84" si="35">B81*B83</f>
        <v>-11876527.335307268</v>
      </c>
      <c r="C84" s="218">
        <f>C81*C83</f>
        <v>-135486026.27399868</v>
      </c>
      <c r="D84" s="218">
        <f t="shared" si="35"/>
        <v>15392152.123387022</v>
      </c>
      <c r="E84" s="218">
        <f t="shared" si="35"/>
        <v>7171866.9835729226</v>
      </c>
      <c r="F84" s="218">
        <f t="shared" si="35"/>
        <v>1612376.059333836</v>
      </c>
      <c r="G84" s="218">
        <f t="shared" si="35"/>
        <v>1103368.0820410037</v>
      </c>
      <c r="H84" s="218">
        <f t="shared" si="35"/>
        <v>1106943.043458933</v>
      </c>
      <c r="I84" s="218">
        <f t="shared" si="35"/>
        <v>917144.34883592278</v>
      </c>
      <c r="J84" s="218">
        <f t="shared" si="35"/>
        <v>616233.70970060315</v>
      </c>
      <c r="K84" s="218">
        <f t="shared" si="35"/>
        <v>629747.24960799317</v>
      </c>
      <c r="L84" s="218">
        <f t="shared" si="35"/>
        <v>521869.318281046</v>
      </c>
      <c r="M84" s="218">
        <f t="shared" si="35"/>
        <v>344922.32330511446</v>
      </c>
      <c r="N84" s="218">
        <f t="shared" si="35"/>
        <v>358448.24153778062</v>
      </c>
      <c r="O84" s="218">
        <f t="shared" si="35"/>
        <v>297057.21811553859</v>
      </c>
      <c r="P84" s="218">
        <f t="shared" si="35"/>
        <v>193047.84152413922</v>
      </c>
      <c r="Q84" s="218">
        <f t="shared" si="35"/>
        <v>203999.26819734013</v>
      </c>
      <c r="R84" s="218">
        <f t="shared" si="35"/>
        <v>169045.20593170568</v>
      </c>
      <c r="S84" s="218">
        <f t="shared" si="35"/>
        <v>107854.66279921371</v>
      </c>
      <c r="T84" s="218">
        <f t="shared" si="35"/>
        <v>116067.28101493786</v>
      </c>
      <c r="U84" s="218">
        <f t="shared" si="35"/>
        <v>96170.499360644084</v>
      </c>
      <c r="V84" s="218">
        <f t="shared" si="35"/>
        <v>60139.259024441053</v>
      </c>
      <c r="W84" s="218">
        <f t="shared" si="35"/>
        <v>66017.86740381649</v>
      </c>
      <c r="X84" s="218">
        <f t="shared" si="35"/>
        <v>54695.091922179337</v>
      </c>
      <c r="Y84" s="218">
        <f t="shared" si="35"/>
        <v>33459.855122043686</v>
      </c>
      <c r="Z84" s="218">
        <f t="shared" si="35"/>
        <v>37538.282088741806</v>
      </c>
      <c r="AA84" s="218">
        <f t="shared" si="35"/>
        <v>31096.593324284218</v>
      </c>
      <c r="AB84" s="218">
        <f t="shared" si="35"/>
        <v>18570.454439391029</v>
      </c>
      <c r="AC84" s="218">
        <f t="shared" si="35"/>
        <v>21337.252907552218</v>
      </c>
      <c r="AD84" s="218">
        <f t="shared" si="35"/>
        <v>17673.597560943712</v>
      </c>
      <c r="AE84" s="218">
        <f t="shared" si="35"/>
        <v>10278.258097932219</v>
      </c>
      <c r="AF84" s="218">
        <f t="shared" si="35"/>
        <v>12123.91769643875</v>
      </c>
      <c r="AG84" s="218">
        <f t="shared" si="35"/>
        <v>10040.923495416033</v>
      </c>
      <c r="AH84" s="218">
        <f t="shared" si="35"/>
        <v>5670.9612855303658</v>
      </c>
      <c r="AI84" s="218">
        <f t="shared" si="35"/>
        <v>6886.1432866748191</v>
      </c>
      <c r="AJ84" s="218">
        <f t="shared" si="35"/>
        <v>5702.2573691225371</v>
      </c>
      <c r="AK84" s="218">
        <f t="shared" si="35"/>
        <v>3117.7773431860651</v>
      </c>
      <c r="AL84" s="218">
        <f t="shared" si="35"/>
        <v>3909.5336709136427</v>
      </c>
      <c r="AM84" s="218">
        <f t="shared" si="35"/>
        <v>3236.9150188163294</v>
      </c>
      <c r="AN84" s="218">
        <f t="shared" si="35"/>
        <v>1707.0918290934414</v>
      </c>
      <c r="AO84" s="218">
        <f t="shared" si="35"/>
        <v>2218.5835714024188</v>
      </c>
      <c r="AP84" s="218">
        <f t="shared" si="35"/>
        <v>1836.592520468751</v>
      </c>
      <c r="AQ84" s="218">
        <f>AQ81*AQ83</f>
        <v>930.28019154391541</v>
      </c>
      <c r="AR84" s="218">
        <f>AR81*AR83</f>
        <v>-200.44940165532765</v>
      </c>
      <c r="AS84" s="280"/>
      <c r="AT84" s="280"/>
      <c r="AU84" s="281"/>
      <c r="AV84" s="281"/>
    </row>
    <row r="85" spans="1:48" s="279" customFormat="1" ht="14.25" x14ac:dyDescent="0.2">
      <c r="A85" s="217" t="s">
        <v>511</v>
      </c>
      <c r="B85" s="218">
        <f>SUM($B$84:B84)</f>
        <v>-11876527.335307268</v>
      </c>
      <c r="C85" s="218">
        <f>SUM($B$84:C84)</f>
        <v>-147362553.60930595</v>
      </c>
      <c r="D85" s="218">
        <f>SUM($B$84:D84)</f>
        <v>-131970401.48591892</v>
      </c>
      <c r="E85" s="218">
        <f>SUM($B$84:E84)</f>
        <v>-124798534.50234601</v>
      </c>
      <c r="F85" s="218">
        <f>SUM($B$84:F84)</f>
        <v>-123186158.44301218</v>
      </c>
      <c r="G85" s="218">
        <f>SUM($B$84:G84)</f>
        <v>-122082790.36097117</v>
      </c>
      <c r="H85" s="218">
        <f>SUM($B$84:H84)</f>
        <v>-120975847.31751223</v>
      </c>
      <c r="I85" s="218">
        <f>SUM($B$84:I84)</f>
        <v>-120058702.9686763</v>
      </c>
      <c r="J85" s="218">
        <f>SUM($B$84:J84)</f>
        <v>-119442469.2589757</v>
      </c>
      <c r="K85" s="218">
        <f>SUM($B$84:K84)</f>
        <v>-118812722.0093677</v>
      </c>
      <c r="L85" s="218">
        <f>SUM($B$84:L84)</f>
        <v>-118290852.69108666</v>
      </c>
      <c r="M85" s="218">
        <f>SUM($B$84:M84)</f>
        <v>-117945930.36778155</v>
      </c>
      <c r="N85" s="218">
        <f>SUM($B$84:N84)</f>
        <v>-117587482.12624377</v>
      </c>
      <c r="O85" s="218">
        <f>SUM($B$84:O84)</f>
        <v>-117290424.90812823</v>
      </c>
      <c r="P85" s="218">
        <f>SUM($B$84:P84)</f>
        <v>-117097377.06660409</v>
      </c>
      <c r="Q85" s="218">
        <f>SUM($B$84:Q84)</f>
        <v>-116893377.79840675</v>
      </c>
      <c r="R85" s="218">
        <f>SUM($B$84:R84)</f>
        <v>-116724332.59247504</v>
      </c>
      <c r="S85" s="218">
        <f>SUM($B$84:S84)</f>
        <v>-116616477.92967583</v>
      </c>
      <c r="T85" s="218">
        <f>SUM($B$84:T84)</f>
        <v>-116500410.6486609</v>
      </c>
      <c r="U85" s="218">
        <f>SUM($B$84:U84)</f>
        <v>-116404240.14930025</v>
      </c>
      <c r="V85" s="218">
        <f>SUM($B$84:V84)</f>
        <v>-116344100.89027581</v>
      </c>
      <c r="W85" s="218">
        <f>SUM($B$84:W84)</f>
        <v>-116278083.02287199</v>
      </c>
      <c r="X85" s="218">
        <f>SUM($B$84:X84)</f>
        <v>-116223387.93094981</v>
      </c>
      <c r="Y85" s="218">
        <f>SUM($B$84:Y84)</f>
        <v>-116189928.07582776</v>
      </c>
      <c r="Z85" s="218">
        <f>SUM($B$84:Z84)</f>
        <v>-116152389.79373902</v>
      </c>
      <c r="AA85" s="218">
        <f>SUM($B$84:AA84)</f>
        <v>-116121293.20041473</v>
      </c>
      <c r="AB85" s="218">
        <f>SUM($B$84:AB84)</f>
        <v>-116102722.74597535</v>
      </c>
      <c r="AC85" s="218">
        <f>SUM($B$84:AC84)</f>
        <v>-116081385.49306779</v>
      </c>
      <c r="AD85" s="218">
        <f>SUM($B$84:AD84)</f>
        <v>-116063711.89550684</v>
      </c>
      <c r="AE85" s="218">
        <f>SUM($B$84:AE84)</f>
        <v>-116053433.63740891</v>
      </c>
      <c r="AF85" s="218">
        <f>SUM($B$84:AF84)</f>
        <v>-116041309.71971247</v>
      </c>
      <c r="AG85" s="218">
        <f>SUM($B$84:AG84)</f>
        <v>-116031268.79621705</v>
      </c>
      <c r="AH85" s="218">
        <f>SUM($B$84:AH84)</f>
        <v>-116025597.83493152</v>
      </c>
      <c r="AI85" s="218">
        <f>SUM($B$84:AI84)</f>
        <v>-116018711.69164485</v>
      </c>
      <c r="AJ85" s="218">
        <f>SUM($B$84:AJ84)</f>
        <v>-116013009.43427573</v>
      </c>
      <c r="AK85" s="218">
        <f>SUM($B$84:AK84)</f>
        <v>-116009891.65693255</v>
      </c>
      <c r="AL85" s="218">
        <f>SUM($B$84:AL84)</f>
        <v>-116005982.12326163</v>
      </c>
      <c r="AM85" s="218">
        <f>SUM($B$84:AM84)</f>
        <v>-116002745.20824282</v>
      </c>
      <c r="AN85" s="218">
        <f>SUM($B$84:AN84)</f>
        <v>-116001038.11641373</v>
      </c>
      <c r="AO85" s="218">
        <f>SUM($B$84:AO84)</f>
        <v>-115998819.53284232</v>
      </c>
      <c r="AP85" s="218">
        <f>SUM($B$84:AP84)</f>
        <v>-115996982.94032185</v>
      </c>
      <c r="AQ85" s="218">
        <f>SUM($B$84:AQ84)</f>
        <v>-115996052.66013031</v>
      </c>
      <c r="AR85" s="218">
        <f>SUM($B$84:AR84)</f>
        <v>-115996253.10953197</v>
      </c>
      <c r="AS85" s="280"/>
      <c r="AT85" s="280"/>
      <c r="AU85" s="281"/>
      <c r="AV85" s="281"/>
    </row>
    <row r="86" spans="1:48" s="279" customFormat="1" ht="14.25" x14ac:dyDescent="0.2">
      <c r="A86" s="217" t="s">
        <v>512</v>
      </c>
      <c r="B86" s="227">
        <f>IF((ISERR(IRR($B$77:B81))),0,IF(IRR($B$77:B81)&lt;0,0,IRR($B$77:B81)))</f>
        <v>0</v>
      </c>
      <c r="C86" s="227">
        <f>IF((ISERR(IRR($B$77:C81))),0,IF(IRR($B$77:C81)&lt;0,0,IRR($B$77:C81)))</f>
        <v>0</v>
      </c>
      <c r="D86" s="227">
        <f>IF((ISERR(IRR($B$77:D81))),0,IF(IRR($B$77:D81)&lt;0,0,IRR($B$77:D81)))</f>
        <v>0</v>
      </c>
      <c r="E86" s="227">
        <f>IF((ISERR(IRR($B$77:E81))),0,IF(IRR($B$77:E81)&lt;0,0,IRR($B$77:E81)))</f>
        <v>0</v>
      </c>
      <c r="F86" s="227">
        <f>IF((ISERR(IRR($B$77:F81))),0,IF(IRR($B$77:F81)&lt;0,0,IRR($B$77:F81)))</f>
        <v>0</v>
      </c>
      <c r="G86" s="227">
        <f>IF((ISERR(IRR($B$77:G81))),0,IF(IRR($B$77:G81)&lt;0,0,IRR($B$77:G81)))</f>
        <v>0</v>
      </c>
      <c r="H86" s="227">
        <f>IF((ISERR(IRR($B$77:H81))),0,IF(IRR($B$77:H81)&lt;0,0,IRR($B$77:H81)))</f>
        <v>0</v>
      </c>
      <c r="I86" s="227">
        <f>IF((ISERR(IRR($B$77:I81))),0,IF(IRR($B$77:I81)&lt;0,0,IRR($B$77:I81)))</f>
        <v>0</v>
      </c>
      <c r="J86" s="227">
        <f>IF((ISERR(IRR($B$77:J81))),0,IF(IRR($B$77:J81)&lt;0,0,IRR($B$77:J81)))</f>
        <v>0</v>
      </c>
      <c r="K86" s="227">
        <f>IF((ISERR(IRR($B$77:K81))),0,IF(IRR($B$77:K81)&lt;0,0,IRR($B$77:K81)))</f>
        <v>0</v>
      </c>
      <c r="L86" s="227">
        <f>IF((ISERR(IRR($B$77:L81))),0,IF(IRR($B$77:L81)&lt;0,0,IRR($B$77:L81)))</f>
        <v>0</v>
      </c>
      <c r="M86" s="227">
        <f>IF((ISERR(IRR($B$77:M81))),0,IF(IRR($B$77:M81)&lt;0,0,IRR($B$77:M81)))</f>
        <v>0</v>
      </c>
      <c r="N86" s="227">
        <f>IF((ISERR(IRR($B$77:N81))),0,IF(IRR($B$77:N81)&lt;0,0,IRR($B$77:N81)))</f>
        <v>0</v>
      </c>
      <c r="O86" s="227">
        <f>IF((ISERR(IRR($B$77:O81))),0,IF(IRR($B$77:O81)&lt;0,0,IRR($B$77:O81)))</f>
        <v>0</v>
      </c>
      <c r="P86" s="227">
        <f>IF((ISERR(IRR($B$77:P81))),0,IF(IRR($B$77:P81)&lt;0,0,IRR($B$77:P81)))</f>
        <v>0</v>
      </c>
      <c r="Q86" s="227">
        <f>IF((ISERR(IRR($B$77:Q81))),0,IF(IRR($B$77:Q81)&lt;0,0,IRR($B$77:Q81)))</f>
        <v>0</v>
      </c>
      <c r="R86" s="227">
        <f>IF((ISERR(IRR($B$77:R81))),0,IF(IRR($B$77:R81)&lt;0,0,IRR($B$77:R81)))</f>
        <v>0</v>
      </c>
      <c r="S86" s="227">
        <f>IF((ISERR(IRR($B$77:S81))),0,IF(IRR($B$77:S81)&lt;0,0,IRR($B$77:S81)))</f>
        <v>0</v>
      </c>
      <c r="T86" s="227">
        <f>IF((ISERR(IRR($B$77:T81))),0,IF(IRR($B$77:T81)&lt;0,0,IRR($B$77:T81)))</f>
        <v>0</v>
      </c>
      <c r="U86" s="227">
        <f>IF((ISERR(IRR($B$77:U81))),0,IF(IRR($B$77:U81)&lt;0,0,IRR($B$77:U81)))</f>
        <v>0</v>
      </c>
      <c r="V86" s="227">
        <f>IF((ISERR(IRR($B$77:V81))),0,IF(IRR($B$77:V81)&lt;0,0,IRR($B$77:V81)))</f>
        <v>0</v>
      </c>
      <c r="W86" s="227">
        <f>IF((ISERR(IRR($B$77:W81))),0,IF(IRR($B$77:W81)&lt;0,0,IRR($B$77:W81)))</f>
        <v>0</v>
      </c>
      <c r="X86" s="227">
        <f>IF((ISERR(IRR($B$77:X81))),0,IF(IRR($B$77:X81)&lt;0,0,IRR($B$77:X81)))</f>
        <v>0</v>
      </c>
      <c r="Y86" s="227">
        <f>IF((ISERR(IRR($B$77:Y81))),0,IF(IRR($B$77:Y81)&lt;0,0,IRR($B$77:Y81)))</f>
        <v>0</v>
      </c>
      <c r="Z86" s="227">
        <f>IF((ISERR(IRR($B$77:Z81))),0,IF(IRR($B$77:Z81)&lt;0,0,IRR($B$77:Z81)))</f>
        <v>0</v>
      </c>
      <c r="AA86" s="227">
        <f>IF((ISERR(IRR($B$77:AA81))),0,IF(IRR($B$77:AA81)&lt;0,0,IRR($B$77:AA81)))</f>
        <v>0</v>
      </c>
      <c r="AB86" s="227">
        <f>IF((ISERR(IRR($B$77:AB81))),0,IF(IRR($B$77:AB81)&lt;0,0,IRR($B$77:AB81)))</f>
        <v>0</v>
      </c>
      <c r="AC86" s="227">
        <f>IF((ISERR(IRR($B$77:AC81))),0,IF(IRR($B$77:AC81)&lt;0,0,IRR($B$77:AC81)))</f>
        <v>0</v>
      </c>
      <c r="AD86" s="227">
        <f>IF((ISERR(IRR($B$77:AD81))),0,IF(IRR($B$77:AD81)&lt;0,0,IRR($B$77:AD81)))</f>
        <v>0</v>
      </c>
      <c r="AE86" s="227">
        <f>IF((ISERR(IRR($B$77:AE81))),0,IF(IRR($B$77:AE81)&lt;0,0,IRR($B$77:AE81)))</f>
        <v>0</v>
      </c>
      <c r="AF86" s="227">
        <f>IF((ISERR(IRR($B$77:AF81))),0,IF(IRR($B$77:AF81)&lt;0,0,IRR($B$77:AF81)))</f>
        <v>0</v>
      </c>
      <c r="AG86" s="227">
        <f>IF((ISERR(IRR($B$77:AG81))),0,IF(IRR($B$77:AG81)&lt;0,0,IRR($B$77:AG81)))</f>
        <v>0</v>
      </c>
      <c r="AH86" s="227">
        <f>IF((ISERR(IRR($B$77:AH81))),0,IF(IRR($B$77:AH81)&lt;0,0,IRR($B$77:AH81)))</f>
        <v>0</v>
      </c>
      <c r="AI86" s="227">
        <f>IF((ISERR(IRR($B$77:AI81))),0,IF(IRR($B$77:AI81)&lt;0,0,IRR($B$77:AI81)))</f>
        <v>0</v>
      </c>
      <c r="AJ86" s="227">
        <f>IF((ISERR(IRR($B$77:AJ81))),0,IF(IRR($B$77:AJ81)&lt;0,0,IRR($B$77:AJ81)))</f>
        <v>0</v>
      </c>
      <c r="AK86" s="227">
        <f>IF((ISERR(IRR($B$77:AK81))),0,IF(IRR($B$77:AK81)&lt;0,0,IRR($B$77:AK81)))</f>
        <v>0</v>
      </c>
      <c r="AL86" s="227">
        <f>IF((ISERR(IRR($B$77:AL81))),0,IF(IRR($B$77:AL81)&lt;0,0,IRR($B$77:AL81)))</f>
        <v>0</v>
      </c>
      <c r="AM86" s="227">
        <f>IF((ISERR(IRR($B$77:AM81))),0,IF(IRR($B$77:AM81)&lt;0,0,IRR($B$77:AM81)))</f>
        <v>0</v>
      </c>
      <c r="AN86" s="227">
        <f>IF((ISERR(IRR($B$77:AN81))),0,IF(IRR($B$77:AN81)&lt;0,0,IRR($B$77:AN81)))</f>
        <v>0</v>
      </c>
      <c r="AO86" s="227">
        <f>IF((ISERR(IRR($B$77:AO81))),0,IF(IRR($B$77:AO81)&lt;0,0,IRR($B$77:AO81)))</f>
        <v>0</v>
      </c>
      <c r="AP86" s="227">
        <f>IF((ISERR(IRR($B$77:AP81))),0,IF(IRR($B$77:AP81)&lt;0,0,IRR($B$77:AP81)))</f>
        <v>0</v>
      </c>
      <c r="AQ86" s="227">
        <f>IF((ISERR(IRR($B$77:AQ81))),0,IF(IRR($B$77:AQ81)&lt;0,0,IRR($B$77:AQ81)))</f>
        <v>0</v>
      </c>
      <c r="AR86" s="227">
        <f>IF((ISERR(IRR($B$77:AR81))),0,IF(IRR($B$77:AR81)&lt;0,0,IRR($B$77:AR81)))</f>
        <v>0</v>
      </c>
      <c r="AS86" s="280"/>
      <c r="AT86" s="280"/>
      <c r="AU86" s="281"/>
      <c r="AV86" s="281"/>
    </row>
    <row r="87" spans="1:48" s="279" customFormat="1" ht="14.25" x14ac:dyDescent="0.2">
      <c r="A87" s="217" t="s">
        <v>513</v>
      </c>
      <c r="B87" s="228">
        <f>IF(AND(B82&gt;0,A82&lt;0),(B72-(B82/(B82-A82))),0)</f>
        <v>0</v>
      </c>
      <c r="C87" s="228">
        <f t="shared" ref="C87:AP87" si="36">IF(AND(C82&gt;0,B82&lt;0),(C72-(C82/(C82-B82))),0)</f>
        <v>0</v>
      </c>
      <c r="D87" s="228">
        <f t="shared" si="36"/>
        <v>0</v>
      </c>
      <c r="E87" s="228">
        <f t="shared" si="36"/>
        <v>0</v>
      </c>
      <c r="F87" s="228">
        <f t="shared" si="36"/>
        <v>0</v>
      </c>
      <c r="G87" s="228">
        <f t="shared" si="36"/>
        <v>0</v>
      </c>
      <c r="H87" s="228">
        <f>IF(AND(H82&gt;0,G82&lt;0),(H72-(H82/(H82-G82))),0)</f>
        <v>0</v>
      </c>
      <c r="I87" s="228">
        <f t="shared" si="36"/>
        <v>0</v>
      </c>
      <c r="J87" s="228">
        <f t="shared" si="36"/>
        <v>0</v>
      </c>
      <c r="K87" s="228">
        <f t="shared" si="36"/>
        <v>0</v>
      </c>
      <c r="L87" s="228">
        <f t="shared" si="36"/>
        <v>0</v>
      </c>
      <c r="M87" s="228">
        <f t="shared" si="36"/>
        <v>0</v>
      </c>
      <c r="N87" s="228">
        <f t="shared" si="36"/>
        <v>0</v>
      </c>
      <c r="O87" s="228">
        <f t="shared" si="36"/>
        <v>0</v>
      </c>
      <c r="P87" s="228">
        <f t="shared" si="36"/>
        <v>0</v>
      </c>
      <c r="Q87" s="228">
        <f t="shared" si="36"/>
        <v>0</v>
      </c>
      <c r="R87" s="228">
        <f t="shared" si="36"/>
        <v>0</v>
      </c>
      <c r="S87" s="228">
        <f t="shared" si="36"/>
        <v>0</v>
      </c>
      <c r="T87" s="228">
        <f t="shared" si="36"/>
        <v>0</v>
      </c>
      <c r="U87" s="228">
        <f t="shared" si="36"/>
        <v>0</v>
      </c>
      <c r="V87" s="228">
        <f t="shared" si="36"/>
        <v>0</v>
      </c>
      <c r="W87" s="228">
        <f t="shared" si="36"/>
        <v>0</v>
      </c>
      <c r="X87" s="228">
        <f t="shared" si="36"/>
        <v>0</v>
      </c>
      <c r="Y87" s="228">
        <f t="shared" si="36"/>
        <v>0</v>
      </c>
      <c r="Z87" s="228">
        <f t="shared" si="36"/>
        <v>0</v>
      </c>
      <c r="AA87" s="228">
        <f t="shared" si="36"/>
        <v>0</v>
      </c>
      <c r="AB87" s="228">
        <f t="shared" si="36"/>
        <v>0</v>
      </c>
      <c r="AC87" s="228">
        <f t="shared" si="36"/>
        <v>0</v>
      </c>
      <c r="AD87" s="228">
        <f t="shared" si="36"/>
        <v>0</v>
      </c>
      <c r="AE87" s="228">
        <f t="shared" si="36"/>
        <v>0</v>
      </c>
      <c r="AF87" s="228">
        <f t="shared" si="36"/>
        <v>0</v>
      </c>
      <c r="AG87" s="228">
        <f t="shared" si="36"/>
        <v>0</v>
      </c>
      <c r="AH87" s="228">
        <f t="shared" si="36"/>
        <v>0</v>
      </c>
      <c r="AI87" s="228">
        <f t="shared" si="36"/>
        <v>0</v>
      </c>
      <c r="AJ87" s="228">
        <f t="shared" si="36"/>
        <v>0</v>
      </c>
      <c r="AK87" s="228">
        <f t="shared" si="36"/>
        <v>0</v>
      </c>
      <c r="AL87" s="228">
        <f t="shared" si="36"/>
        <v>0</v>
      </c>
      <c r="AM87" s="228">
        <f t="shared" si="36"/>
        <v>0</v>
      </c>
      <c r="AN87" s="228">
        <f t="shared" si="36"/>
        <v>0</v>
      </c>
      <c r="AO87" s="228">
        <f t="shared" si="36"/>
        <v>0</v>
      </c>
      <c r="AP87" s="228">
        <f t="shared" si="36"/>
        <v>0</v>
      </c>
      <c r="AQ87" s="228">
        <f>IF(AND(AQ82&gt;0,AP82&lt;0),(AQ72-(AQ82/(AQ82-AP82))),0)</f>
        <v>0</v>
      </c>
      <c r="AR87" s="228">
        <f>IF(AND(AR82&gt;0,AQ82&lt;0),(AR72-(AR82/(AR82-AQ82))),0)</f>
        <v>0</v>
      </c>
      <c r="AS87" s="280"/>
      <c r="AT87" s="280"/>
      <c r="AU87" s="281"/>
      <c r="AV87" s="281"/>
    </row>
    <row r="88" spans="1:48" s="279" customFormat="1" ht="15" thickBot="1" x14ac:dyDescent="0.25">
      <c r="A88" s="229" t="s">
        <v>514</v>
      </c>
      <c r="B88" s="230">
        <f t="shared" ref="B88:AP88" si="37">IF(AND(B85&gt;0,A85&lt;0),(B72-(B85/(B85-A85))),0)</f>
        <v>0</v>
      </c>
      <c r="C88" s="230">
        <f t="shared" si="37"/>
        <v>0</v>
      </c>
      <c r="D88" s="230">
        <f t="shared" si="37"/>
        <v>0</v>
      </c>
      <c r="E88" s="230">
        <f t="shared" si="37"/>
        <v>0</v>
      </c>
      <c r="F88" s="230">
        <f t="shared" si="37"/>
        <v>0</v>
      </c>
      <c r="G88" s="230">
        <f t="shared" si="37"/>
        <v>0</v>
      </c>
      <c r="H88" s="230">
        <f t="shared" si="37"/>
        <v>0</v>
      </c>
      <c r="I88" s="230">
        <f t="shared" si="37"/>
        <v>0</v>
      </c>
      <c r="J88" s="230">
        <f t="shared" si="37"/>
        <v>0</v>
      </c>
      <c r="K88" s="230">
        <f t="shared" si="37"/>
        <v>0</v>
      </c>
      <c r="L88" s="230">
        <f t="shared" si="37"/>
        <v>0</v>
      </c>
      <c r="M88" s="230">
        <f t="shared" si="37"/>
        <v>0</v>
      </c>
      <c r="N88" s="230">
        <f t="shared" si="37"/>
        <v>0</v>
      </c>
      <c r="O88" s="230">
        <f t="shared" si="37"/>
        <v>0</v>
      </c>
      <c r="P88" s="230">
        <f t="shared" si="37"/>
        <v>0</v>
      </c>
      <c r="Q88" s="230">
        <f t="shared" si="37"/>
        <v>0</v>
      </c>
      <c r="R88" s="230">
        <f t="shared" si="37"/>
        <v>0</v>
      </c>
      <c r="S88" s="230">
        <f t="shared" si="37"/>
        <v>0</v>
      </c>
      <c r="T88" s="230">
        <f t="shared" si="37"/>
        <v>0</v>
      </c>
      <c r="U88" s="230">
        <f t="shared" si="37"/>
        <v>0</v>
      </c>
      <c r="V88" s="230">
        <f t="shared" si="37"/>
        <v>0</v>
      </c>
      <c r="W88" s="230">
        <f t="shared" si="37"/>
        <v>0</v>
      </c>
      <c r="X88" s="230">
        <f t="shared" si="37"/>
        <v>0</v>
      </c>
      <c r="Y88" s="230">
        <f t="shared" si="37"/>
        <v>0</v>
      </c>
      <c r="Z88" s="230">
        <f t="shared" si="37"/>
        <v>0</v>
      </c>
      <c r="AA88" s="230">
        <f t="shared" si="37"/>
        <v>0</v>
      </c>
      <c r="AB88" s="230">
        <f t="shared" si="37"/>
        <v>0</v>
      </c>
      <c r="AC88" s="230">
        <f t="shared" si="37"/>
        <v>0</v>
      </c>
      <c r="AD88" s="230">
        <f t="shared" si="37"/>
        <v>0</v>
      </c>
      <c r="AE88" s="230">
        <f t="shared" si="37"/>
        <v>0</v>
      </c>
      <c r="AF88" s="230">
        <f t="shared" si="37"/>
        <v>0</v>
      </c>
      <c r="AG88" s="230">
        <f t="shared" si="37"/>
        <v>0</v>
      </c>
      <c r="AH88" s="230">
        <f t="shared" si="37"/>
        <v>0</v>
      </c>
      <c r="AI88" s="230">
        <f t="shared" si="37"/>
        <v>0</v>
      </c>
      <c r="AJ88" s="230">
        <f t="shared" si="37"/>
        <v>0</v>
      </c>
      <c r="AK88" s="230">
        <f t="shared" si="37"/>
        <v>0</v>
      </c>
      <c r="AL88" s="230">
        <f t="shared" si="37"/>
        <v>0</v>
      </c>
      <c r="AM88" s="230">
        <f t="shared" si="37"/>
        <v>0</v>
      </c>
      <c r="AN88" s="230">
        <f t="shared" si="37"/>
        <v>0</v>
      </c>
      <c r="AO88" s="230">
        <f t="shared" si="37"/>
        <v>0</v>
      </c>
      <c r="AP88" s="230">
        <f t="shared" si="37"/>
        <v>0</v>
      </c>
      <c r="AQ88" s="230">
        <f>IF(AND(AQ85&gt;0,AP85&lt;0),(AQ72-(AQ85/(AQ85-AP85))),0)</f>
        <v>0</v>
      </c>
      <c r="AR88" s="230">
        <f>IF(AND(AR85&gt;0,AQ85&lt;0),(AR72-(AR85/(AR85-AQ85))),0)</f>
        <v>0</v>
      </c>
      <c r="AS88" s="280"/>
      <c r="AT88" s="280"/>
      <c r="AU88" s="281"/>
      <c r="AV88" s="281"/>
    </row>
    <row r="89" spans="1:48" s="279" customFormat="1" x14ac:dyDescent="0.2">
      <c r="A89" s="175"/>
      <c r="B89" s="231">
        <v>2016</v>
      </c>
      <c r="C89" s="231">
        <f>B89+1</f>
        <v>2017</v>
      </c>
      <c r="D89" s="175">
        <f t="shared" ref="D89:AP89" si="38">C89+1</f>
        <v>2018</v>
      </c>
      <c r="E89" s="175">
        <f t="shared" si="38"/>
        <v>2019</v>
      </c>
      <c r="F89" s="175">
        <f t="shared" si="38"/>
        <v>2020</v>
      </c>
      <c r="G89" s="175">
        <f t="shared" si="38"/>
        <v>2021</v>
      </c>
      <c r="H89" s="175">
        <f t="shared" si="38"/>
        <v>2022</v>
      </c>
      <c r="I89" s="175">
        <f t="shared" si="38"/>
        <v>2023</v>
      </c>
      <c r="J89" s="175">
        <f t="shared" si="38"/>
        <v>2024</v>
      </c>
      <c r="K89" s="175">
        <f t="shared" si="38"/>
        <v>2025</v>
      </c>
      <c r="L89" s="175">
        <f t="shared" si="38"/>
        <v>2026</v>
      </c>
      <c r="M89" s="175">
        <f t="shared" si="38"/>
        <v>2027</v>
      </c>
      <c r="N89" s="175">
        <f t="shared" si="38"/>
        <v>2028</v>
      </c>
      <c r="O89" s="175">
        <f t="shared" si="38"/>
        <v>2029</v>
      </c>
      <c r="P89" s="175">
        <f t="shared" si="38"/>
        <v>2030</v>
      </c>
      <c r="Q89" s="175">
        <f t="shared" si="38"/>
        <v>2031</v>
      </c>
      <c r="R89" s="175">
        <f t="shared" si="38"/>
        <v>2032</v>
      </c>
      <c r="S89" s="175">
        <f t="shared" si="38"/>
        <v>2033</v>
      </c>
      <c r="T89" s="175">
        <f t="shared" si="38"/>
        <v>2034</v>
      </c>
      <c r="U89" s="175">
        <f t="shared" si="38"/>
        <v>2035</v>
      </c>
      <c r="V89" s="175">
        <f t="shared" si="38"/>
        <v>2036</v>
      </c>
      <c r="W89" s="175">
        <f t="shared" si="38"/>
        <v>2037</v>
      </c>
      <c r="X89" s="175">
        <f t="shared" si="38"/>
        <v>2038</v>
      </c>
      <c r="Y89" s="175">
        <f t="shared" si="38"/>
        <v>2039</v>
      </c>
      <c r="Z89" s="175">
        <f t="shared" si="38"/>
        <v>2040</v>
      </c>
      <c r="AA89" s="175">
        <f t="shared" si="38"/>
        <v>2041</v>
      </c>
      <c r="AB89" s="175">
        <f t="shared" si="38"/>
        <v>2042</v>
      </c>
      <c r="AC89" s="175">
        <f t="shared" si="38"/>
        <v>2043</v>
      </c>
      <c r="AD89" s="175">
        <f t="shared" si="38"/>
        <v>2044</v>
      </c>
      <c r="AE89" s="175">
        <f t="shared" si="38"/>
        <v>2045</v>
      </c>
      <c r="AF89" s="175">
        <f t="shared" si="38"/>
        <v>2046</v>
      </c>
      <c r="AG89" s="175">
        <f t="shared" si="38"/>
        <v>2047</v>
      </c>
      <c r="AH89" s="175">
        <f t="shared" si="38"/>
        <v>2048</v>
      </c>
      <c r="AI89" s="175">
        <f t="shared" si="38"/>
        <v>2049</v>
      </c>
      <c r="AJ89" s="175">
        <f t="shared" si="38"/>
        <v>2050</v>
      </c>
      <c r="AK89" s="175">
        <f t="shared" si="38"/>
        <v>2051</v>
      </c>
      <c r="AL89" s="175">
        <f t="shared" si="38"/>
        <v>2052</v>
      </c>
      <c r="AM89" s="175">
        <f t="shared" si="38"/>
        <v>2053</v>
      </c>
      <c r="AN89" s="175">
        <f t="shared" si="38"/>
        <v>2054</v>
      </c>
      <c r="AO89" s="175">
        <f t="shared" si="38"/>
        <v>2055</v>
      </c>
      <c r="AP89" s="175">
        <f t="shared" si="38"/>
        <v>2056</v>
      </c>
      <c r="AQ89" s="175">
        <f>AP89+1</f>
        <v>2057</v>
      </c>
      <c r="AR89" s="175">
        <f>AQ89+1</f>
        <v>2058</v>
      </c>
      <c r="AS89" s="280"/>
      <c r="AT89" s="280"/>
      <c r="AU89" s="281"/>
      <c r="AV89" s="281"/>
    </row>
    <row r="90" spans="1:48" s="279" customFormat="1" x14ac:dyDescent="0.2">
      <c r="A90" s="368" t="s">
        <v>515</v>
      </c>
      <c r="B90" s="368"/>
      <c r="C90" s="368"/>
      <c r="D90" s="368"/>
      <c r="E90" s="368"/>
      <c r="F90" s="368"/>
      <c r="G90" s="368"/>
      <c r="H90" s="368"/>
      <c r="I90" s="368"/>
      <c r="J90" s="368"/>
      <c r="K90" s="368"/>
      <c r="L90" s="368"/>
      <c r="M90" s="368"/>
      <c r="N90" s="368"/>
      <c r="O90" s="368"/>
      <c r="P90" s="368"/>
      <c r="Q90" s="368"/>
      <c r="R90" s="368"/>
      <c r="S90" s="368"/>
      <c r="T90" s="368"/>
      <c r="U90" s="368"/>
      <c r="V90" s="368"/>
      <c r="W90" s="368"/>
      <c r="X90" s="368"/>
      <c r="Y90" s="368"/>
      <c r="Z90" s="368"/>
      <c r="AA90" s="368"/>
      <c r="AB90" s="368"/>
      <c r="AC90" s="368"/>
      <c r="AS90" s="280"/>
      <c r="AT90" s="280"/>
      <c r="AU90" s="281"/>
      <c r="AV90" s="281"/>
    </row>
    <row r="91" spans="1:48" s="279" customFormat="1" ht="63.6" customHeight="1" x14ac:dyDescent="0.2">
      <c r="A91" s="369" t="s">
        <v>516</v>
      </c>
      <c r="B91" s="369"/>
      <c r="C91" s="369"/>
      <c r="D91" s="369"/>
      <c r="E91" s="369"/>
      <c r="F91" s="369"/>
      <c r="G91" s="369"/>
      <c r="H91" s="369"/>
      <c r="I91" s="369"/>
      <c r="J91" s="175"/>
      <c r="K91" s="175"/>
      <c r="L91" s="175"/>
      <c r="M91" s="175"/>
      <c r="N91" s="175"/>
      <c r="O91" s="175"/>
      <c r="P91" s="175"/>
      <c r="Q91" s="175"/>
      <c r="R91" s="175"/>
      <c r="S91" s="175"/>
      <c r="T91" s="175"/>
      <c r="U91" s="175"/>
      <c r="V91" s="175"/>
      <c r="W91" s="175"/>
      <c r="X91" s="175"/>
      <c r="Y91" s="175"/>
      <c r="Z91" s="175"/>
      <c r="AA91" s="175"/>
      <c r="AB91" s="175"/>
      <c r="AC91" s="175"/>
      <c r="AS91" s="280"/>
      <c r="AT91" s="280"/>
      <c r="AU91" s="281"/>
      <c r="AV91" s="281"/>
    </row>
    <row r="92" spans="1:48" s="279" customFormat="1" x14ac:dyDescent="0.2">
      <c r="A92" s="175"/>
      <c r="B92" s="175"/>
      <c r="C92" s="232"/>
      <c r="D92" s="175"/>
      <c r="E92" s="175"/>
      <c r="F92" s="175"/>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S92" s="280"/>
      <c r="AT92" s="280"/>
      <c r="AU92" s="281"/>
      <c r="AV92" s="281"/>
    </row>
  </sheetData>
  <mergeCells count="15">
    <mergeCell ref="A90:AC90"/>
    <mergeCell ref="A91:I91"/>
    <mergeCell ref="A13:P13"/>
    <mergeCell ref="A15:P15"/>
    <mergeCell ref="A16:P16"/>
    <mergeCell ref="A18:P18"/>
    <mergeCell ref="D25:E25"/>
    <mergeCell ref="D26:E26"/>
    <mergeCell ref="D27:E27"/>
    <mergeCell ref="D28:E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view="pageBreakPreview" topLeftCell="A29" zoomScaleNormal="100" zoomScaleSheetLayoutView="100" workbookViewId="0">
      <selection activeCell="C40" sqref="C40"/>
    </sheetView>
  </sheetViews>
  <sheetFormatPr defaultRowHeight="15" x14ac:dyDescent="0.25"/>
  <cols>
    <col min="1" max="1" width="4.42578125" customWidth="1"/>
    <col min="2" max="2" width="55" customWidth="1"/>
    <col min="5" max="5" width="13" customWidth="1"/>
    <col min="6" max="6" width="13.42578125" customWidth="1"/>
  </cols>
  <sheetData>
    <row r="1" spans="1:12" ht="18.75" x14ac:dyDescent="0.25">
      <c r="A1" s="66"/>
      <c r="B1" s="66"/>
      <c r="C1" s="66"/>
      <c r="D1" s="66"/>
      <c r="E1" s="66"/>
      <c r="F1" s="38" t="s">
        <v>68</v>
      </c>
      <c r="G1" s="66"/>
      <c r="H1" s="66"/>
      <c r="I1" s="66"/>
      <c r="J1" s="66"/>
      <c r="K1" s="66"/>
      <c r="L1" s="38"/>
    </row>
    <row r="2" spans="1:12" ht="18.75" x14ac:dyDescent="0.3">
      <c r="A2" s="66"/>
      <c r="B2" s="66"/>
      <c r="C2" s="66"/>
      <c r="D2" s="66"/>
      <c r="E2" s="66"/>
      <c r="F2" s="15" t="s">
        <v>10</v>
      </c>
      <c r="G2" s="66"/>
      <c r="H2" s="66"/>
      <c r="I2" s="66"/>
      <c r="J2" s="66"/>
      <c r="K2" s="66"/>
      <c r="L2" s="15"/>
    </row>
    <row r="3" spans="1:12" ht="18.75" x14ac:dyDescent="0.3">
      <c r="A3" s="66"/>
      <c r="B3" s="66"/>
      <c r="C3" s="66"/>
      <c r="D3" s="66"/>
      <c r="E3" s="66"/>
      <c r="F3" s="15" t="s">
        <v>67</v>
      </c>
      <c r="G3" s="66"/>
      <c r="H3" s="66"/>
      <c r="I3" s="66"/>
      <c r="J3" s="66"/>
      <c r="K3" s="66"/>
      <c r="L3" s="15"/>
    </row>
    <row r="4" spans="1:12" ht="18.75" x14ac:dyDescent="0.3">
      <c r="A4" s="66"/>
      <c r="B4" s="66"/>
      <c r="C4" s="66"/>
      <c r="D4" s="66"/>
      <c r="E4" s="66"/>
      <c r="F4" s="66"/>
      <c r="G4" s="66"/>
      <c r="H4" s="66"/>
      <c r="I4" s="66"/>
      <c r="J4" s="66"/>
      <c r="K4" s="15"/>
      <c r="L4" s="66"/>
    </row>
    <row r="5" spans="1:12" ht="15.75" x14ac:dyDescent="0.25">
      <c r="A5" s="318" t="str">
        <f>'1. паспорт местоположение'!A5:C5</f>
        <v>Год раскрытия информации: 2016 год</v>
      </c>
      <c r="B5" s="318"/>
      <c r="C5" s="318"/>
      <c r="D5" s="318"/>
      <c r="E5" s="318"/>
      <c r="F5" s="318"/>
      <c r="G5" s="162"/>
      <c r="H5" s="162"/>
      <c r="I5" s="162"/>
      <c r="J5" s="162"/>
      <c r="K5" s="162"/>
      <c r="L5" s="162"/>
    </row>
    <row r="6" spans="1:12" ht="18.75" x14ac:dyDescent="0.3">
      <c r="A6" s="66"/>
      <c r="B6" s="66"/>
      <c r="C6" s="66"/>
      <c r="D6" s="66"/>
      <c r="E6" s="66"/>
      <c r="F6" s="66"/>
      <c r="G6" s="66"/>
      <c r="H6" s="66"/>
      <c r="I6" s="66"/>
      <c r="J6" s="66"/>
      <c r="K6" s="15"/>
      <c r="L6" s="66"/>
    </row>
    <row r="7" spans="1:12" ht="18.75" x14ac:dyDescent="0.25">
      <c r="A7" s="322" t="s">
        <v>9</v>
      </c>
      <c r="B7" s="322"/>
      <c r="C7" s="322"/>
      <c r="D7" s="322"/>
      <c r="E7" s="322"/>
      <c r="F7" s="322"/>
      <c r="G7" s="152"/>
      <c r="H7" s="152"/>
      <c r="I7" s="152"/>
      <c r="J7" s="152"/>
      <c r="K7" s="152"/>
      <c r="L7" s="152"/>
    </row>
    <row r="8" spans="1:12" ht="18.75" x14ac:dyDescent="0.25">
      <c r="A8" s="322"/>
      <c r="B8" s="322"/>
      <c r="C8" s="322"/>
      <c r="D8" s="322"/>
      <c r="E8" s="322"/>
      <c r="F8" s="322"/>
      <c r="G8" s="322"/>
      <c r="H8" s="322"/>
      <c r="I8" s="322"/>
      <c r="J8" s="322"/>
      <c r="K8" s="322"/>
      <c r="L8" s="322"/>
    </row>
    <row r="9" spans="1:12" ht="15.75" x14ac:dyDescent="0.25">
      <c r="A9" s="328" t="str">
        <f>'1. паспорт местоположение'!A9:C9</f>
        <v xml:space="preserve">                         АО "Янтарьэнерго"                         </v>
      </c>
      <c r="B9" s="328"/>
      <c r="C9" s="328"/>
      <c r="D9" s="328"/>
      <c r="E9" s="328"/>
      <c r="F9" s="328"/>
      <c r="G9" s="233"/>
      <c r="H9" s="233"/>
      <c r="I9" s="233"/>
      <c r="J9" s="233"/>
      <c r="K9" s="233"/>
      <c r="L9" s="233"/>
    </row>
    <row r="10" spans="1:12" ht="15.75" x14ac:dyDescent="0.25">
      <c r="A10" s="319" t="s">
        <v>8</v>
      </c>
      <c r="B10" s="319"/>
      <c r="C10" s="319"/>
      <c r="D10" s="319"/>
      <c r="E10" s="319"/>
      <c r="F10" s="319"/>
      <c r="G10" s="154"/>
      <c r="H10" s="154"/>
      <c r="I10" s="154"/>
      <c r="J10" s="154"/>
      <c r="K10" s="154"/>
      <c r="L10" s="154"/>
    </row>
    <row r="11" spans="1:12" ht="18.75" x14ac:dyDescent="0.25">
      <c r="A11" s="322"/>
      <c r="B11" s="322"/>
      <c r="C11" s="322"/>
      <c r="D11" s="322"/>
      <c r="E11" s="322"/>
      <c r="F11" s="322"/>
      <c r="G11" s="322"/>
      <c r="H11" s="322"/>
      <c r="I11" s="322"/>
      <c r="J11" s="322"/>
      <c r="K11" s="322"/>
      <c r="L11" s="322"/>
    </row>
    <row r="12" spans="1:12" ht="15.75" x14ac:dyDescent="0.25">
      <c r="A12" s="328" t="str">
        <f>'1. паспорт местоположение'!A12:C12</f>
        <v xml:space="preserve">                              G_4584                              </v>
      </c>
      <c r="B12" s="328"/>
      <c r="C12" s="328"/>
      <c r="D12" s="328"/>
      <c r="E12" s="328"/>
      <c r="F12" s="328"/>
      <c r="G12" s="233"/>
      <c r="H12" s="233"/>
      <c r="I12" s="233"/>
      <c r="J12" s="233"/>
      <c r="K12" s="233"/>
      <c r="L12" s="233"/>
    </row>
    <row r="13" spans="1:12" ht="15.75" x14ac:dyDescent="0.25">
      <c r="A13" s="319" t="s">
        <v>7</v>
      </c>
      <c r="B13" s="319"/>
      <c r="C13" s="319"/>
      <c r="D13" s="319"/>
      <c r="E13" s="319"/>
      <c r="F13" s="319"/>
      <c r="G13" s="154"/>
      <c r="H13" s="154"/>
      <c r="I13" s="154"/>
      <c r="J13" s="154"/>
      <c r="K13" s="154"/>
      <c r="L13" s="154"/>
    </row>
    <row r="14" spans="1:12" ht="18.75" x14ac:dyDescent="0.25">
      <c r="A14" s="329"/>
      <c r="B14" s="329"/>
      <c r="C14" s="329"/>
      <c r="D14" s="329"/>
      <c r="E14" s="329"/>
      <c r="F14" s="329"/>
      <c r="G14" s="329"/>
      <c r="H14" s="329"/>
      <c r="I14" s="329"/>
      <c r="J14" s="329"/>
      <c r="K14" s="329"/>
      <c r="L14" s="329"/>
    </row>
    <row r="15" spans="1:12" ht="81.75" customHeight="1" x14ac:dyDescent="0.25">
      <c r="A15" s="325" t="str">
        <f>'1. паспорт местоположение'!A15:C15</f>
        <v>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v>
      </c>
      <c r="B15" s="325"/>
      <c r="C15" s="325"/>
      <c r="D15" s="325"/>
      <c r="E15" s="325"/>
      <c r="F15" s="325"/>
      <c r="G15" s="234"/>
      <c r="H15" s="234"/>
      <c r="I15" s="234"/>
      <c r="J15" s="234"/>
      <c r="K15" s="234"/>
      <c r="L15" s="234"/>
    </row>
    <row r="16" spans="1:12" ht="15.75" x14ac:dyDescent="0.25">
      <c r="A16" s="319" t="s">
        <v>6</v>
      </c>
      <c r="B16" s="319"/>
      <c r="C16" s="319"/>
      <c r="D16" s="319"/>
      <c r="E16" s="319"/>
      <c r="F16" s="319"/>
      <c r="G16" s="154"/>
      <c r="H16" s="154"/>
      <c r="I16" s="154"/>
      <c r="J16" s="154"/>
      <c r="K16" s="154"/>
      <c r="L16" s="154"/>
    </row>
    <row r="17" spans="1:12" ht="15.75" x14ac:dyDescent="0.25">
      <c r="A17" s="66"/>
      <c r="B17" s="66"/>
      <c r="C17" s="66"/>
      <c r="D17" s="66"/>
      <c r="E17" s="66"/>
      <c r="F17" s="66"/>
      <c r="G17" s="66"/>
      <c r="H17" s="66"/>
      <c r="I17" s="66"/>
      <c r="J17" s="66"/>
      <c r="K17" s="66"/>
      <c r="L17" s="170"/>
    </row>
    <row r="18" spans="1:12" ht="15.75" x14ac:dyDescent="0.25">
      <c r="A18" s="66"/>
      <c r="B18" s="66"/>
      <c r="C18" s="66"/>
      <c r="D18" s="66"/>
      <c r="E18" s="66"/>
      <c r="F18" s="66"/>
      <c r="G18" s="66"/>
      <c r="H18" s="66"/>
      <c r="I18" s="66"/>
      <c r="J18" s="66"/>
      <c r="K18" s="92"/>
      <c r="L18" s="66"/>
    </row>
    <row r="19" spans="1:12" ht="15.75" customHeight="1" x14ac:dyDescent="0.25">
      <c r="A19" s="371" t="s">
        <v>447</v>
      </c>
      <c r="B19" s="371"/>
      <c r="C19" s="371"/>
      <c r="D19" s="371"/>
      <c r="E19" s="371"/>
      <c r="F19" s="371"/>
      <c r="G19" s="265"/>
      <c r="H19" s="265"/>
      <c r="I19" s="265"/>
      <c r="J19" s="265"/>
      <c r="K19" s="265"/>
      <c r="L19" s="265"/>
    </row>
    <row r="20" spans="1:12" ht="15.75" x14ac:dyDescent="0.25">
      <c r="A20" s="235"/>
      <c r="F20" s="236"/>
    </row>
    <row r="21" spans="1:12" s="238" customFormat="1" ht="16.5" thickBot="1" x14ac:dyDescent="0.3">
      <c r="A21" s="237"/>
      <c r="K21" s="239"/>
    </row>
    <row r="22" spans="1:12" s="238" customFormat="1" ht="16.5" hidden="1" thickBot="1" x14ac:dyDescent="0.3">
      <c r="A22" s="237"/>
      <c r="B22" s="374" t="s">
        <v>518</v>
      </c>
      <c r="C22" s="375"/>
      <c r="D22" s="375"/>
      <c r="E22" s="375"/>
      <c r="F22" s="375"/>
      <c r="G22" s="375"/>
      <c r="H22" s="375"/>
      <c r="I22" s="375"/>
      <c r="K22" s="239"/>
    </row>
    <row r="23" spans="1:12" ht="15" customHeight="1" x14ac:dyDescent="0.25">
      <c r="A23" s="376" t="s">
        <v>211</v>
      </c>
      <c r="B23" s="379" t="s">
        <v>519</v>
      </c>
      <c r="C23" s="382" t="s">
        <v>520</v>
      </c>
      <c r="D23" s="382"/>
      <c r="E23" s="384" t="s">
        <v>210</v>
      </c>
      <c r="F23" s="386" t="s">
        <v>209</v>
      </c>
    </row>
    <row r="24" spans="1:12" ht="15" customHeight="1" x14ac:dyDescent="0.25">
      <c r="A24" s="377"/>
      <c r="B24" s="380"/>
      <c r="C24" s="383"/>
      <c r="D24" s="383"/>
      <c r="E24" s="385"/>
      <c r="F24" s="387"/>
    </row>
    <row r="25" spans="1:12" ht="48" thickBot="1" x14ac:dyDescent="0.3">
      <c r="A25" s="378"/>
      <c r="B25" s="381"/>
      <c r="C25" s="240" t="s">
        <v>208</v>
      </c>
      <c r="D25" s="240" t="s">
        <v>207</v>
      </c>
      <c r="E25" s="385"/>
      <c r="F25" s="387"/>
    </row>
    <row r="26" spans="1:12" ht="16.5" thickBot="1" x14ac:dyDescent="0.3">
      <c r="A26" s="241">
        <v>1</v>
      </c>
      <c r="B26" s="242">
        <v>2</v>
      </c>
      <c r="C26" s="243">
        <v>3</v>
      </c>
      <c r="D26" s="243">
        <v>4</v>
      </c>
      <c r="E26" s="244">
        <v>5</v>
      </c>
      <c r="F26" s="245">
        <v>6</v>
      </c>
    </row>
    <row r="27" spans="1:12" x14ac:dyDescent="0.25">
      <c r="A27" s="246">
        <v>1</v>
      </c>
      <c r="B27" s="247" t="s">
        <v>206</v>
      </c>
      <c r="C27" s="248" t="s">
        <v>521</v>
      </c>
      <c r="D27" s="248" t="s">
        <v>521</v>
      </c>
      <c r="E27" s="248" t="s">
        <v>521</v>
      </c>
      <c r="F27" s="249"/>
    </row>
    <row r="28" spans="1:12" x14ac:dyDescent="0.25">
      <c r="A28" s="250">
        <v>1.1000000000000001</v>
      </c>
      <c r="B28" s="251" t="s">
        <v>522</v>
      </c>
      <c r="C28" s="372" t="s">
        <v>517</v>
      </c>
      <c r="D28" s="373"/>
      <c r="E28" s="252"/>
      <c r="F28" s="253"/>
    </row>
    <row r="29" spans="1:12" x14ac:dyDescent="0.25">
      <c r="A29" s="250">
        <v>1.2</v>
      </c>
      <c r="B29" s="251" t="s">
        <v>523</v>
      </c>
      <c r="C29" s="372" t="s">
        <v>517</v>
      </c>
      <c r="D29" s="373"/>
      <c r="E29" s="252"/>
      <c r="F29" s="253"/>
    </row>
    <row r="30" spans="1:12" x14ac:dyDescent="0.25">
      <c r="A30" s="254">
        <v>1.3</v>
      </c>
      <c r="B30" s="255" t="s">
        <v>410</v>
      </c>
      <c r="C30" s="285">
        <v>42339</v>
      </c>
      <c r="D30" s="285">
        <v>42384</v>
      </c>
      <c r="E30" s="256">
        <v>100</v>
      </c>
      <c r="F30" s="257"/>
    </row>
    <row r="31" spans="1:12" ht="25.5" x14ac:dyDescent="0.25">
      <c r="A31" s="254">
        <v>1.4</v>
      </c>
      <c r="B31" s="255" t="s">
        <v>524</v>
      </c>
      <c r="C31" s="285">
        <v>42555</v>
      </c>
      <c r="D31" s="285">
        <v>42618</v>
      </c>
      <c r="E31" s="256"/>
      <c r="F31" s="257"/>
    </row>
    <row r="32" spans="1:12" x14ac:dyDescent="0.25">
      <c r="A32" s="254">
        <v>1.5</v>
      </c>
      <c r="B32" s="255" t="s">
        <v>205</v>
      </c>
      <c r="C32" s="285">
        <v>42587</v>
      </c>
      <c r="D32" s="285">
        <v>42623</v>
      </c>
      <c r="E32" s="256"/>
      <c r="F32" s="257"/>
    </row>
    <row r="33" spans="1:6" x14ac:dyDescent="0.25">
      <c r="A33" s="254">
        <v>1.6</v>
      </c>
      <c r="B33" s="255" t="s">
        <v>204</v>
      </c>
      <c r="C33" s="285">
        <v>42586</v>
      </c>
      <c r="D33" s="285">
        <v>42648</v>
      </c>
      <c r="E33" s="256"/>
      <c r="F33" s="257"/>
    </row>
    <row r="34" spans="1:6" x14ac:dyDescent="0.25">
      <c r="A34" s="254">
        <v>2</v>
      </c>
      <c r="B34" s="258" t="s">
        <v>203</v>
      </c>
      <c r="C34" s="284"/>
      <c r="D34" s="284"/>
      <c r="E34" s="259" t="s">
        <v>521</v>
      </c>
      <c r="F34" s="260"/>
    </row>
    <row r="35" spans="1:6" x14ac:dyDescent="0.25">
      <c r="A35" s="254">
        <v>2.1</v>
      </c>
      <c r="B35" s="255" t="s">
        <v>525</v>
      </c>
      <c r="C35" s="285">
        <v>42623</v>
      </c>
      <c r="D35" s="285">
        <v>42704</v>
      </c>
      <c r="E35" s="256"/>
      <c r="F35" s="257"/>
    </row>
    <row r="36" spans="1:6" ht="25.5" x14ac:dyDescent="0.25">
      <c r="A36" s="254">
        <v>2.2000000000000002</v>
      </c>
      <c r="B36" s="255" t="s">
        <v>526</v>
      </c>
      <c r="C36" s="285">
        <v>42244</v>
      </c>
      <c r="D36" s="285">
        <v>42612</v>
      </c>
      <c r="E36" s="256"/>
      <c r="F36" s="257"/>
    </row>
    <row r="37" spans="1:6" x14ac:dyDescent="0.25">
      <c r="A37" s="254">
        <v>2.2999999999999998</v>
      </c>
      <c r="B37" s="255" t="s">
        <v>527</v>
      </c>
      <c r="C37" s="285">
        <v>42673</v>
      </c>
      <c r="D37" s="285">
        <v>42704</v>
      </c>
      <c r="E37" s="256"/>
      <c r="F37" s="257"/>
    </row>
    <row r="38" spans="1:6" ht="25.5" x14ac:dyDescent="0.25">
      <c r="A38" s="254">
        <v>3</v>
      </c>
      <c r="B38" s="258" t="s">
        <v>528</v>
      </c>
      <c r="C38" s="284"/>
      <c r="D38" s="284"/>
      <c r="E38" s="259" t="s">
        <v>521</v>
      </c>
      <c r="F38" s="260"/>
    </row>
    <row r="39" spans="1:6" ht="25.5" x14ac:dyDescent="0.25">
      <c r="A39" s="254">
        <v>3.1</v>
      </c>
      <c r="B39" s="255" t="s">
        <v>529</v>
      </c>
      <c r="C39" s="285">
        <v>42705</v>
      </c>
      <c r="D39" s="285">
        <v>42719</v>
      </c>
      <c r="E39" s="256"/>
      <c r="F39" s="257"/>
    </row>
    <row r="40" spans="1:6" x14ac:dyDescent="0.25">
      <c r="A40" s="254">
        <v>3.2</v>
      </c>
      <c r="B40" s="255" t="s">
        <v>202</v>
      </c>
      <c r="C40" s="285">
        <v>42719</v>
      </c>
      <c r="D40" s="285">
        <v>42868</v>
      </c>
      <c r="E40" s="256"/>
      <c r="F40" s="257"/>
    </row>
    <row r="41" spans="1:6" ht="42" customHeight="1" x14ac:dyDescent="0.25">
      <c r="A41" s="254">
        <v>3.3</v>
      </c>
      <c r="B41" s="255" t="s">
        <v>530</v>
      </c>
      <c r="C41" s="285" t="s">
        <v>547</v>
      </c>
      <c r="D41" s="285" t="s">
        <v>548</v>
      </c>
      <c r="E41" s="256"/>
      <c r="F41" s="257"/>
    </row>
    <row r="42" spans="1:6" ht="32.25" customHeight="1" x14ac:dyDescent="0.25">
      <c r="A42" s="254">
        <v>3.4</v>
      </c>
      <c r="B42" s="255" t="s">
        <v>531</v>
      </c>
      <c r="C42" s="285" t="s">
        <v>549</v>
      </c>
      <c r="D42" s="285" t="s">
        <v>550</v>
      </c>
      <c r="E42" s="256"/>
      <c r="F42" s="257"/>
    </row>
    <row r="43" spans="1:6" x14ac:dyDescent="0.25">
      <c r="A43" s="254">
        <v>3.5</v>
      </c>
      <c r="B43" s="255" t="s">
        <v>532</v>
      </c>
      <c r="C43" s="285"/>
      <c r="D43" s="287">
        <v>43009</v>
      </c>
      <c r="E43" s="256"/>
      <c r="F43" s="257"/>
    </row>
    <row r="44" spans="1:6" x14ac:dyDescent="0.25">
      <c r="A44" s="254">
        <v>4</v>
      </c>
      <c r="B44" s="258" t="s">
        <v>201</v>
      </c>
      <c r="C44" s="284"/>
      <c r="D44" s="286"/>
      <c r="E44" s="259" t="s">
        <v>521</v>
      </c>
      <c r="F44" s="260"/>
    </row>
    <row r="45" spans="1:6" ht="30" customHeight="1" x14ac:dyDescent="0.25">
      <c r="A45" s="254">
        <v>4.0999999999999996</v>
      </c>
      <c r="B45" s="255" t="s">
        <v>200</v>
      </c>
      <c r="C45" s="289" t="s">
        <v>551</v>
      </c>
      <c r="D45" s="290" t="s">
        <v>552</v>
      </c>
      <c r="E45" s="259"/>
      <c r="F45" s="260"/>
    </row>
    <row r="46" spans="1:6" ht="52.5" customHeight="1" x14ac:dyDescent="0.25">
      <c r="A46" s="254">
        <v>4.2</v>
      </c>
      <c r="B46" s="255" t="s">
        <v>533</v>
      </c>
      <c r="C46" s="288" t="s">
        <v>553</v>
      </c>
      <c r="D46" s="288" t="s">
        <v>552</v>
      </c>
      <c r="E46" s="256"/>
      <c r="F46" s="257"/>
    </row>
    <row r="47" spans="1:6" ht="30" customHeight="1" x14ac:dyDescent="0.25">
      <c r="A47" s="254">
        <v>4.3</v>
      </c>
      <c r="B47" s="255" t="s">
        <v>534</v>
      </c>
      <c r="C47" s="288" t="s">
        <v>553</v>
      </c>
      <c r="D47" s="285" t="s">
        <v>554</v>
      </c>
      <c r="E47" s="256"/>
      <c r="F47" s="257"/>
    </row>
    <row r="48" spans="1:6" ht="30.75" customHeight="1" thickBot="1" x14ac:dyDescent="0.3">
      <c r="A48" s="261">
        <v>4.4000000000000004</v>
      </c>
      <c r="B48" s="262" t="s">
        <v>535</v>
      </c>
      <c r="C48" s="291" t="s">
        <v>553</v>
      </c>
      <c r="D48" s="291" t="s">
        <v>552</v>
      </c>
      <c r="E48" s="263"/>
      <c r="F48" s="264"/>
    </row>
  </sheetData>
  <mergeCells count="20">
    <mergeCell ref="A19:F19"/>
    <mergeCell ref="A13:F13"/>
    <mergeCell ref="A15:F15"/>
    <mergeCell ref="A16:F16"/>
    <mergeCell ref="C29:D29"/>
    <mergeCell ref="B22:I22"/>
    <mergeCell ref="A23:A25"/>
    <mergeCell ref="B23:B25"/>
    <mergeCell ref="C23:D24"/>
    <mergeCell ref="E23:E25"/>
    <mergeCell ref="F23:F25"/>
    <mergeCell ref="A14:L14"/>
    <mergeCell ref="C28:D28"/>
    <mergeCell ref="A5:F5"/>
    <mergeCell ref="A7:F7"/>
    <mergeCell ref="A9:F9"/>
    <mergeCell ref="A10:F10"/>
    <mergeCell ref="A12:F12"/>
    <mergeCell ref="A8:L8"/>
    <mergeCell ref="A11:L11"/>
  </mergeCells>
  <pageMargins left="0.70866141732283472" right="0.70866141732283472" top="0.74803149606299213" bottom="0.74803149606299213"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2016-04-01T08:49:35Z</cp:lastPrinted>
  <dcterms:created xsi:type="dcterms:W3CDTF">2015-08-16T15:31:05Z</dcterms:created>
  <dcterms:modified xsi:type="dcterms:W3CDTF">2016-08-08T12:00:58Z</dcterms:modified>
</cp:coreProperties>
</file>