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4000" windowHeight="97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5"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график'!$A$1:$M$46</definedName>
    <definedName name="_xlnm.Print_Area" localSheetId="9">'6.2. Паспорт фин осв ввод'!$A$1:$U$64</definedName>
    <definedName name="_xlnm.Print_Area" localSheetId="11">'8. Общие сведения'!$A$1:$B$142</definedName>
  </definedNames>
  <calcPr calcId="152511"/>
</workbook>
</file>

<file path=xl/calcChain.xml><?xml version="1.0" encoding="utf-8"?>
<calcChain xmlns="http://schemas.openxmlformats.org/spreadsheetml/2006/main">
  <c r="U56" i="15" l="1"/>
  <c r="U55" i="15"/>
  <c r="U54" i="15"/>
  <c r="U53" i="15"/>
  <c r="U52" i="15"/>
  <c r="U48" i="15"/>
  <c r="U40" i="15"/>
  <c r="U35" i="15"/>
  <c r="T48" i="15"/>
  <c r="T40" i="15"/>
  <c r="T35" i="15"/>
  <c r="T34" i="15"/>
  <c r="T33" i="15"/>
  <c r="T32" i="15"/>
  <c r="T31" i="15"/>
  <c r="T30" i="15"/>
  <c r="T29" i="15"/>
  <c r="T27" i="15"/>
  <c r="T25" i="15"/>
  <c r="L52" i="15"/>
  <c r="L24" i="15"/>
  <c r="K33" i="15" l="1"/>
  <c r="K32" i="15"/>
  <c r="K34" i="15" l="1"/>
  <c r="J34" i="15"/>
  <c r="H24" i="15" l="1"/>
  <c r="B119" i="25" l="1"/>
  <c r="B118" i="25"/>
  <c r="B117" i="25"/>
  <c r="B116" i="25"/>
  <c r="B108" i="25"/>
  <c r="B104" i="25"/>
  <c r="B100" i="25"/>
  <c r="B96" i="25"/>
  <c r="B92" i="25"/>
  <c r="B88" i="25"/>
  <c r="B84" i="25"/>
  <c r="B80" i="25"/>
  <c r="B76" i="25"/>
  <c r="B72" i="25"/>
  <c r="B70" i="25"/>
  <c r="B67" i="25"/>
  <c r="B63" i="25"/>
  <c r="B59" i="25"/>
  <c r="B55" i="25"/>
  <c r="B53" i="25"/>
  <c r="B50" i="25"/>
  <c r="B46" i="25"/>
  <c r="B42" i="25"/>
  <c r="B38" i="25"/>
  <c r="B34" i="25"/>
  <c r="B32" i="25"/>
  <c r="B30" i="25" s="1"/>
  <c r="B21" i="25"/>
  <c r="A15" i="25" l="1"/>
  <c r="A12" i="25"/>
  <c r="A9" i="25"/>
  <c r="A5" i="25"/>
  <c r="E29" i="15" l="1"/>
  <c r="E27" i="15"/>
  <c r="D29" i="15"/>
  <c r="D27" i="15"/>
  <c r="U63" i="15" l="1"/>
  <c r="E52" i="15"/>
  <c r="D52" i="15"/>
  <c r="G34" i="15"/>
  <c r="D34" i="15"/>
  <c r="T24" i="15"/>
  <c r="N24" i="15"/>
  <c r="G24" i="15"/>
  <c r="I24" i="15"/>
  <c r="J24" i="15"/>
  <c r="K24" i="15"/>
  <c r="M24" i="15"/>
  <c r="O24" i="15"/>
  <c r="P24" i="15"/>
  <c r="Q24" i="15"/>
  <c r="R24" i="15"/>
  <c r="S24" i="15"/>
  <c r="E24" i="15"/>
  <c r="F24" i="15"/>
  <c r="D24" i="15"/>
  <c r="U24" i="15" l="1"/>
  <c r="A15" i="23"/>
  <c r="A12" i="23"/>
  <c r="A9" i="23"/>
  <c r="A5" i="23"/>
  <c r="F92" i="23"/>
  <c r="C92" i="23"/>
  <c r="D88" i="23"/>
  <c r="E88" i="23" s="1"/>
  <c r="F88" i="23" s="1"/>
  <c r="G88" i="23" s="1"/>
  <c r="H88" i="23" s="1"/>
  <c r="I88" i="23" s="1"/>
  <c r="J88" i="23" s="1"/>
  <c r="K88" i="23" s="1"/>
  <c r="L88" i="23" s="1"/>
  <c r="M88" i="23" s="1"/>
  <c r="N88" i="23" s="1"/>
  <c r="O88" i="23" s="1"/>
  <c r="P88" i="23" s="1"/>
  <c r="Q88" i="23" s="1"/>
  <c r="R88" i="23" s="1"/>
  <c r="S88" i="23" s="1"/>
  <c r="T88" i="23" s="1"/>
  <c r="U88" i="23" s="1"/>
  <c r="V88" i="23" s="1"/>
  <c r="W88" i="23" s="1"/>
  <c r="X88" i="23" s="1"/>
  <c r="Y88" i="23" s="1"/>
  <c r="Z88" i="23" s="1"/>
  <c r="AA88" i="23" s="1"/>
  <c r="AB88" i="23" s="1"/>
  <c r="AC88" i="23" s="1"/>
  <c r="AD88" i="23" s="1"/>
  <c r="AE88" i="23" s="1"/>
  <c r="AF88" i="23" s="1"/>
  <c r="AG88" i="23" s="1"/>
  <c r="AH88" i="23" s="1"/>
  <c r="AI88" i="23" s="1"/>
  <c r="AJ88" i="23" s="1"/>
  <c r="AK88" i="23" s="1"/>
  <c r="AL88" i="23" s="1"/>
  <c r="AM88" i="23" s="1"/>
  <c r="AN88" i="23" s="1"/>
  <c r="AO88" i="23" s="1"/>
  <c r="AP88" i="23" s="1"/>
  <c r="AQ88" i="23" s="1"/>
  <c r="AR88" i="23" s="1"/>
  <c r="AS88" i="23" s="1"/>
  <c r="C88" i="23"/>
  <c r="H82" i="23"/>
  <c r="H92" i="23" s="1"/>
  <c r="G82" i="23"/>
  <c r="G92" i="23" s="1"/>
  <c r="F82" i="23"/>
  <c r="E82" i="23"/>
  <c r="E92" i="23" s="1"/>
  <c r="D82" i="23"/>
  <c r="D92" i="23" s="1"/>
  <c r="C82" i="23"/>
  <c r="B82" i="23"/>
  <c r="B92" i="23" s="1"/>
  <c r="AT78" i="23"/>
  <c r="AQ77" i="23"/>
  <c r="AI77" i="23"/>
  <c r="AH77" i="23"/>
  <c r="AA77" i="23"/>
  <c r="S77" i="23"/>
  <c r="G77" i="23"/>
  <c r="F77" i="23"/>
  <c r="J73" i="23"/>
  <c r="E73" i="23"/>
  <c r="D73" i="23"/>
  <c r="C73" i="23"/>
  <c r="B73" i="23"/>
  <c r="C71" i="23"/>
  <c r="B71" i="23"/>
  <c r="I70" i="23"/>
  <c r="I82" i="23" s="1"/>
  <c r="I92" i="23" s="1"/>
  <c r="F64" i="23"/>
  <c r="C63" i="23"/>
  <c r="C65" i="23" s="1"/>
  <c r="C61" i="23"/>
  <c r="B61" i="23"/>
  <c r="C60" i="23"/>
  <c r="C56" i="23" s="1"/>
  <c r="B60" i="23"/>
  <c r="A58" i="23"/>
  <c r="AS55" i="23"/>
  <c r="AR55" i="23"/>
  <c r="AQ55" i="23"/>
  <c r="AP55" i="23"/>
  <c r="AO55" i="23"/>
  <c r="AO77" i="23" s="1"/>
  <c r="AN55" i="23"/>
  <c r="AM55" i="23"/>
  <c r="AL55" i="23"/>
  <c r="AM77" i="23" s="1"/>
  <c r="AK55" i="23"/>
  <c r="AJ55" i="23"/>
  <c r="AI55" i="23"/>
  <c r="AH55" i="23"/>
  <c r="AG55" i="23"/>
  <c r="AF55" i="23"/>
  <c r="AE55" i="23"/>
  <c r="AD55" i="23"/>
  <c r="AC55" i="23"/>
  <c r="AB55" i="23"/>
  <c r="AA55" i="23"/>
  <c r="Z55" i="23"/>
  <c r="Y55" i="23"/>
  <c r="X55" i="23"/>
  <c r="W55" i="23"/>
  <c r="V55" i="23"/>
  <c r="W77" i="23" s="1"/>
  <c r="U55" i="23"/>
  <c r="T55" i="23"/>
  <c r="S55" i="23"/>
  <c r="R55" i="23"/>
  <c r="Q55" i="23"/>
  <c r="P55" i="23"/>
  <c r="O55" i="23"/>
  <c r="N55" i="23"/>
  <c r="M55" i="23"/>
  <c r="L55" i="23"/>
  <c r="K55" i="23"/>
  <c r="J55" i="23"/>
  <c r="I55" i="23"/>
  <c r="H55" i="23"/>
  <c r="G55" i="23"/>
  <c r="F55" i="23"/>
  <c r="E55" i="23"/>
  <c r="D55" i="23"/>
  <c r="C55" i="23"/>
  <c r="B55" i="23"/>
  <c r="D54" i="23"/>
  <c r="E54" i="23" s="1"/>
  <c r="C54" i="23"/>
  <c r="I53" i="23"/>
  <c r="B50" i="23"/>
  <c r="D48" i="23"/>
  <c r="C48" i="23"/>
  <c r="B48" i="23"/>
  <c r="D45" i="23"/>
  <c r="C45" i="23"/>
  <c r="W44" i="23"/>
  <c r="X44" i="23" s="1"/>
  <c r="Y44" i="23" s="1"/>
  <c r="Z44" i="23" s="1"/>
  <c r="AA44" i="23" s="1"/>
  <c r="AB44" i="23" s="1"/>
  <c r="AC44" i="23" s="1"/>
  <c r="AD44" i="23" s="1"/>
  <c r="AE44" i="23" s="1"/>
  <c r="AF44" i="23" s="1"/>
  <c r="AG44" i="23" s="1"/>
  <c r="AH44" i="23" s="1"/>
  <c r="AI44" i="23" s="1"/>
  <c r="AJ44" i="23" s="1"/>
  <c r="AK44" i="23" s="1"/>
  <c r="AL44" i="23" s="1"/>
  <c r="AM44" i="23" s="1"/>
  <c r="AN44" i="23" s="1"/>
  <c r="AO44" i="23" s="1"/>
  <c r="AP44" i="23" s="1"/>
  <c r="AQ44" i="23" s="1"/>
  <c r="AR44" i="23" s="1"/>
  <c r="AS44" i="23" s="1"/>
  <c r="U44" i="23"/>
  <c r="V44" i="23" s="1"/>
  <c r="T44" i="23"/>
  <c r="D43" i="23"/>
  <c r="C43" i="23"/>
  <c r="B43" i="23"/>
  <c r="B41" i="23"/>
  <c r="B42" i="23" s="1"/>
  <c r="B56" i="23" l="1"/>
  <c r="B63" i="23" s="1"/>
  <c r="B65" i="23" s="1"/>
  <c r="B76" i="23"/>
  <c r="C76" i="23" s="1"/>
  <c r="C72" i="23"/>
  <c r="D77" i="23"/>
  <c r="H77" i="23"/>
  <c r="L77" i="23"/>
  <c r="P77" i="23"/>
  <c r="T77" i="23"/>
  <c r="X77" i="23"/>
  <c r="AB77" i="23"/>
  <c r="AF77" i="23"/>
  <c r="AJ77" i="23"/>
  <c r="AN77" i="23"/>
  <c r="AR77" i="23"/>
  <c r="G64" i="23"/>
  <c r="D61" i="23"/>
  <c r="D60" i="23"/>
  <c r="D56" i="23" s="1"/>
  <c r="D63" i="23" s="1"/>
  <c r="D65" i="23" s="1"/>
  <c r="E71" i="23"/>
  <c r="E48" i="23"/>
  <c r="E77" i="23"/>
  <c r="I77" i="23"/>
  <c r="N77" i="23"/>
  <c r="Q77" i="23"/>
  <c r="U77" i="23"/>
  <c r="V77" i="23"/>
  <c r="Y77" i="23"/>
  <c r="AC77" i="23"/>
  <c r="AG77" i="23"/>
  <c r="AK77" i="23"/>
  <c r="AS77" i="23"/>
  <c r="F73" i="23"/>
  <c r="M77" i="23"/>
  <c r="E43" i="23"/>
  <c r="E45" i="23"/>
  <c r="J53" i="23"/>
  <c r="F54" i="23"/>
  <c r="R77" i="23"/>
  <c r="AD77" i="23"/>
  <c r="B79" i="23"/>
  <c r="J77" i="23"/>
  <c r="Z77" i="23"/>
  <c r="AP77" i="23"/>
  <c r="D71" i="23"/>
  <c r="B77" i="23"/>
  <c r="AL77" i="23"/>
  <c r="B51" i="23"/>
  <c r="O77" i="23"/>
  <c r="AE77" i="23"/>
  <c r="C77" i="23"/>
  <c r="K77" i="23"/>
  <c r="A14" i="12"/>
  <c r="A11" i="12"/>
  <c r="A8" i="12"/>
  <c r="A4" i="12"/>
  <c r="A15" i="10"/>
  <c r="A12" i="10"/>
  <c r="A9" i="10"/>
  <c r="A5" i="10"/>
  <c r="A15" i="5"/>
  <c r="A12" i="5"/>
  <c r="A9" i="5"/>
  <c r="A5" i="5"/>
  <c r="A14" i="15"/>
  <c r="A11" i="15"/>
  <c r="A8" i="15"/>
  <c r="A4" i="15"/>
  <c r="A15" i="16"/>
  <c r="A12" i="16"/>
  <c r="A9" i="16"/>
  <c r="A5" i="16"/>
  <c r="A14" i="17"/>
  <c r="A11" i="17"/>
  <c r="A8" i="17"/>
  <c r="A4" i="17"/>
  <c r="A15" i="6"/>
  <c r="A12" i="6"/>
  <c r="A9" i="6"/>
  <c r="A5" i="6"/>
  <c r="E15" i="14"/>
  <c r="E12" i="14"/>
  <c r="E9" i="14"/>
  <c r="A5" i="14"/>
  <c r="A16" i="13"/>
  <c r="A13" i="13"/>
  <c r="A10" i="13"/>
  <c r="A6" i="13"/>
  <c r="D72" i="23" l="1"/>
  <c r="B72" i="23"/>
  <c r="F71" i="23"/>
  <c r="G54" i="23"/>
  <c r="F43" i="23"/>
  <c r="F58" i="23" s="1"/>
  <c r="F48" i="23"/>
  <c r="H64" i="23"/>
  <c r="G73" i="23"/>
  <c r="D76" i="23"/>
  <c r="K53" i="23"/>
  <c r="K70" i="23"/>
  <c r="K82" i="23" s="1"/>
  <c r="K92" i="23" s="1"/>
  <c r="C49" i="23"/>
  <c r="B52" i="23"/>
  <c r="B66" i="23" s="1"/>
  <c r="B74" i="23" s="1"/>
  <c r="J70" i="23"/>
  <c r="J82" i="23" s="1"/>
  <c r="J92" i="23" s="1"/>
  <c r="E60" i="23"/>
  <c r="F45" i="23"/>
  <c r="E6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56" i="23" l="1"/>
  <c r="E63" i="23" s="1"/>
  <c r="E65" i="23" s="1"/>
  <c r="E76" i="23"/>
  <c r="C51" i="23"/>
  <c r="G48" i="23"/>
  <c r="G43" i="23"/>
  <c r="G58" i="23" s="1"/>
  <c r="G71" i="23"/>
  <c r="H54" i="23"/>
  <c r="H73" i="23"/>
  <c r="I64" i="23"/>
  <c r="G45" i="23"/>
  <c r="F60" i="23"/>
  <c r="F56" i="23" s="1"/>
  <c r="F63" i="23" s="1"/>
  <c r="F65" i="23" s="1"/>
  <c r="F61" i="23"/>
  <c r="F76" i="23" s="1"/>
  <c r="L53" i="23"/>
  <c r="L70" i="23"/>
  <c r="L82" i="23" s="1"/>
  <c r="L92" i="23" s="1"/>
  <c r="B67" i="23"/>
  <c r="F72" i="23" l="1"/>
  <c r="J64" i="23"/>
  <c r="K64" i="23" s="1"/>
  <c r="I73" i="23"/>
  <c r="C79" i="23"/>
  <c r="C52" i="23"/>
  <c r="C66" i="23" s="1"/>
  <c r="B68" i="23"/>
  <c r="H45" i="23"/>
  <c r="G61" i="23"/>
  <c r="G60" i="23"/>
  <c r="G76" i="23" s="1"/>
  <c r="E72" i="23"/>
  <c r="M53" i="23"/>
  <c r="I54" i="23"/>
  <c r="H71" i="23"/>
  <c r="H48" i="23"/>
  <c r="H43" i="23"/>
  <c r="D49" i="23"/>
  <c r="H57" i="23" l="1"/>
  <c r="H58" i="23"/>
  <c r="N70" i="23"/>
  <c r="N82" i="23" s="1"/>
  <c r="N92" i="23" s="1"/>
  <c r="N53" i="23"/>
  <c r="G56" i="23"/>
  <c r="G63" i="23" s="1"/>
  <c r="G65" i="23" s="1"/>
  <c r="M70" i="23"/>
  <c r="M82" i="23" s="1"/>
  <c r="M92" i="23" s="1"/>
  <c r="B75" i="23"/>
  <c r="B80" i="23" s="1"/>
  <c r="H61" i="23"/>
  <c r="H60" i="23"/>
  <c r="I45" i="23"/>
  <c r="B69" i="23"/>
  <c r="D51" i="23"/>
  <c r="J54" i="23"/>
  <c r="I71" i="23"/>
  <c r="I48" i="23"/>
  <c r="I43" i="23"/>
  <c r="I58" i="23" s="1"/>
  <c r="C74" i="23"/>
  <c r="C67" i="23"/>
  <c r="L64" i="23"/>
  <c r="K73" i="23"/>
  <c r="J71" i="23" l="1"/>
  <c r="K54" i="23"/>
  <c r="J48" i="23"/>
  <c r="J43" i="23"/>
  <c r="D52" i="23"/>
  <c r="D66" i="23" s="1"/>
  <c r="D79" i="23"/>
  <c r="I61" i="23"/>
  <c r="I60" i="23"/>
  <c r="I56" i="23" s="1"/>
  <c r="I63" i="23" s="1"/>
  <c r="I65" i="23" s="1"/>
  <c r="J45" i="23"/>
  <c r="B83" i="23"/>
  <c r="B85" i="23"/>
  <c r="B81" i="23"/>
  <c r="B86" i="23" s="1"/>
  <c r="L73" i="23"/>
  <c r="M64" i="23"/>
  <c r="E49" i="23"/>
  <c r="G72" i="23"/>
  <c r="H56" i="23"/>
  <c r="H63" i="23" s="1"/>
  <c r="H65" i="23" s="1"/>
  <c r="H76" i="23"/>
  <c r="I76" i="23"/>
  <c r="C68" i="23"/>
  <c r="O53" i="23"/>
  <c r="I72" i="23" l="1"/>
  <c r="C75" i="23"/>
  <c r="C80" i="23" s="1"/>
  <c r="H72" i="23"/>
  <c r="C69" i="23"/>
  <c r="N64" i="23"/>
  <c r="M73" i="23"/>
  <c r="P53" i="23"/>
  <c r="O70" i="23"/>
  <c r="O82" i="23" s="1"/>
  <c r="O92" i="23" s="1"/>
  <c r="E51" i="23"/>
  <c r="F49" i="23"/>
  <c r="B84" i="23"/>
  <c r="B87" i="23" s="1"/>
  <c r="K45" i="23"/>
  <c r="J60" i="23"/>
  <c r="J61" i="23"/>
  <c r="D74" i="23"/>
  <c r="D67" i="23"/>
  <c r="K48" i="23"/>
  <c r="K71" i="23"/>
  <c r="K43" i="23"/>
  <c r="L54" i="23"/>
  <c r="J58" i="23"/>
  <c r="J56" i="23" l="1"/>
  <c r="J63" i="23" s="1"/>
  <c r="J65" i="23" s="1"/>
  <c r="J76" i="23"/>
  <c r="Q53" i="23"/>
  <c r="L71" i="23"/>
  <c r="L48" i="23"/>
  <c r="M54" i="23"/>
  <c r="L43" i="23"/>
  <c r="D68" i="23"/>
  <c r="D69" i="23"/>
  <c r="L45" i="23"/>
  <c r="K61" i="23"/>
  <c r="K60" i="23"/>
  <c r="K57" i="23"/>
  <c r="K58" i="23"/>
  <c r="F51" i="23"/>
  <c r="O64" i="23"/>
  <c r="N73" i="23"/>
  <c r="E52" i="23"/>
  <c r="E66" i="23" s="1"/>
  <c r="E79" i="23"/>
  <c r="P70" i="23"/>
  <c r="P82" i="23" s="1"/>
  <c r="P92" i="23" s="1"/>
  <c r="C83" i="23"/>
  <c r="C81" i="23"/>
  <c r="C86" i="23" s="1"/>
  <c r="C85" i="23"/>
  <c r="C84" i="23" l="1"/>
  <c r="C87" i="23" s="1"/>
  <c r="F52" i="23"/>
  <c r="F66" i="23" s="1"/>
  <c r="F79" i="23"/>
  <c r="K56" i="23"/>
  <c r="K63" i="23" s="1"/>
  <c r="K65" i="23" s="1"/>
  <c r="K76" i="23"/>
  <c r="L61" i="23"/>
  <c r="L60" i="23"/>
  <c r="M45" i="23"/>
  <c r="N54" i="23"/>
  <c r="M71" i="23"/>
  <c r="M43" i="23"/>
  <c r="M58" i="23" s="1"/>
  <c r="M48" i="23"/>
  <c r="R53" i="23"/>
  <c r="O73" i="23"/>
  <c r="P64" i="23"/>
  <c r="D75" i="23"/>
  <c r="D80" i="23" s="1"/>
  <c r="J72" i="23"/>
  <c r="E74" i="23"/>
  <c r="E67" i="23"/>
  <c r="G49" i="23"/>
  <c r="L58" i="23"/>
  <c r="Q70" i="23"/>
  <c r="Q82" i="23" s="1"/>
  <c r="Q92" i="23" s="1"/>
  <c r="E68" i="23" l="1"/>
  <c r="M56" i="23"/>
  <c r="M63" i="23" s="1"/>
  <c r="M65" i="23" s="1"/>
  <c r="S53" i="23"/>
  <c r="K72" i="23"/>
  <c r="L56" i="23"/>
  <c r="L63" i="23" s="1"/>
  <c r="L65" i="23" s="1"/>
  <c r="P73" i="23"/>
  <c r="Q64" i="23"/>
  <c r="R70" i="23"/>
  <c r="R82" i="23" s="1"/>
  <c r="R92" i="23" s="1"/>
  <c r="N71" i="23"/>
  <c r="O54" i="23"/>
  <c r="N48" i="23"/>
  <c r="N43" i="23"/>
  <c r="L76" i="23"/>
  <c r="G51" i="23"/>
  <c r="H49" i="23"/>
  <c r="D83" i="23"/>
  <c r="D85" i="23"/>
  <c r="D81" i="23"/>
  <c r="D86" i="23" s="1"/>
  <c r="M61" i="23"/>
  <c r="N45" i="23"/>
  <c r="M60" i="23"/>
  <c r="M76" i="23" s="1"/>
  <c r="F74" i="23"/>
  <c r="F67" i="23"/>
  <c r="D84" i="23" l="1"/>
  <c r="D87" i="23" s="1"/>
  <c r="T53" i="23"/>
  <c r="M72" i="23"/>
  <c r="H51" i="23"/>
  <c r="I49" i="23"/>
  <c r="N58" i="23"/>
  <c r="N57" i="23"/>
  <c r="L72" i="23"/>
  <c r="S70" i="23"/>
  <c r="S82" i="23" s="1"/>
  <c r="S92" i="23" s="1"/>
  <c r="E75" i="23"/>
  <c r="E80" i="23" s="1"/>
  <c r="O45" i="23"/>
  <c r="N61" i="23"/>
  <c r="N60" i="23"/>
  <c r="G79" i="23"/>
  <c r="G52" i="23"/>
  <c r="G66" i="23" s="1"/>
  <c r="Q73" i="23"/>
  <c r="R64" i="23"/>
  <c r="E69" i="23"/>
  <c r="F68" i="23"/>
  <c r="O48" i="23"/>
  <c r="P54" i="23"/>
  <c r="O43" i="23"/>
  <c r="O58" i="23" s="1"/>
  <c r="O71" i="23"/>
  <c r="S64" i="23" l="1"/>
  <c r="R73" i="23"/>
  <c r="E83" i="23"/>
  <c r="E81" i="23"/>
  <c r="E86" i="23" s="1"/>
  <c r="E85" i="23"/>
  <c r="N56" i="23"/>
  <c r="N63" i="23" s="1"/>
  <c r="N65" i="23" s="1"/>
  <c r="N76" i="23"/>
  <c r="F69" i="23"/>
  <c r="F75" i="23"/>
  <c r="F80" i="23" s="1"/>
  <c r="P71" i="23"/>
  <c r="P48" i="23"/>
  <c r="Q54" i="23"/>
  <c r="P43" i="23"/>
  <c r="P58" i="23" s="1"/>
  <c r="G74" i="23"/>
  <c r="G67" i="23"/>
  <c r="J49" i="23"/>
  <c r="I51" i="23"/>
  <c r="U53" i="23"/>
  <c r="U70" i="23"/>
  <c r="U82" i="23" s="1"/>
  <c r="U92" i="23" s="1"/>
  <c r="O60" i="23"/>
  <c r="P45" i="23"/>
  <c r="O61" i="23"/>
  <c r="O76" i="23" s="1"/>
  <c r="H79" i="23"/>
  <c r="H52" i="23"/>
  <c r="H66" i="23" s="1"/>
  <c r="T70" i="23"/>
  <c r="T82" i="23" s="1"/>
  <c r="T92" i="23" s="1"/>
  <c r="F83" i="23" l="1"/>
  <c r="F81" i="23"/>
  <c r="F86" i="23" s="1"/>
  <c r="J51" i="23"/>
  <c r="F85" i="23"/>
  <c r="P76" i="23"/>
  <c r="I79" i="23"/>
  <c r="I52" i="23"/>
  <c r="I66" i="23" s="1"/>
  <c r="G69" i="23"/>
  <c r="G68" i="23"/>
  <c r="G75" i="23" s="1"/>
  <c r="G80" i="23" s="1"/>
  <c r="E84" i="23"/>
  <c r="E87" i="23" s="1"/>
  <c r="F84" i="23"/>
  <c r="F87" i="23" s="1"/>
  <c r="H74" i="23"/>
  <c r="H67" i="23"/>
  <c r="O56" i="23"/>
  <c r="O63" i="23" s="1"/>
  <c r="O65" i="23" s="1"/>
  <c r="T64" i="23"/>
  <c r="S73" i="23"/>
  <c r="P61" i="23"/>
  <c r="P60" i="23"/>
  <c r="P56" i="23" s="1"/>
  <c r="P63" i="23" s="1"/>
  <c r="P65" i="23" s="1"/>
  <c r="Q45" i="23"/>
  <c r="V70" i="23"/>
  <c r="V82" i="23" s="1"/>
  <c r="V92" i="23" s="1"/>
  <c r="V53" i="23"/>
  <c r="Q71" i="23"/>
  <c r="Q48" i="23"/>
  <c r="Q43" i="23"/>
  <c r="R54" i="23"/>
  <c r="N72" i="23"/>
  <c r="P72" i="23" l="1"/>
  <c r="G83" i="23"/>
  <c r="G81" i="23"/>
  <c r="G86" i="23" s="1"/>
  <c r="G85" i="23"/>
  <c r="Q58" i="23"/>
  <c r="Q57" i="23"/>
  <c r="H68" i="23"/>
  <c r="H75" i="23" s="1"/>
  <c r="J52" i="23"/>
  <c r="J66" i="23" s="1"/>
  <c r="J79" i="23"/>
  <c r="R45" i="23"/>
  <c r="Q60" i="23"/>
  <c r="Q61" i="23"/>
  <c r="T73" i="23"/>
  <c r="U64" i="23"/>
  <c r="H80" i="23"/>
  <c r="I74" i="23"/>
  <c r="I67" i="23"/>
  <c r="K49" i="23"/>
  <c r="O72" i="23"/>
  <c r="S54" i="23"/>
  <c r="R43" i="23"/>
  <c r="R48" i="23"/>
  <c r="R71" i="23"/>
  <c r="W53" i="23"/>
  <c r="W70" i="23"/>
  <c r="W82" i="23" s="1"/>
  <c r="W92" i="23" s="1"/>
  <c r="R58" i="23" l="1"/>
  <c r="R59" i="23"/>
  <c r="H83" i="23"/>
  <c r="H84" i="23" s="1"/>
  <c r="H87" i="23" s="1"/>
  <c r="H81" i="23"/>
  <c r="H86" i="23" s="1"/>
  <c r="H85" i="23"/>
  <c r="X53" i="23"/>
  <c r="S71" i="23"/>
  <c r="S48" i="23"/>
  <c r="S43" i="23"/>
  <c r="S58" i="23" s="1"/>
  <c r="T54" i="23"/>
  <c r="K51" i="23"/>
  <c r="L49" i="23"/>
  <c r="U73" i="23"/>
  <c r="V64" i="23"/>
  <c r="S45" i="23"/>
  <c r="R61" i="23"/>
  <c r="R60" i="23"/>
  <c r="H69" i="23"/>
  <c r="I68" i="23"/>
  <c r="I75" i="23" s="1"/>
  <c r="I69" i="23"/>
  <c r="Q56" i="23"/>
  <c r="Q63" i="23" s="1"/>
  <c r="Q65" i="23" s="1"/>
  <c r="Q76" i="23"/>
  <c r="R76" i="23" s="1"/>
  <c r="G84" i="23"/>
  <c r="G87" i="23" s="1"/>
  <c r="I80" i="23"/>
  <c r="J74" i="23"/>
  <c r="J67" i="23"/>
  <c r="I83" i="23" l="1"/>
  <c r="I84" i="23" s="1"/>
  <c r="I87" i="23" s="1"/>
  <c r="I85" i="23"/>
  <c r="I81" i="23"/>
  <c r="I86" i="23" s="1"/>
  <c r="S61" i="23"/>
  <c r="S76" i="23" s="1"/>
  <c r="S60" i="23"/>
  <c r="T45" i="23"/>
  <c r="K79" i="23"/>
  <c r="K52" i="23"/>
  <c r="K66" i="23" s="1"/>
  <c r="V73" i="23"/>
  <c r="W64" i="23"/>
  <c r="T71" i="23"/>
  <c r="U54" i="23"/>
  <c r="T48" i="23"/>
  <c r="T43" i="23"/>
  <c r="Y53" i="23"/>
  <c r="Y70" i="23"/>
  <c r="Y82" i="23" s="1"/>
  <c r="Y92" i="23" s="1"/>
  <c r="J68" i="23"/>
  <c r="J75" i="23" s="1"/>
  <c r="Q72" i="23"/>
  <c r="X70" i="23"/>
  <c r="X82" i="23" s="1"/>
  <c r="X92" i="23" s="1"/>
  <c r="J80" i="23"/>
  <c r="L51" i="23"/>
  <c r="R56" i="23"/>
  <c r="R63" i="23" s="1"/>
  <c r="R65" i="23" s="1"/>
  <c r="L52" i="23" l="1"/>
  <c r="L66" i="23" s="1"/>
  <c r="L79" i="23"/>
  <c r="U48" i="23"/>
  <c r="U71" i="23"/>
  <c r="U43" i="23"/>
  <c r="V54" i="23"/>
  <c r="K74" i="23"/>
  <c r="K67" i="23"/>
  <c r="J83" i="23"/>
  <c r="J84" i="23" s="1"/>
  <c r="J87" i="23" s="1"/>
  <c r="J85" i="23"/>
  <c r="J81" i="23"/>
  <c r="J86" i="23" s="1"/>
  <c r="Z53" i="23"/>
  <c r="R72" i="23"/>
  <c r="T57" i="23"/>
  <c r="T58" i="23"/>
  <c r="X64" i="23"/>
  <c r="W73" i="23"/>
  <c r="T61" i="23"/>
  <c r="T60" i="23"/>
  <c r="U45" i="23"/>
  <c r="M49" i="23"/>
  <c r="S56" i="23"/>
  <c r="S63" i="23" s="1"/>
  <c r="S65" i="23" s="1"/>
  <c r="J69" i="23"/>
  <c r="M51" i="23" l="1"/>
  <c r="N49" i="23"/>
  <c r="U60" i="23"/>
  <c r="V45" i="23"/>
  <c r="U61" i="23"/>
  <c r="U76" i="23" s="1"/>
  <c r="X73" i="23"/>
  <c r="Y64" i="23"/>
  <c r="W54" i="23"/>
  <c r="V71" i="23"/>
  <c r="V43" i="23"/>
  <c r="V58" i="23" s="1"/>
  <c r="V48" i="23"/>
  <c r="AA53" i="23"/>
  <c r="AA70" i="23"/>
  <c r="AA82" i="23" s="1"/>
  <c r="AA92" i="23" s="1"/>
  <c r="U58" i="23"/>
  <c r="U56" i="23" s="1"/>
  <c r="U63" i="23" s="1"/>
  <c r="U65" i="23" s="1"/>
  <c r="S72" i="23"/>
  <c r="T76" i="23"/>
  <c r="T56" i="23"/>
  <c r="T63" i="23" s="1"/>
  <c r="T65" i="23" s="1"/>
  <c r="Z70" i="23"/>
  <c r="Z82" i="23" s="1"/>
  <c r="Z92" i="23" s="1"/>
  <c r="K68" i="23"/>
  <c r="K75" i="23" s="1"/>
  <c r="K80" i="23" s="1"/>
  <c r="L74" i="23"/>
  <c r="L67" i="23"/>
  <c r="K83" i="23" l="1"/>
  <c r="K84" i="23" s="1"/>
  <c r="K87" i="23" s="1"/>
  <c r="K81" i="23"/>
  <c r="K86" i="23" s="1"/>
  <c r="K85" i="23"/>
  <c r="T72" i="23"/>
  <c r="U72" i="23"/>
  <c r="V56" i="23"/>
  <c r="V63" i="23" s="1"/>
  <c r="V65" i="23" s="1"/>
  <c r="Z64" i="23"/>
  <c r="Y73" i="23"/>
  <c r="K69" i="23"/>
  <c r="L69" i="23"/>
  <c r="L68" i="23"/>
  <c r="L75" i="23" s="1"/>
  <c r="AB53" i="23"/>
  <c r="AB70" i="23"/>
  <c r="AB82" i="23" s="1"/>
  <c r="AB92" i="23" s="1"/>
  <c r="W48" i="23"/>
  <c r="W71" i="23"/>
  <c r="W43" i="23"/>
  <c r="X54" i="23"/>
  <c r="N51" i="23"/>
  <c r="L80" i="23"/>
  <c r="W45" i="23"/>
  <c r="V61" i="23"/>
  <c r="V60" i="23"/>
  <c r="M79" i="23"/>
  <c r="M52" i="23"/>
  <c r="M66" i="23" s="1"/>
  <c r="N79" i="23" l="1"/>
  <c r="N52" i="23"/>
  <c r="N66" i="23" s="1"/>
  <c r="M74" i="23"/>
  <c r="M67" i="23"/>
  <c r="X45" i="23"/>
  <c r="W61" i="23"/>
  <c r="W60" i="23"/>
  <c r="X71" i="23"/>
  <c r="Y54" i="23"/>
  <c r="X48" i="23"/>
  <c r="X43" i="23"/>
  <c r="X58" i="23" s="1"/>
  <c r="V72" i="23"/>
  <c r="L83" i="23"/>
  <c r="L84" i="23" s="1"/>
  <c r="L87" i="23" s="1"/>
  <c r="L85" i="23"/>
  <c r="L81" i="23"/>
  <c r="L86" i="23" s="1"/>
  <c r="W57" i="23"/>
  <c r="W58" i="23"/>
  <c r="AC53" i="23"/>
  <c r="V76" i="23"/>
  <c r="O49" i="23"/>
  <c r="Z73" i="23"/>
  <c r="AA64" i="23"/>
  <c r="AB64" i="23" l="1"/>
  <c r="AA73" i="23"/>
  <c r="W56" i="23"/>
  <c r="W63" i="23" s="1"/>
  <c r="W65" i="23" s="1"/>
  <c r="W76" i="23"/>
  <c r="N74" i="23"/>
  <c r="N67" i="23"/>
  <c r="AD53" i="23"/>
  <c r="Y71" i="23"/>
  <c r="Z54" i="23"/>
  <c r="Y48" i="23"/>
  <c r="Y43" i="23"/>
  <c r="Y58" i="23" s="1"/>
  <c r="X61" i="23"/>
  <c r="X76" i="23" s="1"/>
  <c r="X60" i="23"/>
  <c r="Y45" i="23"/>
  <c r="O51" i="23"/>
  <c r="P49" i="23"/>
  <c r="AC70" i="23"/>
  <c r="AC82" i="23" s="1"/>
  <c r="AC92" i="23" s="1"/>
  <c r="M68" i="23"/>
  <c r="M75" i="23" s="1"/>
  <c r="M80" i="23" s="1"/>
  <c r="M83" i="23" l="1"/>
  <c r="M84" i="23" s="1"/>
  <c r="M87" i="23" s="1"/>
  <c r="M85" i="23"/>
  <c r="M81" i="23"/>
  <c r="M86" i="23" s="1"/>
  <c r="P51" i="23"/>
  <c r="Q49" i="23"/>
  <c r="AB73" i="23"/>
  <c r="AC64" i="23"/>
  <c r="M69" i="23"/>
  <c r="O79" i="23"/>
  <c r="O52" i="23"/>
  <c r="O66" i="23" s="1"/>
  <c r="AE53" i="23"/>
  <c r="AE70" i="23"/>
  <c r="AE82" i="23" s="1"/>
  <c r="AE92" i="23" s="1"/>
  <c r="Y61" i="23"/>
  <c r="Y76" i="23" s="1"/>
  <c r="Y60" i="23"/>
  <c r="Y56" i="23" s="1"/>
  <c r="Y63" i="23" s="1"/>
  <c r="Y65" i="23" s="1"/>
  <c r="Z45" i="23"/>
  <c r="AD70" i="23"/>
  <c r="AD82" i="23" s="1"/>
  <c r="AD92" i="23" s="1"/>
  <c r="W72" i="23"/>
  <c r="X56" i="23"/>
  <c r="X63" i="23" s="1"/>
  <c r="X65" i="23" s="1"/>
  <c r="AA54" i="23"/>
  <c r="Z48" i="23"/>
  <c r="Z43" i="23"/>
  <c r="Z71" i="23"/>
  <c r="N68" i="23"/>
  <c r="N75" i="23" s="1"/>
  <c r="N80" i="23" s="1"/>
  <c r="N69" i="23"/>
  <c r="N83" i="23" l="1"/>
  <c r="N84" i="23" s="1"/>
  <c r="N87" i="23" s="1"/>
  <c r="N85" i="23"/>
  <c r="N81" i="23"/>
  <c r="N86" i="23" s="1"/>
  <c r="Y72" i="23"/>
  <c r="O74" i="23"/>
  <c r="O67" i="23"/>
  <c r="AA48" i="23"/>
  <c r="AA43" i="23"/>
  <c r="AA58" i="23" s="1"/>
  <c r="AA71" i="23"/>
  <c r="AB54" i="23"/>
  <c r="Z57" i="23"/>
  <c r="Z58" i="23"/>
  <c r="AC73" i="23"/>
  <c r="AD64" i="23"/>
  <c r="P79" i="23"/>
  <c r="P52" i="23"/>
  <c r="P66" i="23" s="1"/>
  <c r="X72" i="23"/>
  <c r="AA45" i="23"/>
  <c r="Z60" i="23"/>
  <c r="Z61" i="23"/>
  <c r="Z76" i="23" s="1"/>
  <c r="AF53" i="23"/>
  <c r="Q51" i="23"/>
  <c r="R49" i="23"/>
  <c r="AG53" i="23" l="1"/>
  <c r="AG70" i="23"/>
  <c r="AG82" i="23" s="1"/>
  <c r="AG92" i="23" s="1"/>
  <c r="AD73" i="23"/>
  <c r="AE64" i="23"/>
  <c r="AB71" i="23"/>
  <c r="AB43" i="23"/>
  <c r="AB58" i="23" s="1"/>
  <c r="AB48" i="23"/>
  <c r="AC54" i="23"/>
  <c r="O68" i="23"/>
  <c r="O75" i="23" s="1"/>
  <c r="R51" i="23"/>
  <c r="O80" i="23"/>
  <c r="Q52" i="23"/>
  <c r="Q66" i="23" s="1"/>
  <c r="Q79" i="23"/>
  <c r="P74" i="23"/>
  <c r="P67" i="23"/>
  <c r="AF70" i="23"/>
  <c r="AF82" i="23" s="1"/>
  <c r="AF92" i="23" s="1"/>
  <c r="AB45" i="23"/>
  <c r="AA60" i="23"/>
  <c r="AA61" i="23"/>
  <c r="AA76" i="23" s="1"/>
  <c r="Z56" i="23"/>
  <c r="Z63" i="23" s="1"/>
  <c r="Z65" i="23" s="1"/>
  <c r="AA56" i="23" l="1"/>
  <c r="AA63" i="23" s="1"/>
  <c r="AA65" i="23" s="1"/>
  <c r="R79" i="23"/>
  <c r="R52" i="23"/>
  <c r="R66" i="23" s="1"/>
  <c r="P68" i="23"/>
  <c r="P75" i="23" s="1"/>
  <c r="AB61" i="23"/>
  <c r="AB76" i="23" s="1"/>
  <c r="AB60" i="23"/>
  <c r="AC45" i="23"/>
  <c r="P80" i="23"/>
  <c r="O69" i="23"/>
  <c r="AH53" i="23"/>
  <c r="Z72" i="23"/>
  <c r="S49" i="23"/>
  <c r="AC71" i="23"/>
  <c r="AD54" i="23"/>
  <c r="AC43" i="23"/>
  <c r="AC48" i="23"/>
  <c r="AE73" i="23"/>
  <c r="AF64" i="23"/>
  <c r="Q74" i="23"/>
  <c r="Q67" i="23"/>
  <c r="O83" i="23"/>
  <c r="O84" i="23" s="1"/>
  <c r="O87" i="23" s="1"/>
  <c r="O81" i="23"/>
  <c r="O86" i="23" s="1"/>
  <c r="O85" i="23"/>
  <c r="R74" i="23" l="1"/>
  <c r="R67" i="23"/>
  <c r="AF73" i="23"/>
  <c r="AG64" i="23"/>
  <c r="AD71" i="23"/>
  <c r="AE54" i="23"/>
  <c r="AD48" i="23"/>
  <c r="AD43" i="23"/>
  <c r="P83" i="23"/>
  <c r="P84" i="23" s="1"/>
  <c r="P87" i="23" s="1"/>
  <c r="P81" i="23"/>
  <c r="P86" i="23" s="1"/>
  <c r="P85" i="23"/>
  <c r="AB56" i="23"/>
  <c r="AB63" i="23" s="1"/>
  <c r="AB65" i="23" s="1"/>
  <c r="AI53" i="23"/>
  <c r="Q69" i="23"/>
  <c r="Q68" i="23"/>
  <c r="Q75" i="23" s="1"/>
  <c r="S51" i="23"/>
  <c r="T49" i="23"/>
  <c r="AH70" i="23"/>
  <c r="AH82" i="23" s="1"/>
  <c r="AH92" i="23" s="1"/>
  <c r="P69" i="23"/>
  <c r="Q80" i="23"/>
  <c r="AC58" i="23"/>
  <c r="AC57" i="23"/>
  <c r="AC56" i="23" s="1"/>
  <c r="AC63" i="23" s="1"/>
  <c r="AC65" i="23" s="1"/>
  <c r="AC61" i="23"/>
  <c r="AC60" i="23"/>
  <c r="AD45" i="23"/>
  <c r="AA72" i="23"/>
  <c r="T51" i="23" l="1"/>
  <c r="AE48" i="23"/>
  <c r="AE71" i="23"/>
  <c r="AF54" i="23"/>
  <c r="AE43" i="23"/>
  <c r="AE58" i="23" s="1"/>
  <c r="R69" i="23"/>
  <c r="R68" i="23"/>
  <c r="R75" i="23" s="1"/>
  <c r="AC76" i="23"/>
  <c r="S79" i="23"/>
  <c r="S52" i="23"/>
  <c r="S66" i="23" s="1"/>
  <c r="AB72" i="23"/>
  <c r="AD58" i="23"/>
  <c r="AG73" i="23"/>
  <c r="AH64" i="23"/>
  <c r="AE45" i="23"/>
  <c r="AD61" i="23"/>
  <c r="AD60" i="23"/>
  <c r="AC72" i="23"/>
  <c r="AJ53" i="23"/>
  <c r="AJ70" i="23" s="1"/>
  <c r="AJ82" i="23" s="1"/>
  <c r="AJ92" i="23" s="1"/>
  <c r="Q83" i="23"/>
  <c r="Q84" i="23" s="1"/>
  <c r="Q87" i="23" s="1"/>
  <c r="Q85" i="23"/>
  <c r="Q81" i="23"/>
  <c r="Q86" i="23" s="1"/>
  <c r="AI70" i="23"/>
  <c r="AI82" i="23" s="1"/>
  <c r="AI92" i="23" s="1"/>
  <c r="R80" i="23"/>
  <c r="AD56" i="23" l="1"/>
  <c r="AD63" i="23" s="1"/>
  <c r="AD65" i="23" s="1"/>
  <c r="AF71" i="23"/>
  <c r="AF48" i="23"/>
  <c r="AG54" i="23"/>
  <c r="AF43" i="23"/>
  <c r="AI64" i="23"/>
  <c r="AH73" i="23"/>
  <c r="AK53" i="23"/>
  <c r="AK70" i="23" s="1"/>
  <c r="AK82" i="23" s="1"/>
  <c r="AK92" i="23" s="1"/>
  <c r="S74" i="23"/>
  <c r="S67" i="23"/>
  <c r="AD76" i="23"/>
  <c r="T79" i="23"/>
  <c r="T52" i="23"/>
  <c r="T66" i="23" s="1"/>
  <c r="R83" i="23"/>
  <c r="R84" i="23" s="1"/>
  <c r="R87" i="23" s="1"/>
  <c r="R85" i="23"/>
  <c r="R81" i="23"/>
  <c r="R86" i="23" s="1"/>
  <c r="AE60" i="23"/>
  <c r="AE61" i="23"/>
  <c r="AF45" i="23"/>
  <c r="U49" i="23"/>
  <c r="AE76" i="23" l="1"/>
  <c r="S68" i="23"/>
  <c r="S75" i="23" s="1"/>
  <c r="S80" i="23" s="1"/>
  <c r="AF58" i="23"/>
  <c r="AF57" i="23"/>
  <c r="U51" i="23"/>
  <c r="V49" i="23" s="1"/>
  <c r="AJ64" i="23"/>
  <c r="AI73" i="23"/>
  <c r="AF61" i="23"/>
  <c r="AF60" i="23"/>
  <c r="AG45" i="23"/>
  <c r="AL70" i="23"/>
  <c r="AL82" i="23" s="1"/>
  <c r="AL92" i="23" s="1"/>
  <c r="AL53" i="23"/>
  <c r="AE56" i="23"/>
  <c r="AE63" i="23" s="1"/>
  <c r="AE65" i="23" s="1"/>
  <c r="T74" i="23"/>
  <c r="T67" i="23"/>
  <c r="AG48" i="23"/>
  <c r="AG71" i="23"/>
  <c r="AH54" i="23"/>
  <c r="AG43" i="23"/>
  <c r="AD72" i="23"/>
  <c r="S83" i="23" l="1"/>
  <c r="S84" i="23" s="1"/>
  <c r="S87" i="23" s="1"/>
  <c r="S81" i="23"/>
  <c r="S86" i="23" s="1"/>
  <c r="S85" i="23"/>
  <c r="V51" i="23"/>
  <c r="W49" i="23"/>
  <c r="AH45" i="23"/>
  <c r="AG61" i="23"/>
  <c r="AG76" i="23" s="1"/>
  <c r="AG60" i="23"/>
  <c r="AG58" i="23"/>
  <c r="AM53" i="23"/>
  <c r="AM70" i="23"/>
  <c r="AM82" i="23" s="1"/>
  <c r="AM92" i="23" s="1"/>
  <c r="AF76" i="23"/>
  <c r="S69" i="23"/>
  <c r="AJ73" i="23"/>
  <c r="AK64" i="23"/>
  <c r="AE72" i="23"/>
  <c r="U79" i="23"/>
  <c r="U52" i="23"/>
  <c r="U66" i="23" s="1"/>
  <c r="AI54" i="23"/>
  <c r="AH43" i="23"/>
  <c r="AH58" i="23" s="1"/>
  <c r="AH71" i="23"/>
  <c r="AH48" i="23"/>
  <c r="T68" i="23"/>
  <c r="T75" i="23" s="1"/>
  <c r="T80" i="23" s="1"/>
  <c r="T69" i="23"/>
  <c r="AF56" i="23"/>
  <c r="AF63" i="23" s="1"/>
  <c r="AF65" i="23" s="1"/>
  <c r="T83" i="23" l="1"/>
  <c r="T84" i="23" s="1"/>
  <c r="T87" i="23" s="1"/>
  <c r="T85" i="23"/>
  <c r="T81" i="23"/>
  <c r="T86" i="23" s="1"/>
  <c r="AF72" i="23"/>
  <c r="AK73" i="23"/>
  <c r="AL64" i="23"/>
  <c r="V79" i="23"/>
  <c r="V52" i="23"/>
  <c r="V66" i="23" s="1"/>
  <c r="AI71" i="23"/>
  <c r="AI48" i="23"/>
  <c r="AI43" i="23"/>
  <c r="AJ54" i="23"/>
  <c r="AN53" i="23"/>
  <c r="AI45" i="23"/>
  <c r="AH61" i="23"/>
  <c r="AH76" i="23" s="1"/>
  <c r="AH60" i="23"/>
  <c r="U74" i="23"/>
  <c r="U67" i="23"/>
  <c r="AG56" i="23"/>
  <c r="AG63" i="23" s="1"/>
  <c r="AG65" i="23" s="1"/>
  <c r="W51" i="23"/>
  <c r="X49" i="23"/>
  <c r="X51" i="23" l="1"/>
  <c r="Y49" i="23"/>
  <c r="AO53" i="23"/>
  <c r="AO70" i="23" s="1"/>
  <c r="AO82" i="23" s="1"/>
  <c r="AO92" i="23" s="1"/>
  <c r="W79" i="23"/>
  <c r="W52" i="23"/>
  <c r="W66" i="23" s="1"/>
  <c r="AN70" i="23"/>
  <c r="AN82" i="23" s="1"/>
  <c r="AN92" i="23" s="1"/>
  <c r="AG72" i="23"/>
  <c r="AJ71" i="23"/>
  <c r="AJ43" i="23"/>
  <c r="AK54" i="23"/>
  <c r="AJ48" i="23"/>
  <c r="AL73" i="23"/>
  <c r="AM64" i="23"/>
  <c r="U68" i="23"/>
  <c r="U75" i="23" s="1"/>
  <c r="U80" i="23" s="1"/>
  <c r="AI61" i="23"/>
  <c r="AI60" i="23"/>
  <c r="AJ45" i="23"/>
  <c r="AI57" i="23"/>
  <c r="AI56" i="23" s="1"/>
  <c r="AI63" i="23" s="1"/>
  <c r="AI65" i="23" s="1"/>
  <c r="AI58" i="23"/>
  <c r="AH56" i="23"/>
  <c r="AH63" i="23" s="1"/>
  <c r="AH65" i="23" s="1"/>
  <c r="V74" i="23"/>
  <c r="V67" i="23"/>
  <c r="U83" i="23" l="1"/>
  <c r="U84" i="23" s="1"/>
  <c r="U87" i="23" s="1"/>
  <c r="U81" i="23"/>
  <c r="U86" i="23" s="1"/>
  <c r="U85" i="23"/>
  <c r="V68" i="23"/>
  <c r="V75" i="23" s="1"/>
  <c r="AJ61" i="23"/>
  <c r="AJ60" i="23"/>
  <c r="AK45" i="23"/>
  <c r="U69" i="23"/>
  <c r="AK48" i="23"/>
  <c r="AK71" i="23"/>
  <c r="AL54" i="23"/>
  <c r="AK43" i="23"/>
  <c r="AK58" i="23" s="1"/>
  <c r="Z49" i="23"/>
  <c r="Y51" i="23"/>
  <c r="AN64" i="23"/>
  <c r="AM73" i="23"/>
  <c r="AJ58" i="23"/>
  <c r="AJ56" i="23" s="1"/>
  <c r="AJ63" i="23" s="1"/>
  <c r="AJ65" i="23" s="1"/>
  <c r="X79" i="23"/>
  <c r="X52" i="23"/>
  <c r="X66" i="23" s="1"/>
  <c r="AI76" i="23"/>
  <c r="AI72" i="23"/>
  <c r="W74" i="23"/>
  <c r="W67" i="23"/>
  <c r="V80" i="23"/>
  <c r="AH72" i="23"/>
  <c r="AP53" i="23"/>
  <c r="AQ53" i="23" l="1"/>
  <c r="AQ70" i="23"/>
  <c r="AQ82" i="23" s="1"/>
  <c r="AQ92" i="23" s="1"/>
  <c r="V83" i="23"/>
  <c r="V84" i="23" s="1"/>
  <c r="V87" i="23" s="1"/>
  <c r="V85" i="23"/>
  <c r="V81" i="23"/>
  <c r="V86" i="23" s="1"/>
  <c r="AJ72" i="23"/>
  <c r="Z51" i="23"/>
  <c r="AJ76" i="23"/>
  <c r="X74" i="23"/>
  <c r="X67" i="23"/>
  <c r="AN73" i="23"/>
  <c r="AO64" i="23"/>
  <c r="Y52" i="23"/>
  <c r="Y66" i="23" s="1"/>
  <c r="Y79" i="23"/>
  <c r="AM54" i="23"/>
  <c r="AL71" i="23"/>
  <c r="AL43" i="23"/>
  <c r="AL48" i="23"/>
  <c r="AK60" i="23"/>
  <c r="AK56" i="23" s="1"/>
  <c r="AK63" i="23" s="1"/>
  <c r="AK65" i="23" s="1"/>
  <c r="AL45" i="23"/>
  <c r="AK61" i="23"/>
  <c r="V69" i="23"/>
  <c r="AP70" i="23"/>
  <c r="AP82" i="23" s="1"/>
  <c r="AP92" i="23" s="1"/>
  <c r="W68" i="23"/>
  <c r="W75" i="23" s="1"/>
  <c r="W80" i="23"/>
  <c r="AK72" i="23" l="1"/>
  <c r="AM48" i="23"/>
  <c r="AM43" i="23"/>
  <c r="AM71" i="23"/>
  <c r="AN54" i="23"/>
  <c r="X69" i="23"/>
  <c r="X68" i="23"/>
  <c r="X75" i="23" s="1"/>
  <c r="Z52" i="23"/>
  <c r="Z66" i="23" s="1"/>
  <c r="Z79" i="23"/>
  <c r="W83" i="23"/>
  <c r="W84" i="23" s="1"/>
  <c r="W87" i="23" s="1"/>
  <c r="W85" i="23"/>
  <c r="W81" i="23"/>
  <c r="W86" i="23" s="1"/>
  <c r="X80" i="23"/>
  <c r="AK76" i="23"/>
  <c r="AL58" i="23"/>
  <c r="AL57" i="23"/>
  <c r="Y74" i="23"/>
  <c r="Y67" i="23"/>
  <c r="AP64" i="23"/>
  <c r="AO73" i="23"/>
  <c r="W69" i="23"/>
  <c r="AM45" i="23"/>
  <c r="AL60" i="23"/>
  <c r="AL61" i="23"/>
  <c r="AA49" i="23"/>
  <c r="AR53" i="23"/>
  <c r="AM58" i="23" l="1"/>
  <c r="AS53" i="23"/>
  <c r="AS70" i="23" s="1"/>
  <c r="AS82" i="23" s="1"/>
  <c r="AS92" i="23" s="1"/>
  <c r="AT92" i="23" s="1"/>
  <c r="A93" i="23" s="1"/>
  <c r="AN45" i="23"/>
  <c r="AM61" i="23"/>
  <c r="AM60" i="23"/>
  <c r="AP73" i="23"/>
  <c r="AQ64" i="23"/>
  <c r="AA51" i="23"/>
  <c r="AB49" i="23" s="1"/>
  <c r="Y68" i="23"/>
  <c r="Y75" i="23" s="1"/>
  <c r="Y80" i="23" s="1"/>
  <c r="Y69" i="23"/>
  <c r="AL76" i="23"/>
  <c r="X83" i="23"/>
  <c r="X84" i="23" s="1"/>
  <c r="X87" i="23" s="1"/>
  <c r="X81" i="23"/>
  <c r="X86" i="23" s="1"/>
  <c r="X85" i="23"/>
  <c r="AN71" i="23"/>
  <c r="AN43" i="23"/>
  <c r="AO54" i="23"/>
  <c r="AN48" i="23"/>
  <c r="AR70" i="23"/>
  <c r="AR82" i="23" s="1"/>
  <c r="AR92" i="23" s="1"/>
  <c r="AL56" i="23"/>
  <c r="AL63" i="23" s="1"/>
  <c r="AL65" i="23" s="1"/>
  <c r="Z74" i="23"/>
  <c r="Z67" i="23"/>
  <c r="AB51" i="23" l="1"/>
  <c r="AC49" i="23"/>
  <c r="Y83" i="23"/>
  <c r="Y84" i="23" s="1"/>
  <c r="Y87" i="23" s="1"/>
  <c r="Y85" i="23"/>
  <c r="Y81" i="23"/>
  <c r="Y86" i="23" s="1"/>
  <c r="Z68" i="23"/>
  <c r="Z75" i="23" s="1"/>
  <c r="Z80" i="23"/>
  <c r="AO71" i="23"/>
  <c r="AP54" i="23"/>
  <c r="AO43" i="23"/>
  <c r="AO48" i="23"/>
  <c r="AR64" i="23"/>
  <c r="AQ73" i="23"/>
  <c r="AN61" i="23"/>
  <c r="AN60" i="23"/>
  <c r="AO45" i="23"/>
  <c r="AL72" i="23"/>
  <c r="AN58" i="23"/>
  <c r="AN56" i="23" s="1"/>
  <c r="AN63" i="23" s="1"/>
  <c r="AN65" i="23" s="1"/>
  <c r="AA79" i="23"/>
  <c r="AA52" i="23"/>
  <c r="AA66" i="23" s="1"/>
  <c r="AM76" i="23"/>
  <c r="AM56" i="23"/>
  <c r="AM63" i="23" s="1"/>
  <c r="AM65" i="23" s="1"/>
  <c r="AM72" i="23" l="1"/>
  <c r="AN72" i="23"/>
  <c r="Z83" i="23"/>
  <c r="Z84" i="23" s="1"/>
  <c r="Z87" i="23" s="1"/>
  <c r="Z81" i="23"/>
  <c r="Z86" i="23" s="1"/>
  <c r="Z85" i="23"/>
  <c r="AN76" i="23"/>
  <c r="AO58" i="23"/>
  <c r="AO57" i="23"/>
  <c r="AO56" i="23" s="1"/>
  <c r="AO63" i="23" s="1"/>
  <c r="AO65" i="23" s="1"/>
  <c r="AA74" i="23"/>
  <c r="AA67" i="23"/>
  <c r="AQ54" i="23"/>
  <c r="AP48" i="23"/>
  <c r="AP71" i="23"/>
  <c r="AP43" i="23"/>
  <c r="Z69" i="23"/>
  <c r="AC51" i="23"/>
  <c r="AD49" i="23" s="1"/>
  <c r="AO61" i="23"/>
  <c r="AO60" i="23"/>
  <c r="AP45" i="23"/>
  <c r="AR73" i="23"/>
  <c r="AS64" i="23"/>
  <c r="AB52" i="23"/>
  <c r="AB66" i="23" s="1"/>
  <c r="AB79" i="23"/>
  <c r="AD51" i="23" l="1"/>
  <c r="AB74" i="23"/>
  <c r="AB67" i="23"/>
  <c r="AQ48" i="23"/>
  <c r="AQ71" i="23"/>
  <c r="AR54" i="23"/>
  <c r="AQ43" i="23"/>
  <c r="AS73" i="23"/>
  <c r="AT64" i="23"/>
  <c r="AO76" i="23"/>
  <c r="AP58" i="23"/>
  <c r="AA68" i="23"/>
  <c r="AA75" i="23" s="1"/>
  <c r="AA80" i="23" s="1"/>
  <c r="AQ45" i="23"/>
  <c r="AP60" i="23"/>
  <c r="AP61" i="23"/>
  <c r="AP76" i="23" s="1"/>
  <c r="AC79" i="23"/>
  <c r="AC52" i="23"/>
  <c r="AC66" i="23" s="1"/>
  <c r="AO72" i="23"/>
  <c r="AA83" i="23" l="1"/>
  <c r="AA84" i="23" s="1"/>
  <c r="AA87" i="23" s="1"/>
  <c r="AA81" i="23"/>
  <c r="AA86" i="23" s="1"/>
  <c r="AA85" i="23"/>
  <c r="AC74" i="23"/>
  <c r="AC67" i="23"/>
  <c r="AR45" i="23"/>
  <c r="AQ61" i="23"/>
  <c r="AQ60" i="23"/>
  <c r="AA69" i="23"/>
  <c r="AD79" i="23"/>
  <c r="AD52" i="23"/>
  <c r="AD66" i="23" s="1"/>
  <c r="AR71" i="23"/>
  <c r="AR43" i="23"/>
  <c r="AR48" i="23"/>
  <c r="AS54" i="23"/>
  <c r="AP56" i="23"/>
  <c r="AP63" i="23" s="1"/>
  <c r="AP65" i="23" s="1"/>
  <c r="AQ58" i="23"/>
  <c r="AQ56" i="23" s="1"/>
  <c r="AQ63" i="23" s="1"/>
  <c r="AQ65" i="23" s="1"/>
  <c r="AB68" i="23"/>
  <c r="AB75" i="23" s="1"/>
  <c r="AB80" i="23" s="1"/>
  <c r="AE49" i="23"/>
  <c r="AB83" i="23" l="1"/>
  <c r="AB84" i="23" s="1"/>
  <c r="AB87" i="23" s="1"/>
  <c r="AB81" i="23"/>
  <c r="AB86" i="23" s="1"/>
  <c r="AB85" i="23"/>
  <c r="AQ72" i="23"/>
  <c r="AD74" i="23"/>
  <c r="AD67" i="23"/>
  <c r="AQ76" i="23"/>
  <c r="AP72" i="23"/>
  <c r="AC69" i="23"/>
  <c r="AC68" i="23"/>
  <c r="AC75" i="23" s="1"/>
  <c r="AC80" i="23" s="1"/>
  <c r="AB69" i="23"/>
  <c r="AS71" i="23"/>
  <c r="AS43" i="23"/>
  <c r="AS58" i="23" s="1"/>
  <c r="AS48" i="23"/>
  <c r="AE51" i="23"/>
  <c r="AF49" i="23"/>
  <c r="AR58" i="23"/>
  <c r="AR57" i="23"/>
  <c r="AR61" i="23"/>
  <c r="AR60" i="23"/>
  <c r="AS45" i="23"/>
  <c r="AC83" i="23" l="1"/>
  <c r="AC84" i="23" s="1"/>
  <c r="AC87" i="23" s="1"/>
  <c r="AC85" i="23"/>
  <c r="AC81" i="23"/>
  <c r="AC86" i="23" s="1"/>
  <c r="AF51" i="23"/>
  <c r="AS56" i="23"/>
  <c r="AS63" i="23" s="1"/>
  <c r="AS65" i="23" s="1"/>
  <c r="AD68" i="23"/>
  <c r="AD75" i="23" s="1"/>
  <c r="AR76" i="23"/>
  <c r="AD80" i="23"/>
  <c r="AS61" i="23"/>
  <c r="AS60" i="23"/>
  <c r="AE79" i="23"/>
  <c r="AE52" i="23"/>
  <c r="AE66" i="23" s="1"/>
  <c r="AR56" i="23"/>
  <c r="AR63" i="23" s="1"/>
  <c r="AR65" i="23" s="1"/>
  <c r="AF52" i="23" l="1"/>
  <c r="AF66" i="23" s="1"/>
  <c r="AF79" i="23"/>
  <c r="AR72" i="23"/>
  <c r="AS76" i="23"/>
  <c r="AD69" i="23"/>
  <c r="AG49" i="23"/>
  <c r="AE74" i="23"/>
  <c r="AE67" i="23"/>
  <c r="AD83" i="23"/>
  <c r="AD84" i="23" s="1"/>
  <c r="AD87" i="23" s="1"/>
  <c r="AD85" i="23"/>
  <c r="AD81" i="23"/>
  <c r="AD86" i="23" s="1"/>
  <c r="AS72" i="23"/>
  <c r="AG51" i="23" l="1"/>
  <c r="AH49" i="23"/>
  <c r="AE68" i="23"/>
  <c r="AE75" i="23" s="1"/>
  <c r="AE80" i="23" s="1"/>
  <c r="AF74" i="23"/>
  <c r="AF67" i="23"/>
  <c r="AE83" i="23" l="1"/>
  <c r="AE84" i="23" s="1"/>
  <c r="AE87" i="23" s="1"/>
  <c r="AE85" i="23"/>
  <c r="AE81" i="23"/>
  <c r="AE86" i="23" s="1"/>
  <c r="AH51" i="23"/>
  <c r="AI49" i="23"/>
  <c r="AE69" i="23"/>
  <c r="AG52" i="23"/>
  <c r="AG66" i="23" s="1"/>
  <c r="AG79" i="23"/>
  <c r="AF68" i="23"/>
  <c r="AF75" i="23" s="1"/>
  <c r="AF80" i="23" s="1"/>
  <c r="AF83" i="23" l="1"/>
  <c r="AF84" i="23" s="1"/>
  <c r="AF87" i="23" s="1"/>
  <c r="AF81" i="23"/>
  <c r="AF86" i="23" s="1"/>
  <c r="AF85" i="23"/>
  <c r="AG74" i="23"/>
  <c r="AG67" i="23"/>
  <c r="AF69" i="23"/>
  <c r="AI51" i="23"/>
  <c r="AJ49" i="23"/>
  <c r="AH79" i="23"/>
  <c r="AH52" i="23"/>
  <c r="AH66" i="23" s="1"/>
  <c r="AJ51" i="23" l="1"/>
  <c r="AG80" i="23"/>
  <c r="AI79" i="23"/>
  <c r="AI52" i="23"/>
  <c r="AI66" i="23" s="1"/>
  <c r="AH74" i="23"/>
  <c r="AH67" i="23"/>
  <c r="AG68" i="23"/>
  <c r="AG75" i="23" s="1"/>
  <c r="AG83" i="23" l="1"/>
  <c r="AG84" i="23" s="1"/>
  <c r="AG87" i="23" s="1"/>
  <c r="AG81" i="23"/>
  <c r="AG86" i="23" s="1"/>
  <c r="AG85" i="23"/>
  <c r="AJ79" i="23"/>
  <c r="AJ52" i="23"/>
  <c r="AJ66" i="23" s="1"/>
  <c r="AI74" i="23"/>
  <c r="AI67" i="23"/>
  <c r="AK49" i="23"/>
  <c r="AG69" i="23"/>
  <c r="AH68" i="23"/>
  <c r="AH75" i="23" s="1"/>
  <c r="AH80" i="23" s="1"/>
  <c r="AH83" i="23" l="1"/>
  <c r="AH84" i="23" s="1"/>
  <c r="AH87" i="23" s="1"/>
  <c r="AH85" i="23"/>
  <c r="AH81" i="23"/>
  <c r="AH86" i="23" s="1"/>
  <c r="AJ74" i="23"/>
  <c r="AJ67" i="23"/>
  <c r="AI68" i="23"/>
  <c r="AI75" i="23" s="1"/>
  <c r="AI80" i="23" s="1"/>
  <c r="AH69" i="23"/>
  <c r="AK51" i="23"/>
  <c r="AL49" i="23"/>
  <c r="AI83" i="23" l="1"/>
  <c r="AI84" i="23" s="1"/>
  <c r="AI87" i="23" s="1"/>
  <c r="AI81" i="23"/>
  <c r="AI86" i="23" s="1"/>
  <c r="AI85" i="23"/>
  <c r="AJ80" i="23"/>
  <c r="AL51" i="23"/>
  <c r="AM49" i="23" s="1"/>
  <c r="AK79" i="23"/>
  <c r="AK52" i="23"/>
  <c r="AK66" i="23" s="1"/>
  <c r="AI69" i="23"/>
  <c r="AJ68" i="23"/>
  <c r="AJ75" i="23" s="1"/>
  <c r="AJ69" i="23"/>
  <c r="AM51" i="23" l="1"/>
  <c r="AN49" i="23" s="1"/>
  <c r="AK74" i="23"/>
  <c r="AK67" i="23"/>
  <c r="AJ83" i="23"/>
  <c r="AJ84" i="23" s="1"/>
  <c r="AJ87" i="23" s="1"/>
  <c r="AJ85" i="23"/>
  <c r="AJ81" i="23"/>
  <c r="AJ86" i="23" s="1"/>
  <c r="AL52" i="23"/>
  <c r="AL66" i="23" s="1"/>
  <c r="AL79" i="23"/>
  <c r="AN51" i="23" l="1"/>
  <c r="AO49" i="23"/>
  <c r="AL74" i="23"/>
  <c r="AL67" i="23"/>
  <c r="AK68" i="23"/>
  <c r="AK75" i="23" s="1"/>
  <c r="AK80" i="23"/>
  <c r="AM79" i="23"/>
  <c r="AM52" i="23"/>
  <c r="AM66" i="23" s="1"/>
  <c r="AK83" i="23" l="1"/>
  <c r="AK84" i="23" s="1"/>
  <c r="AK87" i="23" s="1"/>
  <c r="AK85" i="23"/>
  <c r="AK81" i="23"/>
  <c r="AK86" i="23" s="1"/>
  <c r="AO51" i="23"/>
  <c r="AP49" i="23" s="1"/>
  <c r="AM74" i="23"/>
  <c r="AM67" i="23"/>
  <c r="AK69" i="23"/>
  <c r="AN79" i="23"/>
  <c r="AN52" i="23"/>
  <c r="AN66" i="23" s="1"/>
  <c r="AL68" i="23"/>
  <c r="AL75" i="23" s="1"/>
  <c r="AL80" i="23" s="1"/>
  <c r="AL83" i="23" l="1"/>
  <c r="AL84" i="23" s="1"/>
  <c r="AL87" i="23" s="1"/>
  <c r="AL85" i="23"/>
  <c r="AL81" i="23"/>
  <c r="AL86" i="23" s="1"/>
  <c r="AQ49" i="23"/>
  <c r="AP51" i="23"/>
  <c r="AL69" i="23"/>
  <c r="AM69" i="23"/>
  <c r="AM68" i="23"/>
  <c r="AM75" i="23" s="1"/>
  <c r="AN74" i="23"/>
  <c r="AN67" i="23"/>
  <c r="AM80" i="23"/>
  <c r="AO79" i="23"/>
  <c r="AO52" i="23"/>
  <c r="AO66" i="23" s="1"/>
  <c r="AM83" i="23" l="1"/>
  <c r="AM84" i="23" s="1"/>
  <c r="AM87" i="23" s="1"/>
  <c r="AM81" i="23"/>
  <c r="AM86" i="23" s="1"/>
  <c r="AM85" i="23"/>
  <c r="AN69" i="23"/>
  <c r="AN68" i="23"/>
  <c r="AN75" i="23" s="1"/>
  <c r="AQ51" i="23"/>
  <c r="AR49" i="23"/>
  <c r="AO74" i="23"/>
  <c r="AO67" i="23"/>
  <c r="AN80" i="23"/>
  <c r="AP79" i="23"/>
  <c r="AP52" i="23"/>
  <c r="AP66" i="23" s="1"/>
  <c r="AR51" i="23" l="1"/>
  <c r="AS49" i="23" s="1"/>
  <c r="AS51" i="23" s="1"/>
  <c r="AP74" i="23"/>
  <c r="AP67" i="23"/>
  <c r="AN83" i="23"/>
  <c r="AN84" i="23" s="1"/>
  <c r="AN87" i="23" s="1"/>
  <c r="AN81" i="23"/>
  <c r="AN86" i="23" s="1"/>
  <c r="AN85" i="23"/>
  <c r="AQ79" i="23"/>
  <c r="AQ52" i="23"/>
  <c r="AQ66" i="23" s="1"/>
  <c r="AO68" i="23"/>
  <c r="AO75" i="23" s="1"/>
  <c r="AO80" i="23" s="1"/>
  <c r="AO69" i="23"/>
  <c r="AO83" i="23" l="1"/>
  <c r="AO84" i="23" s="1"/>
  <c r="AO87" i="23" s="1"/>
  <c r="AO81" i="23"/>
  <c r="AO86" i="23" s="1"/>
  <c r="AO85" i="23"/>
  <c r="AS79" i="23"/>
  <c r="AS52" i="23"/>
  <c r="AS66" i="23" s="1"/>
  <c r="AP68" i="23"/>
  <c r="AP75" i="23" s="1"/>
  <c r="AP80" i="23" s="1"/>
  <c r="AQ74" i="23"/>
  <c r="AQ67" i="23"/>
  <c r="AR79" i="23"/>
  <c r="AR52" i="23"/>
  <c r="AR66" i="23" s="1"/>
  <c r="AP83" i="23" l="1"/>
  <c r="AP84" i="23" s="1"/>
  <c r="AP87" i="23" s="1"/>
  <c r="AP81" i="23"/>
  <c r="AP86" i="23" s="1"/>
  <c r="AP85" i="23"/>
  <c r="AQ69" i="23"/>
  <c r="AQ68" i="23"/>
  <c r="AQ75" i="23" s="1"/>
  <c r="AP69" i="23"/>
  <c r="AQ80" i="23"/>
  <c r="AS74" i="23"/>
  <c r="AS67" i="23"/>
  <c r="AR74" i="23"/>
  <c r="AR67" i="23"/>
  <c r="AR68" i="23" l="1"/>
  <c r="AR75" i="23" s="1"/>
  <c r="AQ83" i="23"/>
  <c r="AQ84" i="23" s="1"/>
  <c r="AQ87" i="23" s="1"/>
  <c r="AQ81" i="23"/>
  <c r="AQ86" i="23" s="1"/>
  <c r="AQ85" i="23"/>
  <c r="AR80" i="23"/>
  <c r="AS68" i="23"/>
  <c r="AS75" i="23" s="1"/>
  <c r="AS80" i="23" s="1"/>
  <c r="AS83" i="23" l="1"/>
  <c r="AS85" i="23"/>
  <c r="AS81" i="23"/>
  <c r="AS69" i="23"/>
  <c r="AR83" i="23"/>
  <c r="AR84" i="23" s="1"/>
  <c r="AR87" i="23" s="1"/>
  <c r="AR85" i="23"/>
  <c r="AR81" i="23"/>
  <c r="AR86" i="23" s="1"/>
  <c r="AR69" i="23"/>
  <c r="AS86" i="23" l="1"/>
  <c r="G24" i="23" s="1"/>
  <c r="AS84" i="23"/>
  <c r="AS87" i="23" l="1"/>
  <c r="G25" i="23" s="1"/>
  <c r="G26" i="23"/>
  <c r="G27" i="23" l="1"/>
  <c r="B95" i="23"/>
  <c r="H34" i="15" l="1"/>
</calcChain>
</file>

<file path=xl/sharedStrings.xml><?xml version="1.0" encoding="utf-8"?>
<sst xmlns="http://schemas.openxmlformats.org/spreadsheetml/2006/main" count="1052" uniqueCount="623">
  <si>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</si>
  <si>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</si>
  <si>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</si>
  <si>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</si>
  <si>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</si>
  <si>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</si>
  <si>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</si>
  <si>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</si>
  <si>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</si>
  <si>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</si>
  <si>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</si>
  <si>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</si>
  <si>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</si>
  <si>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</si>
  <si>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</si>
  <si>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</si>
  <si>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</si>
  <si>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</si>
  <si>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</si>
  <si>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</si>
  <si>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</si>
  <si>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</si>
  <si>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</si>
  <si>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</si>
  <si>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</si>
  <si>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</si>
  <si>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</si>
  <si>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</si>
  <si>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</si>
  <si>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</si>
  <si>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</si>
  <si>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</si>
  <si>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</si>
  <si>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</si>
  <si>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</si>
  <si>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</si>
  <si>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</si>
  <si>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</si>
  <si>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</si>
  <si>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</si>
  <si>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</si>
  <si>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</si>
  <si>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</si>
  <si>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</si>
  <si>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</si>
  <si>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</si>
  <si>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</si>
  <si>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</si>
  <si>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</si>
  <si>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</si>
  <si>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</si>
  <si>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</si>
  <si>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</si>
  <si>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</si>
  <si>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</si>
  <si>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</si>
  <si>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</si>
  <si>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</si>
  <si>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</si>
  <si>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</si>
  <si>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</si>
  <si>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</si>
  <si>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</si>
  <si>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</si>
  <si>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</si>
  <si>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</si>
  <si>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</si>
  <si>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</si>
  <si>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</si>
  <si>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</si>
  <si>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</si>
  <si>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</si>
  <si>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</si>
  <si>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</si>
  <si>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</si>
  <si>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</si>
  <si>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</si>
  <si>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</si>
  <si>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</si>
  <si>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</si>
  <si>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</si>
  <si>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</si>
  <si>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</si>
  <si>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</si>
  <si>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</si>
  <si>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</si>
  <si>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</si>
  <si>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</si>
  <si>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</si>
  <si>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</si>
  <si>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</si>
  <si>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</si>
  <si>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</si>
  <si>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</si>
  <si>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</si>
  <si>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</si>
  <si>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</si>
  <si>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</si>
  <si>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</si>
  <si>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</si>
  <si>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</si>
  <si>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</si>
  <si>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</si>
  <si>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</si>
  <si>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</si>
  <si>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</si>
  <si>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</si>
  <si>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</si>
  <si>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</si>
  <si>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</si>
  <si>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</si>
  <si>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</si>
  <si>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</si>
  <si>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</si>
  <si>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</si>
  <si>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</si>
  <si>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</si>
  <si>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</si>
  <si>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</si>
  <si>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</si>
  <si>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</si>
  <si>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</si>
  <si>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</si>
  <si>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</si>
  <si>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</si>
  <si>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</si>
  <si>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</si>
  <si>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</si>
  <si>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</si>
  <si>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</si>
  <si>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</si>
  <si>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</si>
  <si>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</si>
  <si>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</si>
  <si>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</si>
  <si>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</si>
  <si>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</si>
  <si>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</si>
  <si>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</si>
  <si>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</si>
  <si>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</si>
  <si>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</si>
  <si>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</si>
  <si>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</si>
  <si>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</si>
  <si>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</si>
  <si>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</si>
  <si>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</si>
  <si>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</si>
  <si>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</si>
  <si>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</si>
  <si>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</si>
  <si>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</si>
  <si>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</si>
  <si>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</si>
  <si>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</si>
  <si>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</si>
  <si>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</si>
  <si>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</si>
  <si>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</si>
  <si>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</si>
  <si>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</si>
  <si>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</si>
  <si>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</si>
  <si>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</si>
  <si>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</si>
  <si>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</si>
  <si>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</si>
  <si>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</si>
  <si>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</si>
  <si>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</si>
  <si>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</si>
  <si>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</si>
  <si>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</si>
  <si>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</si>
  <si>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</si>
  <si>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</si>
  <si>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</si>
  <si>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</si>
  <si>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</si>
  <si>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</si>
  <si>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</si>
  <si>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</si>
  <si>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</si>
  <si>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</si>
  <si>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</si>
  <si>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</si>
  <si>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</si>
  <si>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</si>
  <si>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</si>
  <si>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</si>
  <si>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</si>
  <si>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</si>
  <si>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</si>
  <si>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</si>
  <si>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</si>
  <si>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</si>
  <si>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</si>
  <si>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</si>
  <si>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</si>
  <si>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</si>
  <si>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</si>
  <si>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</si>
  <si>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</si>
  <si>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</si>
  <si>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</si>
  <si>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</si>
  <si>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</si>
  <si>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</si>
  <si>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</si>
  <si>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</si>
  <si>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</si>
  <si>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</si>
  <si>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</si>
  <si>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</si>
  <si>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</si>
  <si>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</si>
  <si>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</si>
  <si>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</si>
  <si>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</si>
  <si>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</si>
  <si>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</si>
  <si>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</si>
  <si>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</si>
  <si>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</si>
  <si>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</si>
  <si>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</si>
  <si>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</si>
  <si>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</si>
  <si>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</si>
  <si>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</si>
  <si>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</si>
  <si>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</si>
  <si>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</si>
  <si>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</si>
  <si>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</si>
  <si>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</si>
  <si>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</si>
  <si>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</si>
  <si>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</si>
  <si>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</si>
  <si>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</si>
  <si>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</si>
  <si>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</si>
  <si>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</si>
  <si>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</si>
  <si>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</si>
  <si>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</si>
  <si>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</si>
  <si>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</si>
  <si>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</si>
  <si>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</si>
  <si>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</si>
  <si>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</si>
  <si>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</si>
  <si>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</si>
  <si>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</si>
  <si>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</si>
  <si>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</si>
  <si>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</si>
  <si>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</si>
  <si>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</si>
  <si>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</si>
  <si>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</si>
  <si>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</si>
  <si>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</si>
  <si>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</si>
  <si>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</si>
  <si>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</si>
  <si>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</si>
  <si>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</si>
  <si>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</si>
  <si>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</si>
  <si>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</si>
  <si>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</si>
  <si>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</si>
  <si>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</si>
  <si>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</si>
  <si>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</si>
  <si>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</si>
  <si>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</si>
  <si>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</si>
  <si>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</si>
  <si>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</si>
  <si>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</si>
  <si>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</si>
  <si>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</si>
  <si>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</si>
  <si>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</si>
  <si>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</si>
  <si>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</si>
  <si>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</si>
  <si>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</si>
  <si>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</si>
  <si>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</si>
  <si>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</si>
  <si>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</si>
  <si>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</si>
  <si>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</si>
  <si>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</si>
  <si>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</si>
  <si>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</si>
  <si>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</si>
  <si>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</si>
  <si>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</si>
  <si>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</si>
  <si>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</si>
  <si>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</si>
  <si>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</si>
  <si>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</si>
  <si>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</si>
  <si>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</si>
  <si>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</si>
  <si>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</si>
  <si>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</si>
  <si>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</si>
  <si>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</si>
  <si>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</si>
  <si>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</si>
  <si>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</si>
  <si>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</si>
  <si>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</si>
  <si>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</si>
  <si>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</si>
  <si>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</si>
  <si>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</si>
  <si>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</si>
  <si>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</si>
  <si>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</si>
  <si>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</si>
  <si>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</si>
  <si>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</si>
  <si>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</si>
  <si>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</si>
  <si>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</si>
  <si>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</si>
  <si>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</si>
  <si>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</si>
  <si>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</si>
  <si>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</si>
  <si>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</si>
  <si>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</si>
  <si>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</si>
  <si>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</si>
  <si>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</si>
  <si>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</si>
  <si>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</si>
  <si>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</si>
  <si>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</si>
  <si>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</si>
  <si>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</si>
  <si>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</si>
  <si>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</si>
  <si>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</si>
  <si>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</si>
  <si>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</si>
  <si>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</si>
  <si>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</si>
  <si>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</si>
  <si>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</si>
  <si>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</si>
  <si>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</si>
  <si>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</si>
  <si>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</si>
  <si>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</si>
  <si>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</si>
  <si>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</si>
  <si>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</si>
  <si>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</si>
  <si>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</si>
  <si>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</si>
  <si>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</si>
  <si>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</si>
  <si>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</si>
  <si>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</si>
  <si>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</si>
  <si>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</si>
  <si>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</si>
  <si>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</si>
  <si>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</si>
  <si>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</si>
  <si>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</si>
  <si>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</si>
  <si>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</si>
  <si>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</si>
  <si>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</si>
  <si>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</si>
  <si>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</si>
  <si>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</si>
  <si>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</si>
  <si>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</si>
  <si>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</si>
  <si>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</si>
  <si>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</si>
  <si>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</si>
  <si>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</si>
  <si>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</si>
  <si>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</si>
  <si>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</si>
  <si>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</si>
  <si>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</si>
  <si>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</si>
  <si>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</si>
  <si>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</si>
  <si>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</si>
  <si>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</si>
  <si>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</si>
  <si>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</si>
  <si>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</si>
  <si>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</si>
  <si>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</si>
  <si>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</si>
  <si>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</si>
  <si>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</si>
  <si>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</si>
  <si>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</si>
  <si>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</si>
  <si>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</si>
  <si>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</si>
  <si>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</si>
  <si>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</si>
  <si>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</si>
  <si>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</si>
  <si>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</si>
  <si>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</si>
  <si>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</si>
  <si>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</si>
  <si>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</si>
  <si>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</si>
  <si>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</si>
  <si>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</si>
  <si>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</si>
  <si>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</si>
  <si>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</si>
  <si>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</si>
  <si>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</si>
  <si>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</si>
  <si>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</si>
  <si>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</si>
  <si>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</si>
  <si>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</si>
  <si>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</si>
  <si>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</si>
  <si>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</si>
  <si>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</si>
  <si>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</si>
  <si>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</si>
  <si>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</si>
  <si>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</si>
  <si>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</si>
  <si>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</si>
  <si>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</si>
  <si>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t>
  </si>
  <si>
    <t>Получение заявки на ТП</t>
  </si>
  <si>
    <t>Разработка и выдача ТУ на ТП</t>
  </si>
  <si>
    <t>Заключение договора на разработку проетной документации</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</si>
  <si>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</si>
  <si>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</si>
  <si>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</si>
  <si>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</si>
  <si>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</si>
  <si>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</si>
  <si>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</si>
  <si>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Ввод в эксплуатацию объекта сетевого строительства</t>
  </si>
  <si>
    <t/>
  </si>
  <si>
    <t>01.03.2014</t>
  </si>
  <si>
    <t>31.03.2014</t>
  </si>
  <si>
    <t>01.12.2014</t>
  </si>
  <si>
    <t>31.03.2015</t>
  </si>
  <si>
    <t>01.03.2015</t>
  </si>
  <si>
    <t>01.06.2015</t>
  </si>
  <si>
    <t>31.07.2015</t>
  </si>
  <si>
    <t>01.07.2015</t>
  </si>
  <si>
    <t>01.01.2016</t>
  </si>
  <si>
    <t>30.02.2017</t>
  </si>
  <si>
    <t>1.6</t>
  </si>
  <si>
    <t>Факт 2015 года</t>
  </si>
  <si>
    <t>2016 год</t>
  </si>
  <si>
    <t>2017 год</t>
  </si>
  <si>
    <t>2018 год</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</si>
  <si>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</si>
  <si>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</si>
  <si>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</si>
  <si>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</si>
  <si>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</si>
  <si>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 </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</si>
  <si>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</si>
  <si>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</si>
  <si>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</si>
  <si>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</si>
  <si>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</si>
  <si>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</si>
  <si>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</si>
  <si>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</si>
  <si>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</si>
  <si>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</si>
  <si>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</si>
  <si>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</si>
  <si>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</si>
  <si>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</si>
  <si>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</si>
  <si>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</si>
  <si>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</si>
  <si>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М.П.</t>
  </si>
  <si>
    <t>Полная дисконтированная стоимость строительства с НДС</t>
  </si>
  <si>
    <t xml:space="preserve">индекс доходности </t>
  </si>
  <si>
    <t>г.Калининград</t>
  </si>
  <si>
    <t>не требуется</t>
  </si>
  <si>
    <t>да</t>
  </si>
  <si>
    <t>372,93 млн.руб.</t>
  </si>
  <si>
    <t>451,44 млн.руб.</t>
  </si>
  <si>
    <t>строительство</t>
  </si>
  <si>
    <t xml:space="preserve">•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Официальными документами основания для включения ИП в ИПР являются:
• Государственная программа «подготовки к проведению в 2018 году в Российской Федерации чемпионата мира по футболу»;
• Схема и программа перспективного развития электроэнергетики Калининградской области на период 2014-2019 гг.
</t>
  </si>
  <si>
    <t xml:space="preserve">Для оперативно-диспетчерского управления ПС 110 кВ Береговая предусмотрено построение 2-х каналов связи: основного протяженностью 12,1 км и резервного протяженностью 8,9 км, на базе волоконно-оптических линий связи (ВОЛС).
Технические мероприятия на ПС 330 кВ Северная 330, ПС 330 кВ О-1 Центральная, ПС 110 кВ О-30 Московская.
Реконструкция ВЛ 110 кВ протяженностью 3,542 км ПС О-12 Южная – ПС О-30 Московская с применением многогранных опор и прокладкой провода АС 240 по существующей трассе с сохранением существующих мест установки опор.
Реконструкция ОРУ 110 кВ на ПС 110 кВ ПС О-12 Южная. 
</t>
  </si>
  <si>
    <t>2016</t>
  </si>
  <si>
    <t>реконструкция</t>
  </si>
  <si>
    <t>Сметная стоимость проекта в ценах  4 кв. 2014 года с НДС, млн. руб.</t>
  </si>
  <si>
    <t>программа Подготовки к проведению в 2018 году в Российской Федерации чемпионата мира по футболу, утвержденная Постановлением Правительства Российской Федерации</t>
  </si>
  <si>
    <t>№ 518 от 20.06.2013</t>
  </si>
  <si>
    <t>ВЛ 110 кВ 115/116 (ПС Центральная - ПС Московская/ ПС Центральная - ПС Северная)</t>
  </si>
  <si>
    <t>ВЛ 110 кВ 116/166 (ПС Центральная - ПС Северная/ ПС Московская - ПС Северная)</t>
  </si>
  <si>
    <t>отсутствует</t>
  </si>
  <si>
    <t>объект паспорта нет относиться к ЕНЭС</t>
  </si>
  <si>
    <t>Мероприятия соответствуют схеме и программе развития Калининградкой области с 2017-2021 г.</t>
  </si>
  <si>
    <t>Отношение стоимости инвестиционного проекта, в текущих ценах, к количественным показателям (показателю) результатов реализации инвестиционного проекта, млн. рублей / на единицу результата:  Реконструкция ЛЭП 110 кВ 127.801 млн.руб./км</t>
  </si>
  <si>
    <t>Реконструкция ЛЭП 110 кВ, 3,542 км сметная стоимость в ценах IV квартала 2014 г.</t>
  </si>
  <si>
    <t>Конечным результатом реализации инвестиционного проекта является подключение стадиона мощностью 13,2 МВт к ПС "Береговая".</t>
  </si>
  <si>
    <t>Конечным результатом реализации инвестиционного проекта является подключение стадиона мощностью 13,2 МВт к ПС "Береговая"</t>
  </si>
  <si>
    <t xml:space="preserve">   Реконструкция ЛЭП 110 кВ 3,542 км</t>
  </si>
  <si>
    <t>Инвестиционные проекты, предусмотренные схемой и программой развития субъекта Российской Федерации</t>
  </si>
  <si>
    <t>заключение ГЭ № 39-1-6-0015-15 от 02.03.2015</t>
  </si>
  <si>
    <t>Калининградская обл, Калининград г, Солнечный б-р</t>
  </si>
  <si>
    <t>Заключен</t>
  </si>
  <si>
    <t xml:space="preserve"> № 502/02/16 от 29.04.2016</t>
  </si>
  <si>
    <t>502/02/16 д/с № 1 от 01.06.2016</t>
  </si>
  <si>
    <t>Шесть (6) ТП 10/0,4 кВ для строительства стадиона на 35000 зрительных мест ( в том числе временные трибуны на 10 000 зрительских мест)</t>
  </si>
  <si>
    <t xml:space="preserve">контактные соединения выключателя (В) в ячейке КЛ-10 кВ (РП-1 новый (п. 1.4) – ТП новые (п. 1.11)) "А" в РУ-10 кВ РП-1 новом (I сек.) ; контактные соединения выключателя (В) в ячейке КЛ-10 кВ (РП-1 новый (п. 1.4) – ТП новые (п. 1.11)) "Б" в РУ-10 кВ РП-1 новом (II сек.) ; контактные соединения выключателя (В) в ячейке КЛ-10 кВ (РП-2 новый (п. 1.4) – ТП новые (п. 1.11)) "А" в РУ-10 кВ РП-2 новом (I сек.) ; контактные соединения выключателя (В) в ячейке КЛ-10 кВ (РП-2 новый (п. 1.4) – ТП новые (п. 1.11)) "Б" в РУ-10 кВ РП-2 новом (II сек.) </t>
  </si>
  <si>
    <t>10 кВ</t>
  </si>
  <si>
    <t>1 кат - 3000; 2 кат - 12831</t>
  </si>
  <si>
    <t>Комплексную реконструкцию ВЛ 110 кВ О-1 Центральная –  О–30 Московская  с отпайками (Л–115) и ВЛ 110 кВ О-1 Центральная – Северная 330 с отпайками (Л–116) с заменой сечения провода со 120 кв. мм на 240 кв. мм (5,4 км) на участке от отпайки на ПС 110 кВ О-12 Южная до ПС 110 кВ О-30 Московская, реконструкцию ВЛ 110 кВ Северная – О-30 Московская с отпайками (Л-166), строительство ВОЛС (18,89 км) на ЛЭП 110 кВ от ПС 330 кВ О-1 Центральная до  ПС 330кВ Северная 330 через ПС 110 кВ Береговая и ПС 110 кВ О-30 Московская, реконструкцию РЗА управления выключателями В ВЛ 115, В ВЛ 116 на ПС 330 кВ О-1 Центральная, В ВЛ 116 на ПС 330 кВ Северная 330, СВ на ПС 110 кВ О-30 Московская, реконструкцию ОРУ 110 кВ на ПС 110 кВ О-12 Южная с приведением к типовой схеме 110-4Н. -</t>
  </si>
  <si>
    <t>Федеральное финансирование по ст. 18</t>
  </si>
  <si>
    <t xml:space="preserve">№ 3817/06/16 </t>
  </si>
  <si>
    <t>на рассмотрении у Заявителя</t>
  </si>
  <si>
    <t xml:space="preserve">Стадион Чемпионата мира ФИФА в г. Калининграде, Солнечный бульвар Инженерное благоустройство территории к стадиону" </t>
  </si>
  <si>
    <t>Калининградская обл, Калининград г, Октябрьский о, Солнечный бульвар</t>
  </si>
  <si>
    <t>2 кат - 460,32; 3 кат - 279,07</t>
  </si>
  <si>
    <t>1) НИЖНИЕ КОНТАКТНЫЕ СТОЙКИ ПН НА I-ой СЕКЦИИ РУ-0,4 кВ ТП новых (п.10.7) (количество точек присоединения определяется на стадии разработки проектной                                   2) НИЖНИЕ КОНТАКТНЫЕ СТОЙКИ ПН НА II-ой СЕКЦИИ РУ-0,4 кВ ТП новых (п.10.7) (количество точек присоединения определяется на стадии разработки проектной</t>
  </si>
  <si>
    <t>№ 3816/06/16</t>
  </si>
  <si>
    <t>Калининград г, по наб. Ген. Карбышева - бул. Солнечный</t>
  </si>
  <si>
    <t>«Стадион Чемпионата мира ФИФА в г. Калининграде». 1 этап. Строительство берегоукрепительных сооружений и Парадной набережной о. Октябрьский в г. Калининграде, от моста Высокий до границ земельного участка стадиона. Наружное освещение, сети Wi-Fi, видео наблюдение, сети ПОС и СКУД</t>
  </si>
  <si>
    <t xml:space="preserve">1) НИЖНИЕ КОНТАКТНЫЕ СТОЙКИ ПН НА I-ой СЕКЦИИ РУ-0,4 кВ ТП новой (п.10.6) (количество точек присоединения определяется на стадии разработки проектной                2) НИЖНИЕ КОНТАКТНЫЕ СТОЙКИ ПН НА II-ой СЕКЦИИ РУ-0,4 кВ ТП новой (п.10.6) (количество точек присоединения определяется на стадии разработки проектной </t>
  </si>
  <si>
    <t>2 кат - 7,8; 3 кат - 10,4</t>
  </si>
  <si>
    <t>№ 3814/06/16</t>
  </si>
  <si>
    <t>Наружное освещение уличной дорожной сети на территории острова, обеспечивающей подъезд к стадиону</t>
  </si>
  <si>
    <t>2 кат - 36,82; 3 кат - 141,23</t>
  </si>
  <si>
    <t>проверка достоверности сметной стоимости   № 40/СМ  от  25/12/2014   -   Центр проектных экспертиз  в ценах 2014 года с НДС, млн. руб.</t>
  </si>
  <si>
    <t>гос экспертиза ИИ,ПД   № 251  от  25/12/2014   -   Центр проектных экспертиз  в ценах 2014 года с НДС, млн. руб.</t>
  </si>
  <si>
    <t>инженерно-геодезич.изыскания   № 366 от 16/05/2014   -   Геоид  в ценах 2014 года с НДС, млн. руб.</t>
  </si>
  <si>
    <t>ПСД    доп.согл № 3 от 18.12.2014 к договору № 104  от  13/03/2014    -    ЭнТерра   в ценах 2014 года с НДС, млн. руб.</t>
  </si>
  <si>
    <t>ПСД+СМР+ОБ  № 556 от 23/07/2015    АО Электросетьстройпроект в ценах 2015 года с НДС, млн. руб.</t>
  </si>
  <si>
    <t>3.542 км (0 км)</t>
  </si>
  <si>
    <t>E_prj_111001_47826</t>
  </si>
  <si>
    <t>ПС 110 кВ О-12 Южная</t>
  </si>
  <si>
    <t>Выключатель 110 кВ</t>
  </si>
  <si>
    <t>Выключатель масляный ВМТ-110б-25/1250</t>
  </si>
  <si>
    <t>Выключатель элегазовый 3AP1FG-145</t>
  </si>
  <si>
    <t>В Т-1 110 кВ, В Т-2 110 кВ</t>
  </si>
  <si>
    <t>1991 г.</t>
  </si>
  <si>
    <t>2016 г.</t>
  </si>
  <si>
    <t>2015 г.</t>
  </si>
  <si>
    <t>110 кВ</t>
  </si>
  <si>
    <t>ВЛ 110 кВ  ПС О-1 Центральная - О-30 Московская (Л-115)</t>
  </si>
  <si>
    <t>От ПС 110 кВ О-12 Южная до опоры №40, от опоры № 46 до ПС  110 кВ О-30 Московская</t>
  </si>
  <si>
    <t>1963 г.</t>
  </si>
  <si>
    <t>АС-240</t>
  </si>
  <si>
    <t>АС-185, АС-120</t>
  </si>
  <si>
    <t>воздушная</t>
  </si>
  <si>
    <t>2006 г.</t>
  </si>
  <si>
    <t>анкерно угловые - металлические решетчатые; промежуточные  - металлические решетчатые и железобетонные</t>
  </si>
  <si>
    <t>анкерно-угловые и промежуточные - металлические многогранные</t>
  </si>
  <si>
    <t>ВЛ 110 кВ ПС О-1 Центральная - ПС 330 кВ Северная 330 с отпайками (Л-116)</t>
  </si>
  <si>
    <t>От ПС 110 кВ О-12 Южная до опоры №40, от опоры № 46 до опоры №54</t>
  </si>
  <si>
    <t>АС 240</t>
  </si>
  <si>
    <t>13,2 МВт</t>
  </si>
  <si>
    <t>нд</t>
  </si>
  <si>
    <r>
      <t>ПС 110 кВ Береговая (город Калининград, Солнечный бульвар, ввод –</t>
    </r>
    <r>
      <rPr>
        <sz val="14"/>
        <color theme="1"/>
        <rFont val="Times New Roman"/>
        <family val="1"/>
        <charset val="204"/>
      </rPr>
      <t xml:space="preserve">  2014-2017 годы) с установкой трансформаторов мощностью 2×25 МВА для возможности электроснабжения строящегося стадиона для проведении чемпионата мира по футболу 2018 года в городе Калининграде. Присоединение ПС к электрическим сетям 110 кВ предусмотрено заходами от существующей двухцепной линии 110 кВ № 115/116. Охранная зона ЛЭП– 50 м. Период ввода в эксплуатацию – 2014-2017 годы; </t>
    </r>
  </si>
  <si>
    <t>2000 г.</t>
  </si>
  <si>
    <t>Акт технического освидетельствования от 19.10.2012, ОАО " Янтарьэнерго", Ростехнадзор, ООО УК "Восток"</t>
  </si>
  <si>
    <t>разрешается дальнейшая эксплуатация ВЛ</t>
  </si>
  <si>
    <t>Авторский надзор по объекту: «Комплексная реконструкция ВЛ 110 кВ 115/116 (ПС Центральная-ПС Московская/ПС Центральная-ПС Северная) и  116/166  (ПС Центральная-ПС Северная/ПС Московская-ПС Северная) с увеличением сечения провода и сопутствующими техническими мероприятиями на смежных ПС с реконструкцией ОРУ 110 кВ на ПС Южная с приведением к типовой схеме».</t>
  </si>
  <si>
    <t>ПСД</t>
  </si>
  <si>
    <t>ЕИ</t>
  </si>
  <si>
    <t>"ЭССП" АО</t>
  </si>
  <si>
    <t>нет</t>
  </si>
  <si>
    <t>01.03.2016</t>
  </si>
  <si>
    <t>п.5.11.1.7</t>
  </si>
  <si>
    <t>ЦЗО</t>
  </si>
  <si>
    <t>03-1</t>
  </si>
  <si>
    <t>Строительный контроль по объекту: «Комплексная реконструкция ВЛ 110 кВ 115/116 (ПС Центральная-ПС Московская/ПС Центральная-ПС Северная) и  116/166  (ПС Центральная-ПС Северная/ПС Московская-ПС Северная) с увеличением сечения провода и сопутствующими техническими мероприятиями на смежных ПС с реконструкцией ОРУ 110 кВ на ПС Южная с приведением к типовой схеме».</t>
  </si>
  <si>
    <t>ОК</t>
  </si>
  <si>
    <t>"НИИИЦ МРСК" АО</t>
  </si>
  <si>
    <t>"БРАНД" ООО</t>
  </si>
  <si>
    <t>0635000000116000002</t>
  </si>
  <si>
    <t>zakupki.gov.ru</t>
  </si>
  <si>
    <t>11.03.2016</t>
  </si>
  <si>
    <t>01.04.2016</t>
  </si>
  <si>
    <t>07.04.2016</t>
  </si>
  <si>
    <t>27.04.2016</t>
  </si>
  <si>
    <t>01.05.2016</t>
  </si>
  <si>
    <t>22.12.2016</t>
  </si>
  <si>
    <t>ПИР, СМР с поставой оборудования: «Комплексная реконструкция ВЛ 110 кВ 115/116 (ПС Центральная-ПС Московская/ПС Центральная-ПС Северная) и  116/166  (ПС Центральная-ПС Северная/ПС Московская-ПС Северная) с увеличением сечения провода и сопутствующими техническими мероприятиями на смежных ПС с реконструкцией ОРУ 110 кВ на ПС Южная с приведением к типовой схеме».</t>
  </si>
  <si>
    <t>ГП</t>
  </si>
  <si>
    <t>УР</t>
  </si>
  <si>
    <t>ООК</t>
  </si>
  <si>
    <t>"ОПТИМА ЭНЕРГОСТРОЙ" ЗАО</t>
  </si>
  <si>
    <t>b2b-mrsk</t>
  </si>
  <si>
    <t>Услуги по проведению государственной экспертизы по обьекту: Комплексная реконструкция ВЛ 110 кВ 115/116 (ПС Центральная – ПС Московская/ПС Центральная – ПС Северная) и 116/166 (ПС Центральная – ПС Северная/ПС Московская – ПС Северная) с увеличением сечения провода и сопутствующими техническими мероприятиями на смежных ПС с реконструкцией ОРУ 110 кВ на ПС Южная с приведением к типовой схеме</t>
  </si>
  <si>
    <t>Государственной автономное учреждение Калининградской области "Центр проектных экспертиз"</t>
  </si>
  <si>
    <t>ВЗ</t>
  </si>
  <si>
    <t>не электронная</t>
  </si>
  <si>
    <t>№12-6</t>
  </si>
  <si>
    <t xml:space="preserve">Факт </t>
  </si>
  <si>
    <t xml:space="preserve">
Предложение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</si>
</sst>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0_ ;\-#,##0\ "/>
    <numFmt numFmtId="165" formatCode="_-* #,##0.00\ _р_._-;\-* #,##0.00\ _р_._-;_-* &quot;-&quot;??\ _р_._-;_-@_-"/>
    <numFmt numFmtId="166" formatCode="#,##0.0"/>
    <numFmt numFmtId="167" formatCode="######0.0#####"/>
    <numFmt numFmtId="168" formatCode="#,##0.0000"/>
    <numFmt numFmtId="169" formatCode="0.0%"/>
    <numFmt numFmtId="170" formatCode="_(* #,##0.00_);_(* \(#,##0.00\);_(* &quot;-&quot;_);_(@_)"/>
    <numFmt numFmtId="171" formatCode="_(* #,##0_);_(* \(#,##0\);_(* &quot;-&quot;_);_(@_)"/>
    <numFmt numFmtId="172" formatCode="#,##0.000"/>
    <numFmt numFmtId="173" formatCode="_-* #,##0.0_р_._-;\-* #,##0.0_р_._-;_-* &quot;-&quot;??_р_._-;_-@_-"/>
    <numFmt numFmtId="174" formatCode="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b/>
      <sz val="10"/>
      <color theme="1"/>
      <name val="Times New Roman"/>
      <family val="1"/>
      <charset val="204"/>
    </font>
    <font>
      <sz val="10"/>
      <color theme="1"/>
      <name val="Times New Roman"/>
      <family val="1"/>
      <charset val="204"/>
    </font>
    <font>
      <sz val="10"/>
      <color theme="1"/>
      <name val="Arial Cyr"/>
      <charset val="204"/>
    </font>
    <font>
      <sz val="10"/>
      <color theme="0"/>
      <name val="Arial Cyr"/>
      <charset val="204"/>
    </font>
    <font>
      <sz val="12"/>
      <color theme="0" tint="-0.14999847407452621"/>
      <name val="Times New Roman"/>
      <family val="1"/>
      <charset val="204"/>
    </font>
    <font>
      <sz val="11"/>
      <color theme="0"/>
      <name val="Times New Roman"/>
      <family val="1"/>
      <charset val="204"/>
    </font>
    <font>
      <sz val="11"/>
      <color theme="0" tint="-0.14999847407452621"/>
      <name val="Times New Roman"/>
      <family val="1"/>
      <charset val="204"/>
    </font>
    <font>
      <sz val="12"/>
      <color theme="0" tint="-0.249977111117893"/>
      <name val="Times New Roman"/>
      <family val="1"/>
      <charset val="204"/>
    </font>
    <font>
      <b/>
      <sz val="11"/>
      <color theme="0" tint="-0.249977111117893"/>
      <name val="Times New Roman"/>
      <family val="1"/>
      <charset val="204"/>
    </font>
    <font>
      <sz val="10"/>
      <color theme="0" tint="-0.249977111117893"/>
      <name val="Arial Cyr"/>
      <charset val="204"/>
    </font>
    <font>
      <b/>
      <sz val="12"/>
      <color theme="0" tint="-0.249977111117893"/>
      <name val="Times New Roman"/>
      <family val="1"/>
      <charset val="204"/>
    </font>
    <font>
      <sz val="12"/>
      <color rgb="FF7030A0"/>
      <name val="Times New Roman"/>
      <family val="1"/>
      <charset val="204"/>
    </font>
    <font>
      <sz val="11"/>
      <color rgb="FF7030A0"/>
      <name val="Times New Roman"/>
      <family val="1"/>
      <charset val="204"/>
    </font>
    <font>
      <sz val="10"/>
      <name val="Arial Cyr"/>
      <family val="2"/>
      <charset val="204"/>
    </font>
    <font>
      <sz val="12"/>
      <color indexed="8"/>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99FFCC"/>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0" fontId="77" fillId="0" borderId="0"/>
    <xf numFmtId="43" fontId="44" fillId="0" borderId="0" applyFont="0" applyFill="0" applyBorder="0" applyAlignment="0" applyProtection="0"/>
    <xf numFmtId="43" fontId="77" fillId="0" borderId="0" applyFont="0" applyFill="0" applyBorder="0" applyAlignment="0" applyProtection="0"/>
    <xf numFmtId="0" fontId="1" fillId="0" borderId="0"/>
    <xf numFmtId="0" fontId="11" fillId="0" borderId="0"/>
    <xf numFmtId="43" fontId="1" fillId="0" borderId="0" applyFont="0" applyFill="0" applyBorder="0" applyAlignment="0" applyProtection="0"/>
  </cellStyleXfs>
  <cellXfs count="4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0" fillId="0" borderId="1" xfId="2" applyFont="1" applyFill="1" applyBorder="1" applyAlignment="1">
      <alignment horizontal="center" vertical="center"/>
    </xf>
    <xf numFmtId="0" fontId="11" fillId="0" borderId="1" xfId="2" applyFont="1" applyFill="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wrapText="1"/>
    </xf>
    <xf numFmtId="0" fontId="11" fillId="0" borderId="1" xfId="2" applyFont="1" applyBorder="1" applyAlignment="1">
      <alignment horizontal="left" vertical="top" wrapText="1"/>
    </xf>
    <xf numFmtId="49" fontId="11" fillId="0" borderId="1" xfId="2" applyNumberFormat="1" applyFont="1" applyBorder="1" applyAlignment="1">
      <alignment horizontal="center" vertical="top" wrapText="1"/>
    </xf>
    <xf numFmtId="49" fontId="11" fillId="0" borderId="0" xfId="2" applyNumberFormat="1" applyFont="1" applyFill="1"/>
    <xf numFmtId="0" fontId="38" fillId="0" borderId="0" xfId="67" applyFont="1" applyFill="1" applyAlignment="1">
      <alignment horizontal="center" vertical="center"/>
    </xf>
    <xf numFmtId="0" fontId="7" fillId="0" borderId="0" xfId="67" applyFont="1" applyFill="1" applyAlignment="1">
      <alignment vertical="center"/>
    </xf>
    <xf numFmtId="0" fontId="64" fillId="0" borderId="0" xfId="67" applyFont="1" applyFill="1" applyAlignment="1">
      <alignment horizontal="left" vertical="center"/>
    </xf>
    <xf numFmtId="0" fontId="65" fillId="0" borderId="0" xfId="67" applyFont="1" applyFill="1" applyAlignment="1">
      <alignment vertical="center"/>
    </xf>
    <xf numFmtId="0" fontId="66" fillId="0" borderId="0" xfId="0" applyFont="1" applyFill="1"/>
    <xf numFmtId="0" fontId="67" fillId="0" borderId="0" xfId="0" applyFont="1" applyFill="1" applyBorder="1"/>
    <xf numFmtId="0" fontId="7" fillId="0" borderId="38" xfId="67" applyFont="1" applyFill="1" applyBorder="1" applyAlignment="1">
      <alignment vertical="center"/>
    </xf>
    <xf numFmtId="3" fontId="36" fillId="0" borderId="39" xfId="67" applyNumberFormat="1" applyFont="1" applyFill="1" applyBorder="1" applyAlignment="1">
      <alignment vertical="center"/>
    </xf>
    <xf numFmtId="0" fontId="7" fillId="0" borderId="40" xfId="67" applyFont="1" applyFill="1" applyBorder="1" applyAlignment="1">
      <alignment vertical="center"/>
    </xf>
    <xf numFmtId="3" fontId="36" fillId="0" borderId="41" xfId="67" applyNumberFormat="1" applyFont="1" applyFill="1" applyBorder="1" applyAlignment="1">
      <alignment vertical="center"/>
    </xf>
    <xf numFmtId="0" fontId="38" fillId="0" borderId="0" xfId="67" applyFont="1" applyFill="1" applyAlignment="1">
      <alignment vertical="center"/>
    </xf>
    <xf numFmtId="0" fontId="7" fillId="0" borderId="42" xfId="67" applyFont="1" applyFill="1" applyBorder="1" applyAlignment="1">
      <alignment vertical="center"/>
    </xf>
    <xf numFmtId="3" fontId="36" fillId="0" borderId="43" xfId="67" applyNumberFormat="1" applyFont="1" applyFill="1" applyBorder="1" applyAlignment="1">
      <alignment vertical="center"/>
    </xf>
    <xf numFmtId="0" fontId="7" fillId="0" borderId="1" xfId="67" applyFont="1" applyFill="1" applyBorder="1" applyAlignment="1">
      <alignment vertical="center"/>
    </xf>
    <xf numFmtId="4" fontId="65" fillId="0" borderId="1" xfId="67" applyNumberFormat="1" applyFont="1" applyFill="1" applyBorder="1" applyAlignment="1">
      <alignment horizontal="center" vertical="center"/>
    </xf>
    <xf numFmtId="3" fontId="65" fillId="0" borderId="1" xfId="67" applyNumberFormat="1" applyFont="1" applyFill="1" applyBorder="1" applyAlignment="1">
      <alignment horizontal="center" vertical="center"/>
    </xf>
    <xf numFmtId="0" fontId="65" fillId="0" borderId="1" xfId="67" applyFont="1" applyFill="1" applyBorder="1" applyAlignment="1">
      <alignment horizontal="center" vertical="center"/>
    </xf>
    <xf numFmtId="0" fontId="7" fillId="0" borderId="44" xfId="67" applyFont="1" applyFill="1" applyBorder="1" applyAlignment="1">
      <alignment vertical="center"/>
    </xf>
    <xf numFmtId="3" fontId="36" fillId="0" borderId="45" xfId="67" applyNumberFormat="1" applyFont="1" applyFill="1" applyBorder="1" applyAlignment="1">
      <alignment vertical="center"/>
    </xf>
    <xf numFmtId="10" fontId="36" fillId="0" borderId="43" xfId="67" applyNumberFormat="1" applyFont="1" applyFill="1" applyBorder="1" applyAlignment="1">
      <alignment vertical="center"/>
    </xf>
    <xf numFmtId="9" fontId="36" fillId="0" borderId="45" xfId="67" applyNumberFormat="1" applyFont="1" applyFill="1" applyBorder="1" applyAlignment="1">
      <alignment vertical="center"/>
    </xf>
    <xf numFmtId="0" fontId="7" fillId="0" borderId="30" xfId="67" applyFont="1" applyFill="1" applyBorder="1" applyAlignment="1">
      <alignment vertical="center"/>
    </xf>
    <xf numFmtId="3" fontId="36" fillId="0" borderId="38" xfId="67" applyNumberFormat="1" applyFont="1" applyFill="1" applyBorder="1" applyAlignment="1">
      <alignment vertical="center"/>
    </xf>
    <xf numFmtId="0" fontId="7" fillId="0" borderId="26" xfId="67" applyFont="1" applyFill="1" applyBorder="1" applyAlignment="1">
      <alignment vertical="center"/>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xf>
    <xf numFmtId="10" fontId="36" fillId="0" borderId="44" xfId="67" applyNumberFormat="1" applyFont="1" applyFill="1" applyBorder="1" applyAlignment="1">
      <alignment vertical="center"/>
    </xf>
    <xf numFmtId="0" fontId="7" fillId="0" borderId="29" xfId="67" applyFont="1" applyFill="1" applyBorder="1" applyAlignment="1">
      <alignment horizontal="left" vertical="center"/>
    </xf>
    <xf numFmtId="1" fontId="7" fillId="0" borderId="28" xfId="67" applyNumberFormat="1" applyFont="1" applyFill="1" applyBorder="1" applyAlignment="1">
      <alignment horizontal="center" vertical="center"/>
    </xf>
    <xf numFmtId="0" fontId="7" fillId="0" borderId="27" xfId="67" applyFont="1" applyFill="1" applyBorder="1" applyAlignment="1">
      <alignment vertical="center"/>
    </xf>
    <xf numFmtId="10" fontId="36" fillId="0" borderId="1" xfId="67" applyNumberFormat="1" applyFont="1" applyFill="1" applyBorder="1" applyAlignment="1">
      <alignment vertical="center"/>
    </xf>
    <xf numFmtId="0" fontId="7" fillId="0" borderId="25" xfId="67" applyFont="1" applyFill="1" applyBorder="1" applyAlignment="1">
      <alignment vertical="center"/>
    </xf>
    <xf numFmtId="3" fontId="36" fillId="0" borderId="24" xfId="67" applyNumberFormat="1" applyFont="1" applyFill="1" applyBorder="1" applyAlignment="1">
      <alignment vertical="center"/>
    </xf>
    <xf numFmtId="3" fontId="38" fillId="0" borderId="24" xfId="67" applyNumberFormat="1" applyFont="1" applyFill="1" applyBorder="1" applyAlignment="1">
      <alignment vertical="center"/>
    </xf>
    <xf numFmtId="0" fontId="38" fillId="0" borderId="29" xfId="67" applyFont="1" applyFill="1" applyBorder="1" applyAlignment="1">
      <alignment vertical="center"/>
    </xf>
    <xf numFmtId="3" fontId="36" fillId="0" borderId="1" xfId="67" applyNumberFormat="1" applyFont="1" applyFill="1" applyBorder="1" applyAlignment="1">
      <alignment vertical="center"/>
    </xf>
    <xf numFmtId="0" fontId="7" fillId="0" borderId="0" xfId="67" applyFont="1" applyFill="1" applyBorder="1" applyAlignment="1">
      <alignment vertical="center"/>
    </xf>
    <xf numFmtId="3" fontId="7" fillId="0" borderId="0" xfId="67" applyNumberFormat="1" applyFont="1" applyFill="1" applyBorder="1" applyAlignment="1">
      <alignment vertical="center"/>
    </xf>
    <xf numFmtId="3" fontId="68" fillId="0" borderId="0" xfId="67" applyNumberFormat="1" applyFont="1" applyFill="1" applyBorder="1" applyAlignment="1">
      <alignment horizontal="center" vertical="center"/>
    </xf>
    <xf numFmtId="0" fontId="38" fillId="0" borderId="27" xfId="67" applyFont="1" applyFill="1" applyBorder="1" applyAlignment="1">
      <alignment vertical="center"/>
    </xf>
    <xf numFmtId="3" fontId="38" fillId="0" borderId="1" xfId="67" applyNumberFormat="1" applyFont="1" applyFill="1" applyBorder="1" applyAlignment="1">
      <alignment vertical="center"/>
    </xf>
    <xf numFmtId="0" fontId="7" fillId="0" borderId="27" xfId="67" applyFont="1" applyFill="1" applyBorder="1" applyAlignment="1">
      <alignment horizontal="left" vertical="center"/>
    </xf>
    <xf numFmtId="0" fontId="38" fillId="0" borderId="27" xfId="67" applyFont="1" applyFill="1" applyBorder="1" applyAlignment="1">
      <alignment horizontal="left" vertical="center"/>
    </xf>
    <xf numFmtId="3" fontId="69" fillId="0" borderId="5" xfId="67" applyNumberFormat="1" applyFont="1" applyFill="1" applyBorder="1" applyAlignment="1">
      <alignment vertical="center"/>
    </xf>
    <xf numFmtId="0" fontId="38" fillId="0" borderId="25" xfId="67" applyFont="1" applyFill="1" applyBorder="1" applyAlignment="1">
      <alignment horizontal="left" vertical="center"/>
    </xf>
    <xf numFmtId="166" fontId="70" fillId="0" borderId="0" xfId="67" applyNumberFormat="1" applyFont="1" applyFill="1" applyBorder="1" applyAlignment="1">
      <alignment horizontal="center" vertical="center"/>
    </xf>
    <xf numFmtId="166" fontId="69" fillId="0" borderId="0" xfId="67" applyNumberFormat="1" applyFont="1" applyFill="1" applyBorder="1" applyAlignment="1">
      <alignment horizontal="center" vertical="center"/>
    </xf>
    <xf numFmtId="166" fontId="36" fillId="0" borderId="0" xfId="67" applyNumberFormat="1" applyFont="1" applyFill="1" applyBorder="1" applyAlignment="1">
      <alignment horizontal="center" vertical="center"/>
    </xf>
    <xf numFmtId="0" fontId="7" fillId="0" borderId="27" xfId="67" applyFont="1" applyFill="1" applyBorder="1" applyAlignment="1">
      <alignment horizontal="left" vertical="center" wrapText="1"/>
    </xf>
    <xf numFmtId="168" fontId="36" fillId="0" borderId="1" xfId="67" applyNumberFormat="1" applyFont="1" applyFill="1" applyBorder="1" applyAlignment="1">
      <alignment horizontal="center" vertical="center"/>
    </xf>
    <xf numFmtId="169" fontId="38" fillId="0" borderId="1" xfId="67" applyNumberFormat="1" applyFont="1" applyFill="1" applyBorder="1" applyAlignment="1">
      <alignment vertical="center"/>
    </xf>
    <xf numFmtId="170" fontId="38" fillId="0" borderId="1" xfId="67" applyNumberFormat="1" applyFont="1" applyFill="1" applyBorder="1" applyAlignment="1">
      <alignment vertical="center"/>
    </xf>
    <xf numFmtId="0" fontId="38" fillId="0" borderId="25" xfId="67" applyFont="1" applyFill="1" applyBorder="1" applyAlignment="1">
      <alignment vertical="center"/>
    </xf>
    <xf numFmtId="170" fontId="38" fillId="0" borderId="24" xfId="67" applyNumberFormat="1" applyFont="1" applyFill="1" applyBorder="1" applyAlignment="1">
      <alignment vertical="center"/>
    </xf>
    <xf numFmtId="1" fontId="7" fillId="0" borderId="0" xfId="67" applyNumberFormat="1" applyFont="1" applyFill="1" applyAlignment="1">
      <alignment vertical="center"/>
    </xf>
    <xf numFmtId="0" fontId="7" fillId="0" borderId="0" xfId="67" applyFont="1" applyFill="1" applyAlignment="1">
      <alignment horizontal="right" vertical="center"/>
    </xf>
    <xf numFmtId="171" fontId="7" fillId="0" borderId="0" xfId="67" applyNumberFormat="1" applyFont="1" applyFill="1" applyAlignment="1">
      <alignment vertical="center"/>
    </xf>
    <xf numFmtId="0" fontId="71" fillId="0" borderId="0" xfId="67" applyFont="1" applyFill="1" applyAlignment="1">
      <alignment vertical="center"/>
    </xf>
    <xf numFmtId="3" fontId="72" fillId="0" borderId="1" xfId="67" applyNumberFormat="1" applyFont="1" applyFill="1" applyBorder="1" applyAlignment="1">
      <alignment vertical="center"/>
    </xf>
    <xf numFmtId="0" fontId="73" fillId="0" borderId="0" xfId="0" applyFont="1" applyFill="1"/>
    <xf numFmtId="3" fontId="74" fillId="0" borderId="0" xfId="67" applyNumberFormat="1" applyFont="1" applyFill="1" applyAlignment="1">
      <alignment horizontal="center" vertical="center"/>
    </xf>
    <xf numFmtId="172" fontId="72" fillId="0" borderId="1" xfId="67" applyNumberFormat="1" applyFont="1" applyFill="1" applyBorder="1" applyAlignment="1">
      <alignment vertical="center"/>
    </xf>
    <xf numFmtId="43" fontId="4" fillId="0" borderId="1" xfId="1" applyNumberFormat="1" applyFont="1" applyBorder="1" applyAlignment="1">
      <alignment horizontal="center" vertical="center"/>
    </xf>
    <xf numFmtId="49" fontId="7" fillId="0" borderId="1" xfId="1" applyNumberFormat="1" applyFont="1" applyBorder="1" applyAlignment="1">
      <alignment horizontal="center" vertical="center"/>
    </xf>
    <xf numFmtId="43" fontId="42" fillId="0" borderId="1" xfId="2" applyNumberFormat="1" applyFont="1" applyFill="1" applyBorder="1" applyAlignment="1">
      <alignment horizontal="left" vertical="center" wrapText="1"/>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left" vertical="center" wrapText="1"/>
    </xf>
    <xf numFmtId="43" fontId="11"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left" vertical="center" wrapText="1"/>
    </xf>
    <xf numFmtId="43" fontId="47" fillId="0" borderId="2" xfId="45" applyNumberFormat="1" applyFont="1" applyFill="1" applyBorder="1" applyAlignment="1">
      <alignment horizontal="left" vertical="center" wrapText="1"/>
    </xf>
    <xf numFmtId="43" fontId="61" fillId="0" borderId="1" xfId="2" applyNumberFormat="1" applyFont="1" applyFill="1" applyBorder="1" applyAlignment="1">
      <alignment horizontal="center" vertical="center" wrapText="1"/>
    </xf>
    <xf numFmtId="43" fontId="75" fillId="0" borderId="1" xfId="2" applyNumberFormat="1" applyFont="1" applyFill="1" applyBorder="1" applyAlignment="1">
      <alignment horizontal="center" vertical="center" wrapText="1"/>
    </xf>
    <xf numFmtId="43" fontId="75" fillId="0" borderId="1" xfId="2" applyNumberFormat="1" applyFont="1" applyFill="1" applyBorder="1" applyAlignment="1">
      <alignment horizontal="left" vertical="center" wrapText="1"/>
    </xf>
    <xf numFmtId="173" fontId="11" fillId="0" borderId="1" xfId="2" applyNumberFormat="1" applyFont="1" applyFill="1" applyBorder="1" applyAlignment="1">
      <alignment horizontal="center" vertical="center" wrapText="1"/>
    </xf>
    <xf numFmtId="173" fontId="11" fillId="0" borderId="1" xfId="2" applyNumberFormat="1" applyFont="1" applyFill="1" applyBorder="1" applyAlignment="1">
      <alignment horizontal="left" vertical="center" wrapText="1"/>
    </xf>
    <xf numFmtId="173" fontId="42" fillId="0" borderId="1" xfId="2" applyNumberFormat="1" applyFont="1" applyFill="1" applyBorder="1" applyAlignment="1">
      <alignment horizontal="center" vertical="center" wrapText="1"/>
    </xf>
    <xf numFmtId="0" fontId="76" fillId="0" borderId="31" xfId="2" applyFont="1" applyFill="1" applyBorder="1" applyAlignment="1">
      <alignment horizontal="justify"/>
    </xf>
    <xf numFmtId="0" fontId="76" fillId="0" borderId="34" xfId="2" applyFont="1" applyFill="1" applyBorder="1" applyAlignment="1">
      <alignment horizontal="left"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174" fontId="7" fillId="0" borderId="1" xfId="49" applyNumberFormat="1" applyFont="1" applyBorder="1" applyAlignment="1">
      <alignment horizontal="center" vertical="center"/>
    </xf>
    <xf numFmtId="17" fontId="7" fillId="0" borderId="1" xfId="49" applyNumberFormat="1" applyFont="1" applyBorder="1" applyAlignment="1">
      <alignment horizontal="center" vertical="center"/>
    </xf>
    <xf numFmtId="0" fontId="36" fillId="0" borderId="1" xfId="1" applyFont="1" applyBorder="1"/>
    <xf numFmtId="0" fontId="36" fillId="0" borderId="1" xfId="1" applyFont="1" applyBorder="1" applyAlignment="1">
      <alignment vertical="center"/>
    </xf>
    <xf numFmtId="0" fontId="11" fillId="0" borderId="0" xfId="68" applyFont="1" applyFill="1" applyAlignment="1">
      <alignment horizontal="justify" vertical="top"/>
    </xf>
    <xf numFmtId="0" fontId="11" fillId="0" borderId="4" xfId="68" applyFont="1" applyFill="1" applyBorder="1" applyAlignment="1">
      <alignment horizontal="justify" vertical="top"/>
    </xf>
    <xf numFmtId="0" fontId="36" fillId="0" borderId="1" xfId="1" applyFont="1" applyBorder="1" applyAlignment="1">
      <alignment horizontal="left" vertical="center"/>
    </xf>
    <xf numFmtId="2" fontId="40" fillId="0" borderId="1" xfId="2" applyNumberFormat="1" applyFont="1" applyFill="1" applyBorder="1" applyAlignment="1">
      <alignment horizontal="center" vertical="center" wrapText="1"/>
    </xf>
    <xf numFmtId="0" fontId="65" fillId="0" borderId="0" xfId="0" applyFont="1" applyAlignment="1">
      <alignment horizontal="center" vertical="center" wrapText="1"/>
    </xf>
    <xf numFmtId="0" fontId="11" fillId="0" borderId="4" xfId="2" applyFont="1" applyFill="1" applyBorder="1" applyAlignment="1">
      <alignment horizontal="center" vertical="center" wrapText="1"/>
    </xf>
    <xf numFmtId="14" fontId="7" fillId="0" borderId="4" xfId="1" applyNumberFormat="1" applyFont="1" applyBorder="1" applyAlignment="1">
      <alignment horizontal="center"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1" fillId="0" borderId="1" xfId="0" applyFont="1" applyBorder="1" applyAlignment="1">
      <alignment horizontal="left" vertical="top" wrapText="1"/>
    </xf>
    <xf numFmtId="0" fontId="11" fillId="0" borderId="1" xfId="0" applyFont="1" applyBorder="1" applyAlignment="1">
      <alignment horizontal="center" vertical="center" wrapText="1"/>
    </xf>
    <xf numFmtId="1" fontId="40" fillId="0" borderId="1" xfId="2" applyNumberFormat="1" applyFont="1" applyFill="1" applyBorder="1" applyAlignment="1">
      <alignment horizontal="center" vertical="center"/>
    </xf>
    <xf numFmtId="1" fontId="40" fillId="0" borderId="1" xfId="2" applyNumberFormat="1" applyFont="1" applyFill="1" applyBorder="1" applyAlignment="1">
      <alignment horizontal="center" vertical="center" wrapText="1"/>
    </xf>
    <xf numFmtId="2" fontId="40" fillId="0" borderId="1" xfId="2" applyNumberFormat="1" applyFont="1" applyFill="1" applyBorder="1" applyAlignment="1">
      <alignment horizontal="center" vertical="center"/>
    </xf>
    <xf numFmtId="172"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72"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2" fontId="42" fillId="0" borderId="40" xfId="62" applyNumberFormat="1" applyFont="1" applyFill="1" applyBorder="1" applyAlignment="1">
      <alignment horizontal="left" vertical="center"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36" fillId="0" borderId="1" xfId="49" applyFont="1" applyBorder="1" applyAlignment="1">
      <alignment wrapText="1"/>
    </xf>
    <xf numFmtId="0" fontId="36" fillId="0" borderId="0" xfId="49" applyFont="1" applyAlignment="1">
      <alignment wrapText="1"/>
    </xf>
    <xf numFmtId="4" fontId="78" fillId="0" borderId="1" xfId="0" applyNumberFormat="1" applyFont="1" applyFill="1" applyBorder="1" applyAlignment="1">
      <alignment horizontal="center" vertical="center" wrapText="1"/>
    </xf>
    <xf numFmtId="49" fontId="78" fillId="0" borderId="1" xfId="0" applyNumberFormat="1" applyFont="1" applyFill="1" applyBorder="1" applyAlignment="1">
      <alignment horizontal="center" vertical="center" wrapText="1"/>
    </xf>
    <xf numFmtId="0" fontId="7" fillId="0" borderId="1" xfId="49" applyFont="1" applyBorder="1" applyAlignment="1">
      <alignment horizontal="center" vertical="center" wrapText="1"/>
    </xf>
    <xf numFmtId="0" fontId="7" fillId="0" borderId="0" xfId="49" applyFont="1" applyAlignment="1">
      <alignment horizontal="center" vertical="center" wrapText="1"/>
    </xf>
    <xf numFmtId="0" fontId="7" fillId="0" borderId="1" xfId="49" applyFont="1" applyBorder="1" applyAlignment="1">
      <alignment wrapText="1"/>
    </xf>
    <xf numFmtId="0" fontId="7" fillId="0" borderId="0" xfId="49" applyFont="1" applyAlignment="1">
      <alignment wrapText="1"/>
    </xf>
    <xf numFmtId="49" fontId="7" fillId="0" borderId="1" xfId="49" applyNumberFormat="1" applyFont="1" applyBorder="1" applyAlignment="1">
      <alignment horizontal="center" vertical="center" wrapText="1"/>
    </xf>
    <xf numFmtId="4"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4" fontId="7" fillId="0" borderId="1" xfId="0" applyNumberFormat="1" applyFont="1" applyFill="1" applyBorder="1" applyAlignment="1">
      <alignment horizontal="center" vertical="center" wrapText="1"/>
    </xf>
    <xf numFmtId="0" fontId="11" fillId="26" borderId="1" xfId="0" applyFont="1" applyFill="1" applyBorder="1" applyAlignment="1" applyProtection="1">
      <alignment horizontal="center" vertical="center" wrapText="1"/>
      <protection locked="0"/>
    </xf>
    <xf numFmtId="4" fontId="11" fillId="26" borderId="1" xfId="0" applyNumberFormat="1" applyFont="1" applyFill="1" applyBorder="1" applyAlignment="1" applyProtection="1">
      <alignment horizontal="center" vertical="center"/>
      <protection locked="0"/>
    </xf>
    <xf numFmtId="0" fontId="11" fillId="0" borderId="1" xfId="0" applyNumberFormat="1" applyFont="1" applyBorder="1" applyAlignment="1" applyProtection="1">
      <alignment horizontal="center" vertical="center" wrapText="1"/>
      <protection locked="0"/>
    </xf>
    <xf numFmtId="0" fontId="7" fillId="0" borderId="0" xfId="49" applyFont="1" applyAlignment="1">
      <alignment horizontal="center" vertical="center"/>
    </xf>
    <xf numFmtId="1" fontId="7" fillId="0" borderId="1" xfId="49" applyNumberFormat="1" applyFont="1" applyBorder="1" applyAlignment="1">
      <alignment horizontal="center" vertical="center" wrapText="1"/>
    </xf>
    <xf numFmtId="17" fontId="7" fillId="0" borderId="1" xfId="49" applyNumberFormat="1" applyFont="1" applyBorder="1" applyAlignment="1">
      <alignment horizontal="center" vertical="center" wrapText="1"/>
    </xf>
    <xf numFmtId="174" fontId="7" fillId="0" borderId="1" xfId="49" applyNumberFormat="1" applyFont="1" applyBorder="1" applyAlignment="1">
      <alignment horizontal="center" vertical="center" wrapText="1"/>
    </xf>
    <xf numFmtId="166" fontId="7" fillId="0" borderId="1" xfId="49" applyNumberFormat="1" applyFont="1" applyBorder="1" applyAlignment="1">
      <alignment horizontal="center" vertical="center" wrapText="1"/>
    </xf>
    <xf numFmtId="14" fontId="7" fillId="0" borderId="1" xfId="49" applyNumberFormat="1" applyFont="1" applyBorder="1" applyAlignment="1">
      <alignment horizontal="center" vertical="center" wrapText="1"/>
    </xf>
    <xf numFmtId="4" fontId="11" fillId="26" borderId="1" xfId="0" applyNumberFormat="1"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14" fontId="7" fillId="0" borderId="1" xfId="0" applyNumberFormat="1" applyFont="1" applyBorder="1" applyAlignment="1">
      <alignment horizontal="center" vertical="center" wrapText="1"/>
    </xf>
    <xf numFmtId="0" fontId="7" fillId="0" borderId="1" xfId="49" applyFont="1" applyBorder="1" applyAlignment="1">
      <alignment horizontal="center" vertical="center"/>
    </xf>
    <xf numFmtId="0" fontId="40" fillId="0" borderId="32" xfId="2" applyFont="1" applyFill="1" applyBorder="1" applyAlignment="1">
      <alignment horizontal="left" vertical="top" wrapText="1"/>
    </xf>
    <xf numFmtId="0" fontId="11" fillId="0" borderId="1" xfId="2" applyFont="1" applyFill="1" applyBorder="1" applyAlignment="1">
      <alignment horizontal="center" vertical="center" wrapText="1"/>
    </xf>
    <xf numFmtId="0" fontId="40" fillId="27" borderId="31" xfId="2" applyFont="1" applyFill="1" applyBorder="1" applyAlignment="1">
      <alignment horizontal="justify" vertical="top" wrapText="1"/>
    </xf>
    <xf numFmtId="172" fontId="40" fillId="27"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62"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61"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2" fillId="0" borderId="0" xfId="1" applyFont="1" applyAlignment="1">
      <alignment horizontal="left"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6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0" borderId="0" xfId="67" applyFont="1" applyFill="1" applyAlignment="1">
      <alignment horizontal="left" vertical="center" wrapText="1"/>
    </xf>
    <xf numFmtId="0" fontId="65" fillId="0" borderId="1" xfId="67" applyFont="1" applyFill="1" applyBorder="1" applyAlignment="1">
      <alignment horizontal="center" vertical="center"/>
    </xf>
    <xf numFmtId="0" fontId="7" fillId="0" borderId="0" xfId="0" applyFont="1" applyFill="1" applyBorder="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63" fillId="0" borderId="0" xfId="2" applyFont="1" applyFill="1" applyAlignment="1">
      <alignment horizont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2"/>
    <cellStyle name="Обычный 3" xfId="2"/>
    <cellStyle name="Обычный 3 2" xfId="41"/>
    <cellStyle name="Обычный 3 2 2 2" xfId="42"/>
    <cellStyle name="Обычный 3 21" xfId="63"/>
    <cellStyle name="Обычный 3 3" xfId="68"/>
    <cellStyle name="Обычный 4" xfId="43"/>
    <cellStyle name="Обычный 4 2" xfId="44"/>
    <cellStyle name="Обычный 4 3" xfId="71"/>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69"/>
    <cellStyle name="Финансовый 2 2 2 2 2" xfId="59"/>
    <cellStyle name="Финансовый 2 3" xfId="73"/>
    <cellStyle name="Финансовый 3" xfId="60"/>
    <cellStyle name="Финансовый 3 2" xfId="7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6549210239E-2"/>
          <c:y val="0.10288065843621404"/>
          <c:w val="0.92466585662211465"/>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537605696"/>
        <c:axId val="542975848"/>
      </c:lineChart>
      <c:catAx>
        <c:axId val="537605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2975848"/>
        <c:crosses val="autoZero"/>
        <c:auto val="1"/>
        <c:lblAlgn val="ctr"/>
        <c:lblOffset val="100"/>
        <c:noMultiLvlLbl val="0"/>
      </c:catAx>
      <c:valAx>
        <c:axId val="5429758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37605696"/>
        <c:crosses val="autoZero"/>
        <c:crossBetween val="between"/>
      </c:valAx>
    </c:plotArea>
    <c:legend>
      <c:legendPos val="r"/>
      <c:layout>
        <c:manualLayout>
          <c:xMode val="edge"/>
          <c:yMode val="edge"/>
          <c:x val="0.30619702249120884"/>
          <c:y val="0.90123818977538972"/>
          <c:w val="0.35115452182523554"/>
          <c:h val="8.2304857513734217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1133475</xdr:colOff>
      <xdr:row>27</xdr:row>
      <xdr:rowOff>152400</xdr:rowOff>
    </xdr:from>
    <xdr:to>
      <xdr:col>9</xdr:col>
      <xdr:colOff>1095375</xdr:colOff>
      <xdr:row>39</xdr:row>
      <xdr:rowOff>47625</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45" sqref="C4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9"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28" t="s">
        <v>449</v>
      </c>
      <c r="B5" s="328"/>
      <c r="C5" s="328"/>
      <c r="D5" s="165"/>
      <c r="E5" s="165"/>
      <c r="F5" s="165"/>
      <c r="G5" s="165"/>
      <c r="H5" s="165"/>
      <c r="I5" s="165"/>
      <c r="J5" s="165"/>
    </row>
    <row r="6" spans="1:22" s="12" customFormat="1" ht="18.75" x14ac:dyDescent="0.3">
      <c r="A6" s="17"/>
      <c r="F6" s="16"/>
      <c r="G6" s="16"/>
      <c r="H6" s="15"/>
    </row>
    <row r="7" spans="1:22" s="12" customFormat="1" ht="18.75" x14ac:dyDescent="0.2">
      <c r="A7" s="332" t="s">
        <v>9</v>
      </c>
      <c r="B7" s="332"/>
      <c r="C7" s="33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33" t="s">
        <v>450</v>
      </c>
      <c r="B9" s="333"/>
      <c r="C9" s="333"/>
      <c r="D9" s="8"/>
      <c r="E9" s="8"/>
      <c r="F9" s="8"/>
      <c r="G9" s="8"/>
      <c r="H9" s="8"/>
      <c r="I9" s="13"/>
      <c r="J9" s="13"/>
      <c r="K9" s="13"/>
      <c r="L9" s="13"/>
      <c r="M9" s="13"/>
      <c r="N9" s="13"/>
      <c r="O9" s="13"/>
      <c r="P9" s="13"/>
      <c r="Q9" s="13"/>
      <c r="R9" s="13"/>
      <c r="S9" s="13"/>
      <c r="T9" s="13"/>
      <c r="U9" s="13"/>
      <c r="V9" s="13"/>
    </row>
    <row r="10" spans="1:22" s="12" customFormat="1" ht="18.75" x14ac:dyDescent="0.2">
      <c r="A10" s="329" t="s">
        <v>8</v>
      </c>
      <c r="B10" s="329"/>
      <c r="C10" s="32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33" t="s">
        <v>561</v>
      </c>
      <c r="B12" s="333"/>
      <c r="C12" s="333"/>
      <c r="D12" s="8"/>
      <c r="E12" s="8"/>
      <c r="F12" s="8"/>
      <c r="G12" s="8"/>
      <c r="H12" s="8"/>
      <c r="I12" s="13"/>
      <c r="J12" s="13"/>
      <c r="K12" s="13"/>
      <c r="L12" s="13"/>
      <c r="M12" s="13"/>
      <c r="N12" s="13"/>
      <c r="O12" s="13"/>
      <c r="P12" s="13"/>
      <c r="Q12" s="13"/>
      <c r="R12" s="13"/>
      <c r="S12" s="13"/>
      <c r="T12" s="13"/>
      <c r="U12" s="13"/>
      <c r="V12" s="13"/>
    </row>
    <row r="13" spans="1:22" s="12" customFormat="1" ht="18.75" x14ac:dyDescent="0.2">
      <c r="A13" s="329" t="s">
        <v>7</v>
      </c>
      <c r="B13" s="329"/>
      <c r="C13" s="32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5.5" customHeight="1" x14ac:dyDescent="0.2">
      <c r="A15" s="334" t="s">
        <v>452</v>
      </c>
      <c r="B15" s="334"/>
      <c r="C15" s="334"/>
      <c r="D15" s="8"/>
      <c r="E15" s="8"/>
      <c r="F15" s="8"/>
      <c r="G15" s="8"/>
      <c r="H15" s="8"/>
      <c r="I15" s="8"/>
      <c r="J15" s="8"/>
      <c r="K15" s="8"/>
      <c r="L15" s="8"/>
      <c r="M15" s="8"/>
      <c r="N15" s="8"/>
      <c r="O15" s="8"/>
      <c r="P15" s="8"/>
      <c r="Q15" s="8"/>
      <c r="R15" s="8"/>
      <c r="S15" s="8"/>
      <c r="T15" s="8"/>
      <c r="U15" s="8"/>
      <c r="V15" s="8"/>
    </row>
    <row r="16" spans="1:22" s="3" customFormat="1" ht="15" customHeight="1" x14ac:dyDescent="0.2">
      <c r="A16" s="329" t="s">
        <v>6</v>
      </c>
      <c r="B16" s="329"/>
      <c r="C16" s="32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0" t="s">
        <v>432</v>
      </c>
      <c r="B18" s="331"/>
      <c r="C18" s="33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8" t="s">
        <v>67</v>
      </c>
      <c r="C20" s="37" t="s">
        <v>66</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51.75" customHeight="1" x14ac:dyDescent="0.2">
      <c r="A22" s="24" t="s">
        <v>65</v>
      </c>
      <c r="B22" s="41" t="s">
        <v>292</v>
      </c>
      <c r="C22" s="37" t="s">
        <v>529</v>
      </c>
      <c r="D22" s="29"/>
      <c r="E22" s="29"/>
      <c r="F22" s="29"/>
      <c r="G22" s="29"/>
      <c r="H22" s="29"/>
      <c r="I22" s="28"/>
      <c r="J22" s="28"/>
      <c r="K22" s="28"/>
      <c r="L22" s="28"/>
      <c r="M22" s="28"/>
      <c r="N22" s="28"/>
      <c r="O22" s="28"/>
      <c r="P22" s="28"/>
      <c r="Q22" s="28"/>
      <c r="R22" s="28"/>
      <c r="S22" s="28"/>
      <c r="T22" s="27"/>
      <c r="U22" s="27"/>
      <c r="V22" s="27"/>
    </row>
    <row r="23" spans="1:22" s="3" customFormat="1" ht="31.5" x14ac:dyDescent="0.2">
      <c r="A23" s="24" t="s">
        <v>63</v>
      </c>
      <c r="B23" s="36" t="s">
        <v>64</v>
      </c>
      <c r="C23" s="40" t="s">
        <v>526</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25"/>
      <c r="B24" s="326"/>
      <c r="C24" s="327"/>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162" t="s">
        <v>381</v>
      </c>
      <c r="C25" s="35" t="s">
        <v>450</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162" t="s">
        <v>75</v>
      </c>
      <c r="C26" s="35" t="s">
        <v>451</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162" t="s">
        <v>74</v>
      </c>
      <c r="C27" s="35" t="s">
        <v>506</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162" t="s">
        <v>382</v>
      </c>
      <c r="C28" s="35" t="s">
        <v>507</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162" t="s">
        <v>383</v>
      </c>
      <c r="C29" s="35" t="s">
        <v>507</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162" t="s">
        <v>384</v>
      </c>
      <c r="C30" s="35" t="s">
        <v>507</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73</v>
      </c>
      <c r="B31" s="40" t="s">
        <v>385</v>
      </c>
      <c r="C31" s="35" t="s">
        <v>508</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71</v>
      </c>
      <c r="B32" s="40" t="s">
        <v>386</v>
      </c>
      <c r="C32" s="35" t="s">
        <v>508</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70</v>
      </c>
      <c r="B33" s="40" t="s">
        <v>387</v>
      </c>
      <c r="C33" s="40" t="s">
        <v>508</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401</v>
      </c>
      <c r="B34" s="40" t="s">
        <v>388</v>
      </c>
      <c r="C34" s="25" t="s">
        <v>508</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391</v>
      </c>
      <c r="B35" s="40" t="s">
        <v>72</v>
      </c>
      <c r="C35" s="25" t="s">
        <v>507</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402</v>
      </c>
      <c r="B36" s="40" t="s">
        <v>389</v>
      </c>
      <c r="C36" s="25" t="s">
        <v>508</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392</v>
      </c>
      <c r="B37" s="40" t="s">
        <v>390</v>
      </c>
      <c r="C37" s="25" t="s">
        <v>508</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403</v>
      </c>
      <c r="B38" s="40" t="s">
        <v>227</v>
      </c>
      <c r="C38" s="25" t="s">
        <v>508</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25"/>
      <c r="B39" s="326"/>
      <c r="C39" s="327"/>
      <c r="D39" s="23"/>
      <c r="E39" s="23"/>
      <c r="F39" s="23"/>
      <c r="G39" s="23"/>
      <c r="H39" s="23"/>
      <c r="I39" s="23"/>
      <c r="J39" s="23"/>
      <c r="K39" s="23"/>
      <c r="L39" s="23"/>
      <c r="M39" s="23"/>
      <c r="N39" s="23"/>
      <c r="O39" s="23"/>
      <c r="P39" s="23"/>
      <c r="Q39" s="23"/>
      <c r="R39" s="23"/>
      <c r="S39" s="23"/>
      <c r="T39" s="23"/>
      <c r="U39" s="23"/>
      <c r="V39" s="23"/>
    </row>
    <row r="40" spans="1:22" ht="63" x14ac:dyDescent="0.25">
      <c r="A40" s="24" t="s">
        <v>393</v>
      </c>
      <c r="B40" s="40" t="s">
        <v>445</v>
      </c>
      <c r="C40" s="272" t="s">
        <v>528</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404</v>
      </c>
      <c r="B41" s="40" t="s">
        <v>427</v>
      </c>
      <c r="C41" s="272" t="s">
        <v>523</v>
      </c>
      <c r="D41" s="23"/>
      <c r="E41" s="23"/>
      <c r="F41" s="23"/>
      <c r="G41" s="23"/>
      <c r="H41" s="23"/>
      <c r="I41" s="23"/>
      <c r="J41" s="23"/>
      <c r="K41" s="23"/>
      <c r="L41" s="23"/>
      <c r="M41" s="23"/>
      <c r="N41" s="23"/>
      <c r="O41" s="23"/>
      <c r="P41" s="23"/>
      <c r="Q41" s="23"/>
      <c r="R41" s="23"/>
      <c r="S41" s="23"/>
      <c r="T41" s="23"/>
      <c r="U41" s="23"/>
      <c r="V41" s="23"/>
    </row>
    <row r="42" spans="1:22" ht="138.75" customHeight="1" x14ac:dyDescent="0.25">
      <c r="A42" s="24" t="s">
        <v>394</v>
      </c>
      <c r="B42" s="40" t="s">
        <v>442</v>
      </c>
      <c r="C42" s="40" t="s">
        <v>585</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407</v>
      </c>
      <c r="B43" s="40" t="s">
        <v>408</v>
      </c>
      <c r="C43" s="272" t="s">
        <v>522</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395</v>
      </c>
      <c r="B44" s="40" t="s">
        <v>433</v>
      </c>
      <c r="C44" s="271" t="s">
        <v>583</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428</v>
      </c>
      <c r="B45" s="40" t="s">
        <v>434</v>
      </c>
      <c r="C45" s="271"/>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396</v>
      </c>
      <c r="B46" s="40" t="s">
        <v>435</v>
      </c>
      <c r="C46" s="271" t="s">
        <v>584</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25"/>
      <c r="B47" s="326"/>
      <c r="C47" s="327"/>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429</v>
      </c>
      <c r="B48" s="40" t="s">
        <v>443</v>
      </c>
      <c r="C48" s="275" t="s">
        <v>510</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397</v>
      </c>
      <c r="B49" s="40" t="s">
        <v>444</v>
      </c>
      <c r="C49" s="275" t="s">
        <v>509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tabSelected="1" view="pageBreakPreview" topLeftCell="A18" zoomScaleNormal="70" zoomScaleSheetLayoutView="100" workbookViewId="0">
      <pane xSplit="2" ySplit="7" topLeftCell="F55" activePane="bottomRight" state="frozen"/>
      <selection activeCell="A18" sqref="A18"/>
      <selection pane="topRight" activeCell="C18" sqref="C18"/>
      <selection pane="bottomLeft" activeCell="A25" sqref="A25"/>
      <selection pane="bottomRight" activeCell="U30" sqref="U30"/>
    </sheetView>
  </sheetViews>
  <sheetFormatPr defaultColWidth="9.140625" defaultRowHeight="15.75" x14ac:dyDescent="0.25"/>
  <cols>
    <col min="1" max="1" width="9.140625" style="61"/>
    <col min="2" max="2" width="57.85546875" style="61" customWidth="1"/>
    <col min="3" max="3" width="15.28515625" style="61" customWidth="1"/>
    <col min="4" max="4" width="17.85546875" style="61" customWidth="1"/>
    <col min="5" max="5" width="20.42578125" style="61" customWidth="1"/>
    <col min="6" max="6" width="18.7109375" style="61" customWidth="1"/>
    <col min="7" max="7" width="12.85546875" style="62" customWidth="1"/>
    <col min="8" max="8" width="9.5703125" style="62" bestFit="1" customWidth="1"/>
    <col min="9" max="9" width="5.42578125" style="62" customWidth="1"/>
    <col min="10" max="10" width="10.85546875" style="62" customWidth="1"/>
    <col min="11" max="11" width="9.28515625" style="62" customWidth="1"/>
    <col min="12" max="12" width="9.5703125" style="61" bestFit="1" customWidth="1"/>
    <col min="13" max="13" width="5.28515625" style="61" customWidth="1"/>
    <col min="14" max="14" width="10.5703125" style="61" customWidth="1"/>
    <col min="15" max="19" width="6.140625" style="61" customWidth="1"/>
    <col min="20" max="20" width="16.7109375" style="61" customWidth="1"/>
    <col min="21" max="21" width="24.85546875" style="61" customWidth="1"/>
    <col min="22" max="16384" width="9.140625" style="61"/>
  </cols>
  <sheetData>
    <row r="1" spans="1:21" ht="18.75" x14ac:dyDescent="0.25">
      <c r="A1" s="62"/>
      <c r="B1" s="62"/>
      <c r="C1" s="62"/>
      <c r="D1" s="62"/>
      <c r="E1" s="62"/>
      <c r="F1" s="62"/>
      <c r="L1" s="62"/>
      <c r="M1" s="62"/>
      <c r="U1" s="39" t="s">
        <v>69</v>
      </c>
    </row>
    <row r="2" spans="1:21" ht="18.75" x14ac:dyDescent="0.3">
      <c r="A2" s="62"/>
      <c r="B2" s="62"/>
      <c r="C2" s="62"/>
      <c r="D2" s="62"/>
      <c r="E2" s="62"/>
      <c r="F2" s="62"/>
      <c r="L2" s="62"/>
      <c r="M2" s="62"/>
      <c r="U2" s="15" t="s">
        <v>10</v>
      </c>
    </row>
    <row r="3" spans="1:21" ht="18.75" x14ac:dyDescent="0.3">
      <c r="A3" s="62"/>
      <c r="B3" s="62"/>
      <c r="C3" s="62"/>
      <c r="D3" s="62"/>
      <c r="E3" s="62"/>
      <c r="F3" s="62"/>
      <c r="L3" s="62"/>
      <c r="M3" s="62"/>
      <c r="U3" s="15" t="s">
        <v>68</v>
      </c>
    </row>
    <row r="4" spans="1:21" ht="18.75" customHeight="1" x14ac:dyDescent="0.25">
      <c r="A4" s="339" t="str">
        <f>'1. паспорт местоположение'!A5:C5</f>
        <v>Год раскрытия информации: 2016 год</v>
      </c>
      <c r="B4" s="339"/>
      <c r="C4" s="339"/>
      <c r="D4" s="339"/>
      <c r="E4" s="339"/>
      <c r="F4" s="339"/>
      <c r="G4" s="339"/>
      <c r="H4" s="339"/>
      <c r="I4" s="339"/>
      <c r="J4" s="339"/>
      <c r="K4" s="339"/>
      <c r="L4" s="339"/>
      <c r="M4" s="339"/>
      <c r="N4" s="339"/>
      <c r="O4" s="339"/>
      <c r="P4" s="339"/>
      <c r="Q4" s="339"/>
      <c r="R4" s="339"/>
      <c r="S4" s="339"/>
      <c r="T4" s="339"/>
      <c r="U4" s="339"/>
    </row>
    <row r="5" spans="1:21" ht="18.75" x14ac:dyDescent="0.3">
      <c r="A5" s="62"/>
      <c r="B5" s="62"/>
      <c r="C5" s="62"/>
      <c r="D5" s="62"/>
      <c r="E5" s="62"/>
      <c r="F5" s="62"/>
      <c r="L5" s="62"/>
      <c r="M5" s="62"/>
      <c r="U5" s="15"/>
    </row>
    <row r="6" spans="1:21" ht="18.75" x14ac:dyDescent="0.25">
      <c r="A6" s="332" t="s">
        <v>9</v>
      </c>
      <c r="B6" s="332"/>
      <c r="C6" s="332"/>
      <c r="D6" s="332"/>
      <c r="E6" s="332"/>
      <c r="F6" s="332"/>
      <c r="G6" s="332"/>
      <c r="H6" s="332"/>
      <c r="I6" s="332"/>
      <c r="J6" s="332"/>
      <c r="K6" s="332"/>
      <c r="L6" s="332"/>
      <c r="M6" s="332"/>
      <c r="N6" s="332"/>
      <c r="O6" s="332"/>
      <c r="P6" s="332"/>
      <c r="Q6" s="332"/>
      <c r="R6" s="332"/>
      <c r="S6" s="332"/>
      <c r="T6" s="332"/>
      <c r="U6" s="332"/>
    </row>
    <row r="7" spans="1:21" ht="18.75" x14ac:dyDescent="0.25">
      <c r="A7" s="13"/>
      <c r="B7" s="13"/>
      <c r="C7" s="13"/>
      <c r="D7" s="13"/>
      <c r="E7" s="13"/>
      <c r="F7" s="13"/>
      <c r="G7" s="13"/>
      <c r="H7" s="13"/>
      <c r="I7" s="13"/>
      <c r="J7" s="85"/>
      <c r="K7" s="85"/>
      <c r="L7" s="85"/>
      <c r="M7" s="85"/>
      <c r="N7" s="85"/>
      <c r="O7" s="85"/>
      <c r="P7" s="85"/>
      <c r="Q7" s="85"/>
      <c r="R7" s="85"/>
      <c r="S7" s="85"/>
      <c r="T7" s="85"/>
      <c r="U7" s="85"/>
    </row>
    <row r="8" spans="1:21" x14ac:dyDescent="0.25">
      <c r="A8" s="335" t="str">
        <f>'1. паспорт местоположение'!A9:C9</f>
        <v>АО "Янтарьэнерго"</v>
      </c>
      <c r="B8" s="335"/>
      <c r="C8" s="335"/>
      <c r="D8" s="335"/>
      <c r="E8" s="335"/>
      <c r="F8" s="335"/>
      <c r="G8" s="335"/>
      <c r="H8" s="335"/>
      <c r="I8" s="335"/>
      <c r="J8" s="335"/>
      <c r="K8" s="335"/>
      <c r="L8" s="335"/>
      <c r="M8" s="335"/>
      <c r="N8" s="335"/>
      <c r="O8" s="335"/>
      <c r="P8" s="335"/>
      <c r="Q8" s="335"/>
      <c r="R8" s="335"/>
      <c r="S8" s="335"/>
      <c r="T8" s="335"/>
      <c r="U8" s="335"/>
    </row>
    <row r="9" spans="1:21" ht="18.75" customHeight="1" x14ac:dyDescent="0.25">
      <c r="A9" s="329" t="s">
        <v>8</v>
      </c>
      <c r="B9" s="329"/>
      <c r="C9" s="329"/>
      <c r="D9" s="329"/>
      <c r="E9" s="329"/>
      <c r="F9" s="329"/>
      <c r="G9" s="329"/>
      <c r="H9" s="329"/>
      <c r="I9" s="329"/>
      <c r="J9" s="329"/>
      <c r="K9" s="329"/>
      <c r="L9" s="329"/>
      <c r="M9" s="329"/>
      <c r="N9" s="329"/>
      <c r="O9" s="329"/>
      <c r="P9" s="329"/>
      <c r="Q9" s="329"/>
      <c r="R9" s="329"/>
      <c r="S9" s="329"/>
      <c r="T9" s="329"/>
      <c r="U9" s="329"/>
    </row>
    <row r="10" spans="1:21" ht="18.75" x14ac:dyDescent="0.25">
      <c r="A10" s="13"/>
      <c r="B10" s="13"/>
      <c r="C10" s="13"/>
      <c r="D10" s="13"/>
      <c r="E10" s="13"/>
      <c r="F10" s="13"/>
      <c r="G10" s="13"/>
      <c r="H10" s="13"/>
      <c r="I10" s="13"/>
      <c r="J10" s="85"/>
      <c r="K10" s="85"/>
      <c r="L10" s="85"/>
      <c r="M10" s="85"/>
      <c r="N10" s="85"/>
      <c r="O10" s="85"/>
      <c r="P10" s="85"/>
      <c r="Q10" s="85"/>
      <c r="R10" s="85"/>
      <c r="S10" s="85"/>
      <c r="T10" s="85"/>
      <c r="U10" s="85"/>
    </row>
    <row r="11" spans="1:21" x14ac:dyDescent="0.25">
      <c r="A11" s="335" t="str">
        <f>'1. паспорт местоположение'!A12:C12</f>
        <v>E_prj_111001_47826</v>
      </c>
      <c r="B11" s="335"/>
      <c r="C11" s="335"/>
      <c r="D11" s="335"/>
      <c r="E11" s="335"/>
      <c r="F11" s="335"/>
      <c r="G11" s="335"/>
      <c r="H11" s="335"/>
      <c r="I11" s="335"/>
      <c r="J11" s="335"/>
      <c r="K11" s="335"/>
      <c r="L11" s="335"/>
      <c r="M11" s="335"/>
      <c r="N11" s="335"/>
      <c r="O11" s="335"/>
      <c r="P11" s="335"/>
      <c r="Q11" s="335"/>
      <c r="R11" s="335"/>
      <c r="S11" s="335"/>
      <c r="T11" s="335"/>
      <c r="U11" s="335"/>
    </row>
    <row r="12" spans="1:21" x14ac:dyDescent="0.25">
      <c r="A12" s="329" t="s">
        <v>7</v>
      </c>
      <c r="B12" s="329"/>
      <c r="C12" s="329"/>
      <c r="D12" s="329"/>
      <c r="E12" s="329"/>
      <c r="F12" s="329"/>
      <c r="G12" s="329"/>
      <c r="H12" s="329"/>
      <c r="I12" s="329"/>
      <c r="J12" s="329"/>
      <c r="K12" s="329"/>
      <c r="L12" s="329"/>
      <c r="M12" s="329"/>
      <c r="N12" s="329"/>
      <c r="O12" s="329"/>
      <c r="P12" s="329"/>
      <c r="Q12" s="329"/>
      <c r="R12" s="329"/>
      <c r="S12" s="329"/>
      <c r="T12" s="329"/>
      <c r="U12" s="329"/>
    </row>
    <row r="13" spans="1:21" ht="16.5" customHeight="1" x14ac:dyDescent="0.3">
      <c r="A13" s="11"/>
      <c r="B13" s="11"/>
      <c r="C13" s="11"/>
      <c r="D13" s="11"/>
      <c r="E13" s="11"/>
      <c r="F13" s="11"/>
      <c r="G13" s="11"/>
      <c r="H13" s="11"/>
      <c r="I13" s="11"/>
      <c r="J13" s="84"/>
      <c r="K13" s="84"/>
      <c r="L13" s="84"/>
      <c r="M13" s="84"/>
      <c r="N13" s="84"/>
      <c r="O13" s="84"/>
      <c r="P13" s="84"/>
      <c r="Q13" s="84"/>
      <c r="R13" s="84"/>
      <c r="S13" s="84"/>
      <c r="T13" s="84"/>
      <c r="U13" s="84"/>
    </row>
    <row r="14" spans="1:21" ht="35.25" customHeight="1" x14ac:dyDescent="0.25">
      <c r="A14" s="367"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4" s="367"/>
      <c r="C14" s="367"/>
      <c r="D14" s="367"/>
      <c r="E14" s="367"/>
      <c r="F14" s="367"/>
      <c r="G14" s="367"/>
      <c r="H14" s="367"/>
      <c r="I14" s="367"/>
      <c r="J14" s="367"/>
      <c r="K14" s="367"/>
      <c r="L14" s="367"/>
      <c r="M14" s="367"/>
      <c r="N14" s="367"/>
      <c r="O14" s="367"/>
      <c r="P14" s="367"/>
      <c r="Q14" s="367"/>
      <c r="R14" s="367"/>
      <c r="S14" s="367"/>
      <c r="T14" s="367"/>
      <c r="U14" s="367"/>
    </row>
    <row r="15" spans="1:21" ht="15.75" customHeight="1" x14ac:dyDescent="0.25">
      <c r="A15" s="329" t="s">
        <v>6</v>
      </c>
      <c r="B15" s="329"/>
      <c r="C15" s="329"/>
      <c r="D15" s="329"/>
      <c r="E15" s="329"/>
      <c r="F15" s="329"/>
      <c r="G15" s="329"/>
      <c r="H15" s="329"/>
      <c r="I15" s="329"/>
      <c r="J15" s="329"/>
      <c r="K15" s="329"/>
      <c r="L15" s="329"/>
      <c r="M15" s="329"/>
      <c r="N15" s="329"/>
      <c r="O15" s="329"/>
      <c r="P15" s="329"/>
      <c r="Q15" s="329"/>
      <c r="R15" s="329"/>
      <c r="S15" s="329"/>
      <c r="T15" s="329"/>
      <c r="U15" s="329"/>
    </row>
    <row r="16" spans="1:21" x14ac:dyDescent="0.25">
      <c r="A16" s="393"/>
      <c r="B16" s="393"/>
      <c r="C16" s="393"/>
      <c r="D16" s="393"/>
      <c r="E16" s="393"/>
      <c r="F16" s="393"/>
      <c r="G16" s="393"/>
      <c r="H16" s="393"/>
      <c r="I16" s="393"/>
      <c r="J16" s="393"/>
      <c r="K16" s="393"/>
      <c r="L16" s="393"/>
      <c r="M16" s="393"/>
      <c r="N16" s="393"/>
      <c r="O16" s="393"/>
      <c r="P16" s="393"/>
      <c r="Q16" s="393"/>
      <c r="R16" s="393"/>
      <c r="S16" s="393"/>
      <c r="T16" s="393"/>
      <c r="U16" s="393"/>
    </row>
    <row r="17" spans="1:24" x14ac:dyDescent="0.25">
      <c r="A17" s="62"/>
      <c r="L17" s="62"/>
      <c r="M17" s="62"/>
      <c r="N17" s="62"/>
      <c r="O17" s="62"/>
      <c r="P17" s="62"/>
      <c r="Q17" s="62"/>
      <c r="R17" s="62"/>
      <c r="S17" s="62"/>
      <c r="T17" s="62"/>
    </row>
    <row r="18" spans="1:24" x14ac:dyDescent="0.25">
      <c r="A18" s="397" t="s">
        <v>417</v>
      </c>
      <c r="B18" s="397"/>
      <c r="C18" s="397"/>
      <c r="D18" s="397"/>
      <c r="E18" s="397"/>
      <c r="F18" s="397"/>
      <c r="G18" s="397"/>
      <c r="H18" s="397"/>
      <c r="I18" s="397"/>
      <c r="J18" s="397"/>
      <c r="K18" s="397"/>
      <c r="L18" s="397"/>
      <c r="M18" s="397"/>
      <c r="N18" s="397"/>
      <c r="O18" s="397"/>
      <c r="P18" s="397"/>
      <c r="Q18" s="397"/>
      <c r="R18" s="397"/>
      <c r="S18" s="397"/>
      <c r="T18" s="397"/>
      <c r="U18" s="397"/>
    </row>
    <row r="19" spans="1:24" x14ac:dyDescent="0.25">
      <c r="A19" s="62"/>
      <c r="B19" s="62"/>
      <c r="C19" s="62"/>
      <c r="D19" s="62"/>
      <c r="E19" s="62"/>
      <c r="F19" s="62"/>
      <c r="L19" s="62"/>
      <c r="M19" s="62"/>
      <c r="N19" s="62"/>
      <c r="O19" s="62"/>
      <c r="P19" s="62"/>
      <c r="Q19" s="62"/>
      <c r="R19" s="62"/>
      <c r="S19" s="62"/>
      <c r="T19" s="62"/>
    </row>
    <row r="20" spans="1:24" ht="33" customHeight="1" x14ac:dyDescent="0.25">
      <c r="A20" s="394" t="s">
        <v>199</v>
      </c>
      <c r="B20" s="394" t="s">
        <v>198</v>
      </c>
      <c r="C20" s="383" t="s">
        <v>197</v>
      </c>
      <c r="D20" s="383"/>
      <c r="E20" s="396" t="s">
        <v>196</v>
      </c>
      <c r="F20" s="396"/>
      <c r="G20" s="394" t="s">
        <v>476</v>
      </c>
      <c r="H20" s="402" t="s">
        <v>477</v>
      </c>
      <c r="I20" s="403"/>
      <c r="J20" s="403"/>
      <c r="K20" s="403"/>
      <c r="L20" s="402" t="s">
        <v>478</v>
      </c>
      <c r="M20" s="403"/>
      <c r="N20" s="403"/>
      <c r="O20" s="403"/>
      <c r="P20" s="402" t="s">
        <v>479</v>
      </c>
      <c r="Q20" s="403"/>
      <c r="R20" s="403"/>
      <c r="S20" s="403"/>
      <c r="T20" s="398" t="s">
        <v>195</v>
      </c>
      <c r="U20" s="399"/>
      <c r="V20" s="83"/>
      <c r="W20" s="83"/>
      <c r="X20" s="83"/>
    </row>
    <row r="21" spans="1:24" ht="99.75" customHeight="1" x14ac:dyDescent="0.25">
      <c r="A21" s="395"/>
      <c r="B21" s="395"/>
      <c r="C21" s="383"/>
      <c r="D21" s="383"/>
      <c r="E21" s="396"/>
      <c r="F21" s="396"/>
      <c r="G21" s="395"/>
      <c r="H21" s="383" t="s">
        <v>2</v>
      </c>
      <c r="I21" s="383"/>
      <c r="J21" s="383" t="s">
        <v>621</v>
      </c>
      <c r="K21" s="383"/>
      <c r="L21" s="383" t="s">
        <v>2</v>
      </c>
      <c r="M21" s="383"/>
      <c r="N21" s="383" t="s">
        <v>194</v>
      </c>
      <c r="O21" s="383"/>
      <c r="P21" s="383" t="s">
        <v>2</v>
      </c>
      <c r="Q21" s="383"/>
      <c r="R21" s="383" t="s">
        <v>194</v>
      </c>
      <c r="S21" s="383"/>
      <c r="T21" s="400"/>
      <c r="U21" s="401"/>
    </row>
    <row r="22" spans="1:24" ht="89.25" customHeight="1" x14ac:dyDescent="0.25">
      <c r="A22" s="390"/>
      <c r="B22" s="390"/>
      <c r="C22" s="80" t="s">
        <v>2</v>
      </c>
      <c r="D22" s="80" t="s">
        <v>190</v>
      </c>
      <c r="E22" s="82" t="s">
        <v>193</v>
      </c>
      <c r="F22" s="82" t="s">
        <v>192</v>
      </c>
      <c r="G22" s="390"/>
      <c r="H22" s="81" t="s">
        <v>398</v>
      </c>
      <c r="I22" s="81" t="s">
        <v>399</v>
      </c>
      <c r="J22" s="81" t="s">
        <v>398</v>
      </c>
      <c r="K22" s="81" t="s">
        <v>399</v>
      </c>
      <c r="L22" s="81" t="s">
        <v>398</v>
      </c>
      <c r="M22" s="81" t="s">
        <v>399</v>
      </c>
      <c r="N22" s="81" t="s">
        <v>398</v>
      </c>
      <c r="O22" s="81" t="s">
        <v>399</v>
      </c>
      <c r="P22" s="81" t="s">
        <v>398</v>
      </c>
      <c r="Q22" s="81" t="s">
        <v>399</v>
      </c>
      <c r="R22" s="81" t="s">
        <v>398</v>
      </c>
      <c r="S22" s="81" t="s">
        <v>399</v>
      </c>
      <c r="T22" s="80" t="s">
        <v>191</v>
      </c>
      <c r="U22" s="80" t="s">
        <v>622</v>
      </c>
    </row>
    <row r="23" spans="1:24" ht="19.5" customHeight="1" x14ac:dyDescent="0.25">
      <c r="A23" s="73">
        <v>1</v>
      </c>
      <c r="B23" s="73">
        <v>2</v>
      </c>
      <c r="C23" s="73">
        <v>3</v>
      </c>
      <c r="D23" s="73">
        <v>4</v>
      </c>
      <c r="E23" s="73">
        <v>5</v>
      </c>
      <c r="F23" s="73">
        <v>6</v>
      </c>
      <c r="G23" s="157">
        <v>7</v>
      </c>
      <c r="H23" s="157">
        <v>8</v>
      </c>
      <c r="I23" s="157">
        <v>9</v>
      </c>
      <c r="J23" s="157">
        <v>10</v>
      </c>
      <c r="K23" s="157">
        <v>11</v>
      </c>
      <c r="L23" s="157">
        <v>12</v>
      </c>
      <c r="M23" s="157">
        <v>13</v>
      </c>
      <c r="N23" s="157">
        <v>14</v>
      </c>
      <c r="O23" s="157">
        <v>15</v>
      </c>
      <c r="P23" s="157">
        <v>16</v>
      </c>
      <c r="Q23" s="157">
        <v>17</v>
      </c>
      <c r="R23" s="157">
        <v>18</v>
      </c>
      <c r="S23" s="157">
        <v>19</v>
      </c>
      <c r="T23" s="157">
        <v>20</v>
      </c>
      <c r="U23" s="157">
        <v>21</v>
      </c>
    </row>
    <row r="24" spans="1:24" ht="47.25" customHeight="1" x14ac:dyDescent="0.25">
      <c r="A24" s="78">
        <v>1</v>
      </c>
      <c r="B24" s="77" t="s">
        <v>189</v>
      </c>
      <c r="C24" s="250"/>
      <c r="D24" s="257">
        <f>SUM(D25:D29)</f>
        <v>452.67143999999996</v>
      </c>
      <c r="E24" s="257">
        <f t="shared" ref="E24:F24" si="0">SUM(E25:E29)</f>
        <v>451.47699999999998</v>
      </c>
      <c r="F24" s="257">
        <f t="shared" si="0"/>
        <v>0</v>
      </c>
      <c r="G24" s="257">
        <f t="shared" ref="G24" si="1">SUM(G25:G29)</f>
        <v>0.04</v>
      </c>
      <c r="H24" s="257">
        <f t="shared" ref="H24:J24" si="2">SUM(H25:H29)</f>
        <v>379.51099999999991</v>
      </c>
      <c r="I24" s="257">
        <f t="shared" ref="I24" si="3">SUM(I25:I29)</f>
        <v>0</v>
      </c>
      <c r="J24" s="257">
        <f t="shared" si="2"/>
        <v>150.71699999999998</v>
      </c>
      <c r="K24" s="257">
        <f t="shared" ref="K24" si="4">SUM(K25:K29)</f>
        <v>0.73699999999999999</v>
      </c>
      <c r="L24" s="257">
        <f t="shared" ref="L24:N24" si="5">SUM(L25:L29)</f>
        <v>71.93101999999999</v>
      </c>
      <c r="M24" s="257">
        <f t="shared" ref="M24" si="6">SUM(M25:M29)</f>
        <v>0</v>
      </c>
      <c r="N24" s="257">
        <f t="shared" si="5"/>
        <v>0</v>
      </c>
      <c r="O24" s="257">
        <f t="shared" ref="O24" si="7">SUM(O25:O29)</f>
        <v>0</v>
      </c>
      <c r="P24" s="257">
        <f t="shared" ref="P24" si="8">SUM(P25:P29)</f>
        <v>0</v>
      </c>
      <c r="Q24" s="257">
        <f t="shared" ref="Q24" si="9">SUM(Q25:Q29)</f>
        <v>0</v>
      </c>
      <c r="R24" s="257">
        <f t="shared" ref="R24" si="10">SUM(R25:R29)</f>
        <v>0</v>
      </c>
      <c r="S24" s="257">
        <f t="shared" ref="S24" si="11">SUM(S25:S29)</f>
        <v>0</v>
      </c>
      <c r="T24" s="257">
        <f t="shared" ref="T24" si="12">SUM(T25:T29)</f>
        <v>602.15901999999971</v>
      </c>
      <c r="U24" s="257">
        <f t="shared" ref="U24" si="13">SUM(U25:U29)</f>
        <v>0</v>
      </c>
    </row>
    <row r="25" spans="1:24" ht="24" customHeight="1" x14ac:dyDescent="0.25">
      <c r="A25" s="75" t="s">
        <v>188</v>
      </c>
      <c r="B25" s="50" t="s">
        <v>187</v>
      </c>
      <c r="C25" s="250"/>
      <c r="D25" s="254">
        <v>407.05727999999999</v>
      </c>
      <c r="E25" s="254">
        <v>407.05727999999988</v>
      </c>
      <c r="F25" s="252"/>
      <c r="G25" s="254"/>
      <c r="H25" s="254">
        <v>370.25829999999991</v>
      </c>
      <c r="I25" s="254"/>
      <c r="J25" s="254">
        <v>149.97999999999999</v>
      </c>
      <c r="K25" s="254"/>
      <c r="L25" s="254">
        <v>36.798979999999965</v>
      </c>
      <c r="M25" s="254"/>
      <c r="N25" s="254"/>
      <c r="O25" s="254"/>
      <c r="P25" s="254"/>
      <c r="Q25" s="254"/>
      <c r="R25" s="254"/>
      <c r="S25" s="254"/>
      <c r="T25" s="252">
        <f>H25+J25+L25+P25</f>
        <v>557.03727999999978</v>
      </c>
      <c r="U25" s="252"/>
    </row>
    <row r="26" spans="1:24" x14ac:dyDescent="0.25">
      <c r="A26" s="75" t="s">
        <v>186</v>
      </c>
      <c r="B26" s="50" t="s">
        <v>185</v>
      </c>
      <c r="C26" s="253"/>
      <c r="D26" s="254"/>
      <c r="E26" s="254"/>
      <c r="F26" s="254"/>
      <c r="G26" s="254"/>
      <c r="H26" s="254"/>
      <c r="I26" s="254"/>
      <c r="J26" s="254"/>
      <c r="K26" s="254"/>
      <c r="L26" s="254"/>
      <c r="M26" s="254"/>
      <c r="N26" s="254"/>
      <c r="O26" s="254"/>
      <c r="P26" s="254"/>
      <c r="Q26" s="254"/>
      <c r="R26" s="254"/>
      <c r="S26" s="254"/>
      <c r="T26" s="254"/>
      <c r="U26" s="252"/>
    </row>
    <row r="27" spans="1:24" ht="31.5" x14ac:dyDescent="0.25">
      <c r="A27" s="75" t="s">
        <v>184</v>
      </c>
      <c r="B27" s="50" t="s">
        <v>380</v>
      </c>
      <c r="C27" s="253"/>
      <c r="D27" s="254">
        <f>45.61416*100/118</f>
        <v>38.656067796610174</v>
      </c>
      <c r="E27" s="254">
        <f>(451.477-E25)*100/118</f>
        <v>37.643830508474657</v>
      </c>
      <c r="F27" s="254"/>
      <c r="G27" s="253">
        <v>0.04</v>
      </c>
      <c r="H27" s="253">
        <v>7.8412711864406788</v>
      </c>
      <c r="I27" s="253"/>
      <c r="J27" s="253">
        <v>0.625</v>
      </c>
      <c r="K27" s="253">
        <v>0.625</v>
      </c>
      <c r="L27" s="253">
        <v>29.772915254237311</v>
      </c>
      <c r="M27" s="253"/>
      <c r="N27" s="253"/>
      <c r="O27" s="254"/>
      <c r="P27" s="254"/>
      <c r="Q27" s="254"/>
      <c r="R27" s="254"/>
      <c r="S27" s="254"/>
      <c r="T27" s="252">
        <f>H27+J27+L27+P27</f>
        <v>38.23918644067799</v>
      </c>
      <c r="U27" s="252"/>
    </row>
    <row r="28" spans="1:24" x14ac:dyDescent="0.25">
      <c r="A28" s="75" t="s">
        <v>183</v>
      </c>
      <c r="B28" s="50" t="s">
        <v>182</v>
      </c>
      <c r="C28" s="253"/>
      <c r="D28" s="254"/>
      <c r="E28" s="254"/>
      <c r="F28" s="254"/>
      <c r="G28" s="253"/>
      <c r="H28" s="253"/>
      <c r="I28" s="253"/>
      <c r="J28" s="253"/>
      <c r="K28" s="253"/>
      <c r="L28" s="253"/>
      <c r="M28" s="253"/>
      <c r="N28" s="253"/>
      <c r="O28" s="254"/>
      <c r="P28" s="254"/>
      <c r="Q28" s="254"/>
      <c r="R28" s="254"/>
      <c r="S28" s="254"/>
      <c r="T28" s="254"/>
      <c r="U28" s="252"/>
    </row>
    <row r="29" spans="1:24" x14ac:dyDescent="0.25">
      <c r="A29" s="75" t="s">
        <v>181</v>
      </c>
      <c r="B29" s="79" t="s">
        <v>180</v>
      </c>
      <c r="C29" s="253"/>
      <c r="D29" s="254">
        <f>45.61416*18/118</f>
        <v>6.95809220338983</v>
      </c>
      <c r="E29" s="254">
        <f>(451.477-E25)*18/118</f>
        <v>6.7758894915254384</v>
      </c>
      <c r="F29" s="254"/>
      <c r="G29" s="253"/>
      <c r="H29" s="253">
        <v>1.4114288135593256</v>
      </c>
      <c r="I29" s="253"/>
      <c r="J29" s="253">
        <v>0.112</v>
      </c>
      <c r="K29" s="253">
        <v>0.112</v>
      </c>
      <c r="L29" s="253">
        <v>5.3591247457627134</v>
      </c>
      <c r="M29" s="253"/>
      <c r="N29" s="253"/>
      <c r="O29" s="254"/>
      <c r="P29" s="254"/>
      <c r="Q29" s="254"/>
      <c r="R29" s="254"/>
      <c r="S29" s="254"/>
      <c r="T29" s="252">
        <f>H29+J29+L29+P29</f>
        <v>6.882553559322039</v>
      </c>
      <c r="U29" s="252"/>
    </row>
    <row r="30" spans="1:24" ht="47.25" x14ac:dyDescent="0.25">
      <c r="A30" s="78" t="s">
        <v>63</v>
      </c>
      <c r="B30" s="77" t="s">
        <v>179</v>
      </c>
      <c r="C30" s="250"/>
      <c r="D30" s="251">
        <v>383.62520423508499</v>
      </c>
      <c r="E30" s="251">
        <v>383.62520423508499</v>
      </c>
      <c r="F30" s="251"/>
      <c r="G30" s="251">
        <v>10.692421616440701</v>
      </c>
      <c r="H30" s="251">
        <v>313.77822033898298</v>
      </c>
      <c r="I30" s="253"/>
      <c r="J30" s="251">
        <v>185.3758856</v>
      </c>
      <c r="K30" s="251">
        <v>51.584630959999998</v>
      </c>
      <c r="L30" s="251">
        <v>59.154562279661</v>
      </c>
      <c r="M30" s="253"/>
      <c r="N30" s="251"/>
      <c r="O30" s="254"/>
      <c r="P30" s="254"/>
      <c r="Q30" s="254"/>
      <c r="R30" s="254"/>
      <c r="S30" s="254"/>
      <c r="T30" s="252">
        <f>H30+J30+L30+P30</f>
        <v>558.30866821864402</v>
      </c>
      <c r="U30" s="251"/>
    </row>
    <row r="31" spans="1:24" x14ac:dyDescent="0.25">
      <c r="A31" s="78" t="s">
        <v>178</v>
      </c>
      <c r="B31" s="50" t="s">
        <v>177</v>
      </c>
      <c r="C31" s="250"/>
      <c r="D31" s="254">
        <v>14.739000000000001</v>
      </c>
      <c r="E31" s="254"/>
      <c r="F31" s="251"/>
      <c r="G31" s="253">
        <v>9.6452004299999992</v>
      </c>
      <c r="H31" s="253"/>
      <c r="I31" s="253"/>
      <c r="J31" s="253"/>
      <c r="K31" s="253"/>
      <c r="L31" s="253"/>
      <c r="M31" s="253"/>
      <c r="N31" s="253"/>
      <c r="O31" s="254"/>
      <c r="P31" s="254"/>
      <c r="Q31" s="254"/>
      <c r="R31" s="254"/>
      <c r="S31" s="254"/>
      <c r="T31" s="252">
        <f t="shared" ref="T31:T35" si="14">H31+J31+L31+P31</f>
        <v>0</v>
      </c>
      <c r="U31" s="252"/>
    </row>
    <row r="32" spans="1:24" ht="31.5" x14ac:dyDescent="0.25">
      <c r="A32" s="78" t="s">
        <v>176</v>
      </c>
      <c r="B32" s="50" t="s">
        <v>175</v>
      </c>
      <c r="C32" s="250"/>
      <c r="D32" s="254">
        <v>154.13900000000001</v>
      </c>
      <c r="E32" s="254"/>
      <c r="F32" s="251"/>
      <c r="G32" s="253"/>
      <c r="H32" s="253">
        <v>86.550162711864402</v>
      </c>
      <c r="I32" s="253"/>
      <c r="J32" s="253">
        <v>35.960154639999999</v>
      </c>
      <c r="K32" s="253">
        <f>J32-35.55</f>
        <v>0.41015464000000179</v>
      </c>
      <c r="L32" s="253"/>
      <c r="M32" s="253"/>
      <c r="N32" s="253"/>
      <c r="O32" s="254"/>
      <c r="P32" s="254"/>
      <c r="Q32" s="254"/>
      <c r="R32" s="254"/>
      <c r="S32" s="254"/>
      <c r="T32" s="252">
        <f t="shared" si="14"/>
        <v>122.5103173518644</v>
      </c>
      <c r="U32" s="252"/>
    </row>
    <row r="33" spans="1:21" x14ac:dyDescent="0.25">
      <c r="A33" s="78" t="s">
        <v>174</v>
      </c>
      <c r="B33" s="50" t="s">
        <v>173</v>
      </c>
      <c r="C33" s="250"/>
      <c r="D33" s="254">
        <v>195.12299999999999</v>
      </c>
      <c r="E33" s="254"/>
      <c r="F33" s="251"/>
      <c r="G33" s="253"/>
      <c r="H33" s="253">
        <v>196.13483050847461</v>
      </c>
      <c r="I33" s="253"/>
      <c r="J33" s="253">
        <v>149.388339</v>
      </c>
      <c r="K33" s="253">
        <f>J33-98.241974</f>
        <v>51.146365000000003</v>
      </c>
      <c r="L33" s="253"/>
      <c r="M33" s="253"/>
      <c r="N33" s="253"/>
      <c r="O33" s="254"/>
      <c r="P33" s="254"/>
      <c r="Q33" s="254"/>
      <c r="R33" s="254"/>
      <c r="S33" s="254"/>
      <c r="T33" s="252">
        <f t="shared" si="14"/>
        <v>345.52316950847461</v>
      </c>
      <c r="U33" s="252"/>
    </row>
    <row r="34" spans="1:21" x14ac:dyDescent="0.25">
      <c r="A34" s="78" t="s">
        <v>172</v>
      </c>
      <c r="B34" s="50" t="s">
        <v>171</v>
      </c>
      <c r="C34" s="250"/>
      <c r="D34" s="258">
        <f>D30-D31-D32-D33</f>
        <v>19.624204235085017</v>
      </c>
      <c r="E34" s="254"/>
      <c r="F34" s="251"/>
      <c r="G34" s="259">
        <f>G30-G31</f>
        <v>1.0472211864407015</v>
      </c>
      <c r="H34" s="259">
        <f>H30-H31-H32-H33</f>
        <v>31.093227118643966</v>
      </c>
      <c r="I34" s="253"/>
      <c r="J34" s="259">
        <f>J30-J32-J33-J31</f>
        <v>2.7391960000016979E-2</v>
      </c>
      <c r="K34" s="259">
        <f>K30-K32-K33-K31</f>
        <v>2.8111319999993611E-2</v>
      </c>
      <c r="L34" s="253"/>
      <c r="M34" s="253"/>
      <c r="N34" s="253"/>
      <c r="O34" s="254"/>
      <c r="P34" s="254"/>
      <c r="Q34" s="254"/>
      <c r="R34" s="254"/>
      <c r="S34" s="254"/>
      <c r="T34" s="252">
        <f t="shared" si="14"/>
        <v>31.120619078643983</v>
      </c>
      <c r="U34" s="252"/>
    </row>
    <row r="35" spans="1:21" ht="31.5" x14ac:dyDescent="0.25">
      <c r="A35" s="78" t="s">
        <v>62</v>
      </c>
      <c r="B35" s="77" t="s">
        <v>170</v>
      </c>
      <c r="C35" s="250"/>
      <c r="D35" s="251"/>
      <c r="E35" s="253"/>
      <c r="F35" s="253"/>
      <c r="G35" s="253"/>
      <c r="H35" s="253"/>
      <c r="I35" s="253"/>
      <c r="J35" s="253"/>
      <c r="K35" s="253"/>
      <c r="L35" s="253"/>
      <c r="M35" s="253"/>
      <c r="N35" s="253"/>
      <c r="O35" s="254"/>
      <c r="P35" s="254"/>
      <c r="Q35" s="254"/>
      <c r="R35" s="254"/>
      <c r="S35" s="254"/>
      <c r="T35" s="252">
        <f t="shared" si="14"/>
        <v>0</v>
      </c>
      <c r="U35" s="252">
        <f t="shared" ref="U27:U35" si="15">G35+J35+N35+R35</f>
        <v>0</v>
      </c>
    </row>
    <row r="36" spans="1:21" ht="31.5" x14ac:dyDescent="0.25">
      <c r="A36" s="75" t="s">
        <v>169</v>
      </c>
      <c r="B36" s="74" t="s">
        <v>168</v>
      </c>
      <c r="C36" s="255"/>
      <c r="D36" s="251"/>
      <c r="E36" s="253"/>
      <c r="F36" s="253"/>
      <c r="G36" s="253"/>
      <c r="H36" s="253"/>
      <c r="I36" s="253"/>
      <c r="J36" s="253"/>
      <c r="K36" s="253"/>
      <c r="L36" s="253"/>
      <c r="M36" s="253"/>
      <c r="N36" s="253"/>
      <c r="O36" s="254"/>
      <c r="P36" s="254"/>
      <c r="Q36" s="254"/>
      <c r="R36" s="254"/>
      <c r="S36" s="254"/>
      <c r="T36" s="254"/>
      <c r="U36" s="252"/>
    </row>
    <row r="37" spans="1:21" x14ac:dyDescent="0.25">
      <c r="A37" s="75" t="s">
        <v>167</v>
      </c>
      <c r="B37" s="74" t="s">
        <v>157</v>
      </c>
      <c r="C37" s="255"/>
      <c r="D37" s="251"/>
      <c r="E37" s="253"/>
      <c r="F37" s="253"/>
      <c r="G37" s="253"/>
      <c r="H37" s="253"/>
      <c r="I37" s="253"/>
      <c r="J37" s="253"/>
      <c r="K37" s="253"/>
      <c r="L37" s="253"/>
      <c r="M37" s="253"/>
      <c r="N37" s="253"/>
      <c r="O37" s="254"/>
      <c r="P37" s="254"/>
      <c r="Q37" s="254"/>
      <c r="R37" s="254"/>
      <c r="S37" s="254"/>
      <c r="T37" s="254"/>
      <c r="U37" s="252"/>
    </row>
    <row r="38" spans="1:21" x14ac:dyDescent="0.25">
      <c r="A38" s="75" t="s">
        <v>166</v>
      </c>
      <c r="B38" s="74" t="s">
        <v>155</v>
      </c>
      <c r="C38" s="255"/>
      <c r="D38" s="251"/>
      <c r="E38" s="253"/>
      <c r="F38" s="253"/>
      <c r="G38" s="253"/>
      <c r="H38" s="253"/>
      <c r="I38" s="253"/>
      <c r="J38" s="253"/>
      <c r="K38" s="253"/>
      <c r="L38" s="253"/>
      <c r="M38" s="253"/>
      <c r="N38" s="253"/>
      <c r="O38" s="254"/>
      <c r="P38" s="254"/>
      <c r="Q38" s="254"/>
      <c r="R38" s="254"/>
      <c r="S38" s="254"/>
      <c r="T38" s="254"/>
      <c r="U38" s="252"/>
    </row>
    <row r="39" spans="1:21" ht="31.5" x14ac:dyDescent="0.25">
      <c r="A39" s="75" t="s">
        <v>165</v>
      </c>
      <c r="B39" s="50" t="s">
        <v>153</v>
      </c>
      <c r="C39" s="253"/>
      <c r="D39" s="254"/>
      <c r="E39" s="254"/>
      <c r="F39" s="253"/>
      <c r="G39" s="253"/>
      <c r="H39" s="253"/>
      <c r="I39" s="253"/>
      <c r="J39" s="253"/>
      <c r="K39" s="253"/>
      <c r="L39" s="253"/>
      <c r="M39" s="253"/>
      <c r="N39" s="253"/>
      <c r="O39" s="254"/>
      <c r="P39" s="254"/>
      <c r="Q39" s="254"/>
      <c r="R39" s="254"/>
      <c r="S39" s="254"/>
      <c r="T39" s="254"/>
      <c r="U39" s="252"/>
    </row>
    <row r="40" spans="1:21" ht="31.5" x14ac:dyDescent="0.25">
      <c r="A40" s="75" t="s">
        <v>164</v>
      </c>
      <c r="B40" s="50" t="s">
        <v>151</v>
      </c>
      <c r="C40" s="253"/>
      <c r="D40" s="260">
        <v>3.5419999999999998</v>
      </c>
      <c r="E40" s="260">
        <v>3.5419999999999998</v>
      </c>
      <c r="F40" s="261"/>
      <c r="G40" s="261"/>
      <c r="H40" s="261"/>
      <c r="I40" s="261"/>
      <c r="J40" s="261"/>
      <c r="K40" s="261"/>
      <c r="L40" s="260">
        <v>3.5419999999999998</v>
      </c>
      <c r="M40" s="261"/>
      <c r="N40" s="260"/>
      <c r="O40" s="260"/>
      <c r="P40" s="260"/>
      <c r="Q40" s="260"/>
      <c r="R40" s="260"/>
      <c r="S40" s="260"/>
      <c r="T40" s="252">
        <f>H40+J40+L40+P40</f>
        <v>3.5419999999999998</v>
      </c>
      <c r="U40" s="262">
        <f>G40+J40+N40+R40</f>
        <v>0</v>
      </c>
    </row>
    <row r="41" spans="1:21" x14ac:dyDescent="0.25">
      <c r="A41" s="75" t="s">
        <v>163</v>
      </c>
      <c r="B41" s="50" t="s">
        <v>149</v>
      </c>
      <c r="C41" s="253"/>
      <c r="D41" s="251"/>
      <c r="E41" s="253"/>
      <c r="F41" s="253"/>
      <c r="G41" s="253"/>
      <c r="H41" s="253"/>
      <c r="I41" s="253"/>
      <c r="J41" s="253"/>
      <c r="K41" s="253"/>
      <c r="L41" s="253"/>
      <c r="M41" s="253"/>
      <c r="N41" s="253"/>
      <c r="O41" s="254"/>
      <c r="P41" s="254"/>
      <c r="Q41" s="254"/>
      <c r="R41" s="254"/>
      <c r="S41" s="254"/>
      <c r="T41" s="254"/>
      <c r="U41" s="252"/>
    </row>
    <row r="42" spans="1:21" ht="18.75" x14ac:dyDescent="0.25">
      <c r="A42" s="75" t="s">
        <v>162</v>
      </c>
      <c r="B42" s="74" t="s">
        <v>147</v>
      </c>
      <c r="C42" s="255"/>
      <c r="D42" s="251"/>
      <c r="E42" s="253"/>
      <c r="F42" s="253"/>
      <c r="G42" s="253"/>
      <c r="H42" s="253"/>
      <c r="I42" s="253"/>
      <c r="J42" s="253"/>
      <c r="K42" s="253"/>
      <c r="L42" s="253"/>
      <c r="M42" s="253"/>
      <c r="N42" s="253"/>
      <c r="O42" s="254"/>
      <c r="P42" s="254"/>
      <c r="Q42" s="254"/>
      <c r="R42" s="254"/>
      <c r="S42" s="254"/>
      <c r="T42" s="254"/>
      <c r="U42" s="252"/>
    </row>
    <row r="43" spans="1:21" x14ac:dyDescent="0.25">
      <c r="A43" s="78" t="s">
        <v>61</v>
      </c>
      <c r="B43" s="77" t="s">
        <v>161</v>
      </c>
      <c r="C43" s="250"/>
      <c r="D43" s="251"/>
      <c r="E43" s="253"/>
      <c r="F43" s="253"/>
      <c r="G43" s="253"/>
      <c r="H43" s="253"/>
      <c r="I43" s="253"/>
      <c r="J43" s="253"/>
      <c r="K43" s="253"/>
      <c r="L43" s="253"/>
      <c r="M43" s="253"/>
      <c r="N43" s="253"/>
      <c r="O43" s="254"/>
      <c r="P43" s="254"/>
      <c r="Q43" s="254"/>
      <c r="R43" s="254"/>
      <c r="S43" s="254"/>
      <c r="T43" s="254"/>
      <c r="U43" s="252"/>
    </row>
    <row r="44" spans="1:21" x14ac:dyDescent="0.25">
      <c r="A44" s="75" t="s">
        <v>160</v>
      </c>
      <c r="B44" s="50" t="s">
        <v>159</v>
      </c>
      <c r="C44" s="253"/>
      <c r="D44" s="251"/>
      <c r="E44" s="253"/>
      <c r="F44" s="253"/>
      <c r="G44" s="253"/>
      <c r="H44" s="253"/>
      <c r="I44" s="253"/>
      <c r="J44" s="253"/>
      <c r="K44" s="253"/>
      <c r="L44" s="253"/>
      <c r="M44" s="253"/>
      <c r="N44" s="253"/>
      <c r="O44" s="254"/>
      <c r="P44" s="254"/>
      <c r="Q44" s="254"/>
      <c r="R44" s="254"/>
      <c r="S44" s="254"/>
      <c r="T44" s="254"/>
      <c r="U44" s="252"/>
    </row>
    <row r="45" spans="1:21" x14ac:dyDescent="0.25">
      <c r="A45" s="75" t="s">
        <v>158</v>
      </c>
      <c r="B45" s="50" t="s">
        <v>157</v>
      </c>
      <c r="C45" s="253"/>
      <c r="D45" s="251"/>
      <c r="E45" s="253"/>
      <c r="F45" s="253"/>
      <c r="G45" s="253"/>
      <c r="H45" s="253"/>
      <c r="I45" s="253"/>
      <c r="J45" s="253"/>
      <c r="K45" s="253"/>
      <c r="L45" s="253"/>
      <c r="M45" s="253"/>
      <c r="N45" s="253"/>
      <c r="O45" s="254"/>
      <c r="P45" s="254"/>
      <c r="Q45" s="254"/>
      <c r="R45" s="254"/>
      <c r="S45" s="254"/>
      <c r="T45" s="254"/>
      <c r="U45" s="252"/>
    </row>
    <row r="46" spans="1:21" x14ac:dyDescent="0.25">
      <c r="A46" s="75" t="s">
        <v>156</v>
      </c>
      <c r="B46" s="50" t="s">
        <v>155</v>
      </c>
      <c r="C46" s="253"/>
      <c r="D46" s="251"/>
      <c r="E46" s="253"/>
      <c r="F46" s="253"/>
      <c r="G46" s="253"/>
      <c r="H46" s="253"/>
      <c r="I46" s="253"/>
      <c r="J46" s="253"/>
      <c r="K46" s="253"/>
      <c r="L46" s="253"/>
      <c r="M46" s="253"/>
      <c r="N46" s="253"/>
      <c r="O46" s="254"/>
      <c r="P46" s="254"/>
      <c r="Q46" s="254"/>
      <c r="R46" s="254"/>
      <c r="S46" s="254"/>
      <c r="T46" s="254"/>
      <c r="U46" s="252"/>
    </row>
    <row r="47" spans="1:21" ht="31.5" x14ac:dyDescent="0.25">
      <c r="A47" s="75" t="s">
        <v>154</v>
      </c>
      <c r="B47" s="50" t="s">
        <v>153</v>
      </c>
      <c r="C47" s="253"/>
      <c r="D47" s="251"/>
      <c r="E47" s="253"/>
      <c r="F47" s="253"/>
      <c r="G47" s="253"/>
      <c r="H47" s="253"/>
      <c r="I47" s="253"/>
      <c r="J47" s="253"/>
      <c r="K47" s="253"/>
      <c r="L47" s="253"/>
      <c r="M47" s="253"/>
      <c r="N47" s="253"/>
      <c r="O47" s="254"/>
      <c r="P47" s="254"/>
      <c r="Q47" s="254"/>
      <c r="R47" s="254"/>
      <c r="S47" s="254"/>
      <c r="T47" s="254"/>
      <c r="U47" s="252"/>
    </row>
    <row r="48" spans="1:21" ht="31.5" x14ac:dyDescent="0.25">
      <c r="A48" s="75" t="s">
        <v>152</v>
      </c>
      <c r="B48" s="50" t="s">
        <v>151</v>
      </c>
      <c r="C48" s="253"/>
      <c r="D48" s="260">
        <v>3.5419999999999998</v>
      </c>
      <c r="E48" s="260">
        <v>3.5419999999999998</v>
      </c>
      <c r="F48" s="261"/>
      <c r="G48" s="261"/>
      <c r="H48" s="261"/>
      <c r="I48" s="261"/>
      <c r="J48" s="261"/>
      <c r="K48" s="261"/>
      <c r="L48" s="260">
        <v>3.5419999999999998</v>
      </c>
      <c r="M48" s="261"/>
      <c r="N48" s="260"/>
      <c r="O48" s="260"/>
      <c r="P48" s="260"/>
      <c r="Q48" s="260"/>
      <c r="R48" s="260"/>
      <c r="S48" s="260"/>
      <c r="T48" s="252">
        <f>H48+J48+L48+P48</f>
        <v>3.5419999999999998</v>
      </c>
      <c r="U48" s="262">
        <f>G48+J48+N48+R48</f>
        <v>0</v>
      </c>
    </row>
    <row r="49" spans="1:21" x14ac:dyDescent="0.25">
      <c r="A49" s="75" t="s">
        <v>150</v>
      </c>
      <c r="B49" s="50" t="s">
        <v>149</v>
      </c>
      <c r="C49" s="253"/>
      <c r="D49" s="251"/>
      <c r="E49" s="253"/>
      <c r="F49" s="253"/>
      <c r="G49" s="253"/>
      <c r="H49" s="253"/>
      <c r="I49" s="253"/>
      <c r="J49" s="253"/>
      <c r="K49" s="253"/>
      <c r="L49" s="253"/>
      <c r="M49" s="253"/>
      <c r="N49" s="253"/>
      <c r="O49" s="254"/>
      <c r="P49" s="254"/>
      <c r="Q49" s="254"/>
      <c r="R49" s="254"/>
      <c r="S49" s="254"/>
      <c r="T49" s="254"/>
      <c r="U49" s="252"/>
    </row>
    <row r="50" spans="1:21" ht="18.75" x14ac:dyDescent="0.25">
      <c r="A50" s="75" t="s">
        <v>148</v>
      </c>
      <c r="B50" s="74" t="s">
        <v>147</v>
      </c>
      <c r="C50" s="255"/>
      <c r="D50" s="251"/>
      <c r="E50" s="253"/>
      <c r="F50" s="253"/>
      <c r="G50" s="253"/>
      <c r="H50" s="253"/>
      <c r="I50" s="253"/>
      <c r="J50" s="253"/>
      <c r="K50" s="253"/>
      <c r="L50" s="253"/>
      <c r="M50" s="253"/>
      <c r="N50" s="253"/>
      <c r="O50" s="254"/>
      <c r="P50" s="254"/>
      <c r="Q50" s="254"/>
      <c r="R50" s="254"/>
      <c r="S50" s="254"/>
      <c r="T50" s="254"/>
      <c r="U50" s="252"/>
    </row>
    <row r="51" spans="1:21" ht="35.25" customHeight="1" x14ac:dyDescent="0.25">
      <c r="A51" s="78" t="s">
        <v>59</v>
      </c>
      <c r="B51" s="77" t="s">
        <v>146</v>
      </c>
      <c r="C51" s="250"/>
      <c r="D51" s="251"/>
      <c r="E51" s="251"/>
      <c r="F51" s="251"/>
      <c r="G51" s="253"/>
      <c r="H51" s="253"/>
      <c r="I51" s="253"/>
      <c r="J51" s="253"/>
      <c r="K51" s="253"/>
      <c r="L51" s="253"/>
      <c r="M51" s="253"/>
      <c r="N51" s="253"/>
      <c r="O51" s="254"/>
      <c r="P51" s="254"/>
      <c r="Q51" s="254"/>
      <c r="R51" s="254"/>
      <c r="S51" s="254"/>
      <c r="T51" s="254"/>
      <c r="U51" s="252"/>
    </row>
    <row r="52" spans="1:21" x14ac:dyDescent="0.25">
      <c r="A52" s="75" t="s">
        <v>145</v>
      </c>
      <c r="B52" s="50" t="s">
        <v>144</v>
      </c>
      <c r="C52" s="250"/>
      <c r="D52" s="258">
        <f>D30</f>
        <v>383.62520423508499</v>
      </c>
      <c r="E52" s="258">
        <f>D52</f>
        <v>383.62520423508499</v>
      </c>
      <c r="F52" s="251"/>
      <c r="G52" s="253"/>
      <c r="H52" s="253"/>
      <c r="I52" s="253"/>
      <c r="J52" s="253"/>
      <c r="K52" s="253"/>
      <c r="L52" s="258">
        <f>D52</f>
        <v>383.62520423508499</v>
      </c>
      <c r="M52" s="253"/>
      <c r="N52" s="258"/>
      <c r="O52" s="254"/>
      <c r="P52" s="254"/>
      <c r="Q52" s="254"/>
      <c r="R52" s="254"/>
      <c r="S52" s="254"/>
      <c r="T52" s="254"/>
      <c r="U52" s="251">
        <f t="shared" ref="U52:U56" si="16">G52+J52+N52+R52</f>
        <v>0</v>
      </c>
    </row>
    <row r="53" spans="1:21" x14ac:dyDescent="0.25">
      <c r="A53" s="75" t="s">
        <v>143</v>
      </c>
      <c r="B53" s="50" t="s">
        <v>137</v>
      </c>
      <c r="C53" s="253"/>
      <c r="D53" s="251"/>
      <c r="E53" s="251"/>
      <c r="F53" s="251"/>
      <c r="G53" s="253"/>
      <c r="H53" s="253"/>
      <c r="I53" s="253"/>
      <c r="J53" s="253"/>
      <c r="K53" s="253"/>
      <c r="L53" s="253"/>
      <c r="M53" s="253"/>
      <c r="N53" s="253"/>
      <c r="O53" s="254"/>
      <c r="P53" s="254"/>
      <c r="Q53" s="254"/>
      <c r="R53" s="254"/>
      <c r="S53" s="254"/>
      <c r="T53" s="254"/>
      <c r="U53" s="252">
        <f t="shared" si="16"/>
        <v>0</v>
      </c>
    </row>
    <row r="54" spans="1:21" x14ac:dyDescent="0.25">
      <c r="A54" s="75" t="s">
        <v>142</v>
      </c>
      <c r="B54" s="74" t="s">
        <v>136</v>
      </c>
      <c r="C54" s="255"/>
      <c r="D54" s="251"/>
      <c r="E54" s="251"/>
      <c r="F54" s="251"/>
      <c r="G54" s="253"/>
      <c r="H54" s="253"/>
      <c r="I54" s="253"/>
      <c r="J54" s="253"/>
      <c r="K54" s="253"/>
      <c r="L54" s="253"/>
      <c r="M54" s="253"/>
      <c r="N54" s="253"/>
      <c r="O54" s="254"/>
      <c r="P54" s="254"/>
      <c r="Q54" s="254"/>
      <c r="R54" s="254"/>
      <c r="S54" s="254"/>
      <c r="T54" s="254"/>
      <c r="U54" s="252">
        <f t="shared" si="16"/>
        <v>0</v>
      </c>
    </row>
    <row r="55" spans="1:21" x14ac:dyDescent="0.25">
      <c r="A55" s="75" t="s">
        <v>141</v>
      </c>
      <c r="B55" s="74" t="s">
        <v>135</v>
      </c>
      <c r="C55" s="255"/>
      <c r="D55" s="251"/>
      <c r="E55" s="251"/>
      <c r="F55" s="251"/>
      <c r="G55" s="253"/>
      <c r="H55" s="253"/>
      <c r="I55" s="253"/>
      <c r="J55" s="253"/>
      <c r="K55" s="253"/>
      <c r="L55" s="253"/>
      <c r="M55" s="253"/>
      <c r="N55" s="253"/>
      <c r="O55" s="254"/>
      <c r="P55" s="254"/>
      <c r="Q55" s="254"/>
      <c r="R55" s="254"/>
      <c r="S55" s="254"/>
      <c r="T55" s="254"/>
      <c r="U55" s="252">
        <f t="shared" si="16"/>
        <v>0</v>
      </c>
    </row>
    <row r="56" spans="1:21" x14ac:dyDescent="0.25">
      <c r="A56" s="75" t="s">
        <v>140</v>
      </c>
      <c r="B56" s="74" t="s">
        <v>134</v>
      </c>
      <c r="C56" s="255"/>
      <c r="D56" s="260">
        <v>3.5419999999999998</v>
      </c>
      <c r="E56" s="260">
        <v>3.5419999999999998</v>
      </c>
      <c r="F56" s="261"/>
      <c r="G56" s="261"/>
      <c r="H56" s="261"/>
      <c r="I56" s="261"/>
      <c r="J56" s="261"/>
      <c r="K56" s="261"/>
      <c r="L56" s="260">
        <v>3.5419999999999998</v>
      </c>
      <c r="M56" s="261"/>
      <c r="N56" s="260"/>
      <c r="O56" s="260"/>
      <c r="P56" s="260"/>
      <c r="Q56" s="260"/>
      <c r="R56" s="260"/>
      <c r="S56" s="260"/>
      <c r="T56" s="260"/>
      <c r="U56" s="262">
        <f t="shared" si="16"/>
        <v>0</v>
      </c>
    </row>
    <row r="57" spans="1:21" ht="18.75" x14ac:dyDescent="0.25">
      <c r="A57" s="75" t="s">
        <v>139</v>
      </c>
      <c r="B57" s="74" t="s">
        <v>133</v>
      </c>
      <c r="C57" s="255"/>
      <c r="D57" s="251"/>
      <c r="E57" s="251"/>
      <c r="F57" s="251"/>
      <c r="G57" s="253"/>
      <c r="H57" s="253"/>
      <c r="I57" s="253"/>
      <c r="J57" s="253"/>
      <c r="K57" s="253"/>
      <c r="L57" s="253"/>
      <c r="M57" s="253"/>
      <c r="N57" s="253"/>
      <c r="O57" s="254"/>
      <c r="P57" s="254"/>
      <c r="Q57" s="254"/>
      <c r="R57" s="254"/>
      <c r="S57" s="254"/>
      <c r="T57" s="254"/>
      <c r="U57" s="252"/>
    </row>
    <row r="58" spans="1:21" ht="36.75" customHeight="1" x14ac:dyDescent="0.25">
      <c r="A58" s="78" t="s">
        <v>58</v>
      </c>
      <c r="B58" s="98" t="s">
        <v>224</v>
      </c>
      <c r="C58" s="255"/>
      <c r="D58" s="251"/>
      <c r="E58" s="251"/>
      <c r="F58" s="251"/>
      <c r="G58" s="253"/>
      <c r="H58" s="253"/>
      <c r="I58" s="253"/>
      <c r="J58" s="253"/>
      <c r="K58" s="253"/>
      <c r="L58" s="253"/>
      <c r="M58" s="253"/>
      <c r="N58" s="253"/>
      <c r="O58" s="254"/>
      <c r="P58" s="254"/>
      <c r="Q58" s="254"/>
      <c r="R58" s="254"/>
      <c r="S58" s="254"/>
      <c r="T58" s="254"/>
      <c r="U58" s="252"/>
    </row>
    <row r="59" spans="1:21" x14ac:dyDescent="0.25">
      <c r="A59" s="78" t="s">
        <v>56</v>
      </c>
      <c r="B59" s="77" t="s">
        <v>138</v>
      </c>
      <c r="C59" s="251"/>
      <c r="D59" s="251"/>
      <c r="E59" s="253"/>
      <c r="F59" s="253"/>
      <c r="G59" s="253"/>
      <c r="H59" s="253"/>
      <c r="I59" s="253"/>
      <c r="J59" s="253"/>
      <c r="K59" s="253"/>
      <c r="L59" s="253"/>
      <c r="M59" s="253"/>
      <c r="N59" s="253"/>
      <c r="O59" s="254"/>
      <c r="P59" s="254"/>
      <c r="Q59" s="254"/>
      <c r="R59" s="254"/>
      <c r="S59" s="254"/>
      <c r="T59" s="254"/>
      <c r="U59" s="252"/>
    </row>
    <row r="60" spans="1:21" x14ac:dyDescent="0.25">
      <c r="A60" s="75" t="s">
        <v>218</v>
      </c>
      <c r="B60" s="76" t="s">
        <v>159</v>
      </c>
      <c r="C60" s="256"/>
      <c r="D60" s="251"/>
      <c r="E60" s="253"/>
      <c r="F60" s="253"/>
      <c r="G60" s="253"/>
      <c r="H60" s="253"/>
      <c r="I60" s="253"/>
      <c r="J60" s="253"/>
      <c r="K60" s="253"/>
      <c r="L60" s="253"/>
      <c r="M60" s="253"/>
      <c r="N60" s="253"/>
      <c r="O60" s="254"/>
      <c r="P60" s="254"/>
      <c r="Q60" s="254"/>
      <c r="R60" s="254"/>
      <c r="S60" s="254"/>
      <c r="T60" s="254"/>
      <c r="U60" s="252"/>
    </row>
    <row r="61" spans="1:21" x14ac:dyDescent="0.25">
      <c r="A61" s="75" t="s">
        <v>219</v>
      </c>
      <c r="B61" s="76" t="s">
        <v>157</v>
      </c>
      <c r="C61" s="256"/>
      <c r="D61" s="251"/>
      <c r="E61" s="253"/>
      <c r="F61" s="253"/>
      <c r="G61" s="253"/>
      <c r="H61" s="253"/>
      <c r="I61" s="253"/>
      <c r="J61" s="253"/>
      <c r="K61" s="253"/>
      <c r="L61" s="253"/>
      <c r="M61" s="253"/>
      <c r="N61" s="253"/>
      <c r="O61" s="254"/>
      <c r="P61" s="254"/>
      <c r="Q61" s="254"/>
      <c r="R61" s="254"/>
      <c r="S61" s="254"/>
      <c r="T61" s="254"/>
      <c r="U61" s="252"/>
    </row>
    <row r="62" spans="1:21" x14ac:dyDescent="0.25">
      <c r="A62" s="75" t="s">
        <v>220</v>
      </c>
      <c r="B62" s="76" t="s">
        <v>155</v>
      </c>
      <c r="C62" s="256"/>
      <c r="D62" s="251"/>
      <c r="E62" s="253"/>
      <c r="F62" s="253"/>
      <c r="G62" s="253"/>
      <c r="H62" s="253"/>
      <c r="I62" s="253"/>
      <c r="J62" s="253"/>
      <c r="K62" s="253"/>
      <c r="L62" s="253"/>
      <c r="M62" s="253"/>
      <c r="N62" s="253"/>
      <c r="O62" s="254"/>
      <c r="P62" s="254"/>
      <c r="Q62" s="254"/>
      <c r="R62" s="254"/>
      <c r="S62" s="254"/>
      <c r="T62" s="254"/>
      <c r="U62" s="252"/>
    </row>
    <row r="63" spans="1:21" x14ac:dyDescent="0.25">
      <c r="A63" s="75" t="s">
        <v>221</v>
      </c>
      <c r="B63" s="76" t="s">
        <v>223</v>
      </c>
      <c r="C63" s="256"/>
      <c r="D63" s="260">
        <v>3.5419999999999998</v>
      </c>
      <c r="E63" s="260">
        <v>3.5419999999999998</v>
      </c>
      <c r="F63" s="261"/>
      <c r="G63" s="261"/>
      <c r="H63" s="261"/>
      <c r="I63" s="261"/>
      <c r="J63" s="261"/>
      <c r="K63" s="261"/>
      <c r="L63" s="260">
        <v>3.5419999999999998</v>
      </c>
      <c r="M63" s="261"/>
      <c r="N63" s="260"/>
      <c r="O63" s="260"/>
      <c r="P63" s="260"/>
      <c r="Q63" s="260"/>
      <c r="R63" s="260"/>
      <c r="S63" s="260"/>
      <c r="T63" s="260"/>
      <c r="U63" s="262">
        <f>J63+N63+R63</f>
        <v>0</v>
      </c>
    </row>
    <row r="64" spans="1:21" ht="18.75" x14ac:dyDescent="0.25">
      <c r="A64" s="75" t="s">
        <v>222</v>
      </c>
      <c r="B64" s="74" t="s">
        <v>133</v>
      </c>
      <c r="C64" s="255"/>
      <c r="D64" s="251"/>
      <c r="E64" s="253"/>
      <c r="F64" s="253"/>
      <c r="G64" s="253"/>
      <c r="H64" s="253"/>
      <c r="I64" s="253"/>
      <c r="J64" s="253"/>
      <c r="K64" s="253"/>
      <c r="L64" s="253"/>
      <c r="M64" s="253"/>
      <c r="N64" s="253"/>
      <c r="O64" s="254"/>
      <c r="P64" s="254"/>
      <c r="Q64" s="254"/>
      <c r="R64" s="254"/>
      <c r="S64" s="254"/>
      <c r="T64" s="254"/>
      <c r="U64" s="252"/>
    </row>
    <row r="65" spans="1:20" x14ac:dyDescent="0.25">
      <c r="A65" s="71"/>
      <c r="B65" s="72"/>
      <c r="C65" s="72"/>
      <c r="D65" s="72"/>
      <c r="E65" s="72"/>
      <c r="F65" s="72"/>
      <c r="G65" s="72"/>
      <c r="H65" s="72"/>
      <c r="I65" s="72"/>
      <c r="J65" s="72"/>
      <c r="K65" s="72"/>
      <c r="L65" s="71"/>
      <c r="M65" s="71"/>
      <c r="N65" s="62"/>
      <c r="O65" s="62"/>
      <c r="P65" s="62"/>
      <c r="Q65" s="62"/>
      <c r="R65" s="62"/>
      <c r="S65" s="62"/>
      <c r="T65" s="62"/>
    </row>
    <row r="66" spans="1:20" ht="54" customHeight="1" x14ac:dyDescent="0.25">
      <c r="A66" s="62"/>
      <c r="B66" s="406"/>
      <c r="C66" s="406"/>
      <c r="D66" s="406"/>
      <c r="E66" s="406"/>
      <c r="F66" s="406"/>
      <c r="G66" s="406"/>
      <c r="H66" s="406"/>
      <c r="I66" s="406"/>
      <c r="J66" s="66"/>
      <c r="K66" s="66"/>
      <c r="L66" s="70"/>
      <c r="M66" s="70"/>
      <c r="N66" s="70"/>
      <c r="O66" s="70"/>
      <c r="P66" s="70"/>
      <c r="Q66" s="70"/>
      <c r="R66" s="70"/>
      <c r="S66" s="70"/>
      <c r="T66" s="70"/>
    </row>
    <row r="67" spans="1:20" x14ac:dyDescent="0.25">
      <c r="A67" s="62"/>
      <c r="B67" s="62"/>
      <c r="C67" s="62"/>
      <c r="D67" s="62"/>
      <c r="E67" s="62"/>
      <c r="F67" s="62"/>
      <c r="L67" s="62"/>
      <c r="M67" s="62"/>
      <c r="N67" s="62"/>
      <c r="O67" s="62"/>
      <c r="P67" s="62"/>
      <c r="Q67" s="62"/>
      <c r="R67" s="62"/>
      <c r="S67" s="62"/>
      <c r="T67" s="62"/>
    </row>
    <row r="68" spans="1:20" ht="50.25" customHeight="1" x14ac:dyDescent="0.25">
      <c r="A68" s="62"/>
      <c r="B68" s="407"/>
      <c r="C68" s="407"/>
      <c r="D68" s="407"/>
      <c r="E68" s="407"/>
      <c r="F68" s="407"/>
      <c r="G68" s="407"/>
      <c r="H68" s="407"/>
      <c r="I68" s="407"/>
      <c r="J68" s="67"/>
      <c r="K68" s="67"/>
      <c r="L68" s="62"/>
      <c r="M68" s="62"/>
      <c r="N68" s="62"/>
      <c r="O68" s="62"/>
      <c r="P68" s="62"/>
      <c r="Q68" s="62"/>
      <c r="R68" s="62"/>
      <c r="S68" s="62"/>
      <c r="T68" s="62"/>
    </row>
    <row r="69" spans="1:20" x14ac:dyDescent="0.25">
      <c r="A69" s="62"/>
      <c r="B69" s="62"/>
      <c r="C69" s="62"/>
      <c r="D69" s="62"/>
      <c r="E69" s="62"/>
      <c r="F69" s="62"/>
      <c r="L69" s="62"/>
      <c r="M69" s="62"/>
      <c r="N69" s="62"/>
      <c r="O69" s="62"/>
      <c r="P69" s="62"/>
      <c r="Q69" s="62"/>
      <c r="R69" s="62"/>
      <c r="S69" s="62"/>
      <c r="T69" s="62"/>
    </row>
    <row r="70" spans="1:20" ht="36.75" customHeight="1" x14ac:dyDescent="0.25">
      <c r="A70" s="62"/>
      <c r="B70" s="406"/>
      <c r="C70" s="406"/>
      <c r="D70" s="406"/>
      <c r="E70" s="406"/>
      <c r="F70" s="406"/>
      <c r="G70" s="406"/>
      <c r="H70" s="406"/>
      <c r="I70" s="406"/>
      <c r="J70" s="66"/>
      <c r="K70" s="66"/>
      <c r="L70" s="62"/>
      <c r="M70" s="62"/>
      <c r="N70" s="62"/>
      <c r="O70" s="62"/>
      <c r="P70" s="62"/>
      <c r="Q70" s="62"/>
      <c r="R70" s="62"/>
      <c r="S70" s="62"/>
      <c r="T70" s="62"/>
    </row>
    <row r="71" spans="1:20" x14ac:dyDescent="0.25">
      <c r="A71" s="62"/>
      <c r="B71" s="69"/>
      <c r="C71" s="69"/>
      <c r="D71" s="69"/>
      <c r="E71" s="69"/>
      <c r="F71" s="69"/>
      <c r="L71" s="62"/>
      <c r="M71" s="62"/>
      <c r="N71" s="68"/>
      <c r="O71" s="62"/>
      <c r="P71" s="62"/>
      <c r="Q71" s="62"/>
      <c r="R71" s="62"/>
      <c r="S71" s="62"/>
      <c r="T71" s="62"/>
    </row>
    <row r="72" spans="1:20" ht="51" customHeight="1" x14ac:dyDescent="0.25">
      <c r="A72" s="62"/>
      <c r="B72" s="406"/>
      <c r="C72" s="406"/>
      <c r="D72" s="406"/>
      <c r="E72" s="406"/>
      <c r="F72" s="406"/>
      <c r="G72" s="406"/>
      <c r="H72" s="406"/>
      <c r="I72" s="406"/>
      <c r="J72" s="66"/>
      <c r="K72" s="66"/>
      <c r="L72" s="62"/>
      <c r="M72" s="62"/>
      <c r="N72" s="68"/>
      <c r="O72" s="62"/>
      <c r="P72" s="62"/>
      <c r="Q72" s="62"/>
      <c r="R72" s="62"/>
      <c r="S72" s="62"/>
      <c r="T72" s="62"/>
    </row>
    <row r="73" spans="1:20" ht="32.25" customHeight="1" x14ac:dyDescent="0.25">
      <c r="A73" s="62"/>
      <c r="B73" s="407"/>
      <c r="C73" s="407"/>
      <c r="D73" s="407"/>
      <c r="E73" s="407"/>
      <c r="F73" s="407"/>
      <c r="G73" s="407"/>
      <c r="H73" s="407"/>
      <c r="I73" s="407"/>
      <c r="J73" s="67"/>
      <c r="K73" s="67"/>
      <c r="L73" s="62"/>
      <c r="M73" s="62"/>
      <c r="N73" s="62"/>
      <c r="O73" s="62"/>
      <c r="P73" s="62"/>
      <c r="Q73" s="62"/>
      <c r="R73" s="62"/>
      <c r="S73" s="62"/>
      <c r="T73" s="62"/>
    </row>
    <row r="74" spans="1:20" ht="51.75" customHeight="1" x14ac:dyDescent="0.25">
      <c r="A74" s="62"/>
      <c r="B74" s="406"/>
      <c r="C74" s="406"/>
      <c r="D74" s="406"/>
      <c r="E74" s="406"/>
      <c r="F74" s="406"/>
      <c r="G74" s="406"/>
      <c r="H74" s="406"/>
      <c r="I74" s="406"/>
      <c r="J74" s="66"/>
      <c r="K74" s="66"/>
      <c r="L74" s="62"/>
      <c r="M74" s="62"/>
      <c r="N74" s="62"/>
      <c r="O74" s="62"/>
      <c r="P74" s="62"/>
      <c r="Q74" s="62"/>
      <c r="R74" s="62"/>
      <c r="S74" s="62"/>
      <c r="T74" s="62"/>
    </row>
    <row r="75" spans="1:20" ht="21.75" customHeight="1" x14ac:dyDescent="0.25">
      <c r="A75" s="62"/>
      <c r="B75" s="404"/>
      <c r="C75" s="404"/>
      <c r="D75" s="404"/>
      <c r="E75" s="404"/>
      <c r="F75" s="404"/>
      <c r="G75" s="404"/>
      <c r="H75" s="404"/>
      <c r="I75" s="404"/>
      <c r="J75" s="65"/>
      <c r="K75" s="65"/>
      <c r="L75" s="64"/>
      <c r="M75" s="64"/>
      <c r="N75" s="62"/>
      <c r="O75" s="62"/>
      <c r="P75" s="62"/>
      <c r="Q75" s="62"/>
      <c r="R75" s="62"/>
      <c r="S75" s="62"/>
      <c r="T75" s="62"/>
    </row>
    <row r="76" spans="1:20" ht="23.25" customHeight="1" x14ac:dyDescent="0.25">
      <c r="A76" s="62"/>
      <c r="B76" s="64"/>
      <c r="C76" s="64"/>
      <c r="D76" s="64"/>
      <c r="E76" s="64"/>
      <c r="F76" s="64"/>
      <c r="L76" s="62"/>
      <c r="M76" s="62"/>
      <c r="N76" s="62"/>
      <c r="O76" s="62"/>
      <c r="P76" s="62"/>
      <c r="Q76" s="62"/>
      <c r="R76" s="62"/>
      <c r="S76" s="62"/>
      <c r="T76" s="62"/>
    </row>
    <row r="77" spans="1:20" ht="18.75" customHeight="1" x14ac:dyDescent="0.25">
      <c r="A77" s="62"/>
      <c r="B77" s="405"/>
      <c r="C77" s="405"/>
      <c r="D77" s="405"/>
      <c r="E77" s="405"/>
      <c r="F77" s="405"/>
      <c r="G77" s="405"/>
      <c r="H77" s="405"/>
      <c r="I77" s="405"/>
      <c r="J77" s="63"/>
      <c r="K77" s="63"/>
      <c r="L77" s="62"/>
      <c r="M77" s="62"/>
      <c r="N77" s="62"/>
      <c r="O77" s="62"/>
      <c r="P77" s="62"/>
      <c r="Q77" s="62"/>
      <c r="R77" s="62"/>
      <c r="S77" s="62"/>
      <c r="T77" s="62"/>
    </row>
    <row r="78" spans="1:20" x14ac:dyDescent="0.25">
      <c r="A78" s="62"/>
      <c r="B78" s="62"/>
      <c r="C78" s="62"/>
      <c r="D78" s="62"/>
      <c r="E78" s="62"/>
      <c r="F78" s="62"/>
      <c r="L78" s="62"/>
      <c r="M78" s="62"/>
      <c r="N78" s="62"/>
      <c r="O78" s="62"/>
      <c r="P78" s="62"/>
      <c r="Q78" s="62"/>
      <c r="R78" s="62"/>
      <c r="S78" s="62"/>
      <c r="T78" s="62"/>
    </row>
    <row r="79" spans="1:20" x14ac:dyDescent="0.25">
      <c r="A79" s="62"/>
      <c r="B79" s="62"/>
      <c r="C79" s="62"/>
      <c r="D79" s="62"/>
      <c r="E79" s="62"/>
      <c r="F79" s="62"/>
      <c r="L79" s="62"/>
      <c r="M79" s="62"/>
      <c r="N79" s="62"/>
      <c r="O79" s="62"/>
      <c r="P79" s="62"/>
      <c r="Q79" s="62"/>
      <c r="R79" s="62"/>
      <c r="S79" s="62"/>
      <c r="T79" s="62"/>
    </row>
    <row r="80" spans="1:20"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G13" zoomScaleSheetLayoutView="100" workbookViewId="0">
      <selection activeCell="D30" sqref="D30"/>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51.42578125" style="19" customWidth="1"/>
    <col min="15" max="15" width="20" style="19" customWidth="1"/>
    <col min="16" max="16" width="18" style="19" customWidth="1"/>
    <col min="17" max="17" width="18.85546875" style="19" customWidth="1"/>
    <col min="18" max="18" width="22.42578125" style="19" customWidth="1"/>
    <col min="19" max="20" width="9.7109375" style="19" customWidth="1"/>
    <col min="21" max="21" width="11.42578125" style="19" customWidth="1"/>
    <col min="22" max="22" width="12.7109375" style="19" customWidth="1"/>
    <col min="23" max="23" width="23.140625" style="19" customWidth="1"/>
    <col min="24" max="24" width="21.140625" style="19" customWidth="1"/>
    <col min="25" max="25" width="16.28515625" style="19" customWidth="1"/>
    <col min="26" max="26" width="10.42578125" style="19" customWidth="1"/>
    <col min="27" max="27" width="16" style="19" customWidth="1"/>
    <col min="28" max="28" width="17" style="19" customWidth="1"/>
    <col min="29" max="29" width="22.42578125" style="19" customWidth="1"/>
    <col min="30" max="31" width="15.85546875" style="19" customWidth="1"/>
    <col min="32" max="32" width="14.85546875" style="19" customWidth="1"/>
    <col min="33" max="33" width="15.5703125" style="19" customWidth="1"/>
    <col min="34" max="34" width="15" style="19" customWidth="1"/>
    <col min="35" max="35" width="13.7109375" style="19" customWidth="1"/>
    <col min="36" max="36" width="17.85546875" style="19" customWidth="1"/>
    <col min="37" max="37" width="19" style="19" customWidth="1"/>
    <col min="38" max="38" width="15" style="19" customWidth="1"/>
    <col min="39" max="39" width="13.42578125" style="19" customWidth="1"/>
    <col min="40" max="40" width="16.42578125" style="19" customWidth="1"/>
    <col min="41" max="41" width="12.28515625" style="19" customWidth="1"/>
    <col min="42" max="42" width="12.42578125" style="19" customWidth="1"/>
    <col min="43" max="43" width="16.42578125"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69</v>
      </c>
    </row>
    <row r="2" spans="1:48" ht="18.75" x14ac:dyDescent="0.3">
      <c r="AV2" s="15" t="s">
        <v>10</v>
      </c>
    </row>
    <row r="3" spans="1:48" ht="18.75" x14ac:dyDescent="0.3">
      <c r="AV3" s="15" t="s">
        <v>68</v>
      </c>
    </row>
    <row r="4" spans="1:48" ht="18.75" x14ac:dyDescent="0.3">
      <c r="AV4" s="15"/>
    </row>
    <row r="5" spans="1:48" ht="18.75" customHeight="1" x14ac:dyDescent="0.25">
      <c r="A5" s="339" t="str">
        <f>'1. паспорт местоположение'!A5:C5</f>
        <v>Год раскрытия информации: 2016 год</v>
      </c>
      <c r="B5" s="339"/>
      <c r="C5" s="339"/>
      <c r="D5" s="339"/>
      <c r="E5" s="339"/>
      <c r="F5" s="339"/>
      <c r="G5" s="339"/>
      <c r="H5" s="339"/>
      <c r="I5" s="339"/>
      <c r="J5" s="339"/>
      <c r="K5" s="339"/>
      <c r="L5" s="339"/>
      <c r="M5" s="339"/>
      <c r="N5" s="339"/>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39"/>
      <c r="AO5" s="339"/>
      <c r="AP5" s="339"/>
      <c r="AQ5" s="339"/>
      <c r="AR5" s="339"/>
      <c r="AS5" s="339"/>
      <c r="AT5" s="339"/>
      <c r="AU5" s="339"/>
      <c r="AV5" s="339"/>
    </row>
    <row r="6" spans="1:48" ht="18.75" x14ac:dyDescent="0.3">
      <c r="AV6" s="15"/>
    </row>
    <row r="7" spans="1:48" ht="18.75" x14ac:dyDescent="0.25">
      <c r="A7" s="332" t="s">
        <v>9</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c r="AS7" s="332"/>
      <c r="AT7" s="332"/>
      <c r="AU7" s="332"/>
      <c r="AV7" s="332"/>
    </row>
    <row r="8" spans="1:48" ht="18.75" x14ac:dyDescent="0.25">
      <c r="A8" s="332"/>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c r="AI8" s="332"/>
      <c r="AJ8" s="332"/>
      <c r="AK8" s="332"/>
      <c r="AL8" s="332"/>
      <c r="AM8" s="332"/>
      <c r="AN8" s="332"/>
      <c r="AO8" s="332"/>
      <c r="AP8" s="332"/>
      <c r="AQ8" s="332"/>
      <c r="AR8" s="332"/>
      <c r="AS8" s="332"/>
      <c r="AT8" s="332"/>
      <c r="AU8" s="332"/>
      <c r="AV8" s="332"/>
    </row>
    <row r="9" spans="1:48" ht="15.75" x14ac:dyDescent="0.25">
      <c r="A9" s="335" t="str">
        <f>'1. паспорт местоположение'!A9:C9</f>
        <v>АО "Янтарьэнерго"</v>
      </c>
      <c r="B9" s="335"/>
      <c r="C9" s="335"/>
      <c r="D9" s="335"/>
      <c r="E9" s="335"/>
      <c r="F9" s="335"/>
      <c r="G9" s="335"/>
      <c r="H9" s="335"/>
      <c r="I9" s="335"/>
      <c r="J9" s="335"/>
      <c r="K9" s="335"/>
      <c r="L9" s="335"/>
      <c r="M9" s="335"/>
      <c r="N9" s="335"/>
      <c r="O9" s="335"/>
      <c r="P9" s="335"/>
      <c r="Q9" s="335"/>
      <c r="R9" s="335"/>
      <c r="S9" s="335"/>
      <c r="T9" s="335"/>
      <c r="U9" s="335"/>
      <c r="V9" s="335"/>
      <c r="W9" s="335"/>
      <c r="X9" s="335"/>
      <c r="Y9" s="335"/>
      <c r="Z9" s="335"/>
      <c r="AA9" s="335"/>
      <c r="AB9" s="335"/>
      <c r="AC9" s="335"/>
      <c r="AD9" s="335"/>
      <c r="AE9" s="335"/>
      <c r="AF9" s="335"/>
      <c r="AG9" s="335"/>
      <c r="AH9" s="335"/>
      <c r="AI9" s="335"/>
      <c r="AJ9" s="335"/>
      <c r="AK9" s="335"/>
      <c r="AL9" s="335"/>
      <c r="AM9" s="335"/>
      <c r="AN9" s="335"/>
      <c r="AO9" s="335"/>
      <c r="AP9" s="335"/>
      <c r="AQ9" s="335"/>
      <c r="AR9" s="335"/>
      <c r="AS9" s="335"/>
      <c r="AT9" s="335"/>
      <c r="AU9" s="335"/>
      <c r="AV9" s="335"/>
    </row>
    <row r="10" spans="1:48" ht="15.75" x14ac:dyDescent="0.25">
      <c r="A10" s="329" t="s">
        <v>8</v>
      </c>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329"/>
      <c r="AB10" s="329"/>
      <c r="AC10" s="329"/>
      <c r="AD10" s="329"/>
      <c r="AE10" s="329"/>
      <c r="AF10" s="329"/>
      <c r="AG10" s="329"/>
      <c r="AH10" s="329"/>
      <c r="AI10" s="329"/>
      <c r="AJ10" s="329"/>
      <c r="AK10" s="329"/>
      <c r="AL10" s="329"/>
      <c r="AM10" s="329"/>
      <c r="AN10" s="329"/>
      <c r="AO10" s="329"/>
      <c r="AP10" s="329"/>
      <c r="AQ10" s="329"/>
      <c r="AR10" s="329"/>
      <c r="AS10" s="329"/>
      <c r="AT10" s="329"/>
      <c r="AU10" s="329"/>
      <c r="AV10" s="329"/>
    </row>
    <row r="11" spans="1:48" ht="18.75" x14ac:dyDescent="0.25">
      <c r="A11" s="332"/>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row>
    <row r="12" spans="1:48" ht="15.75" x14ac:dyDescent="0.25">
      <c r="A12" s="335" t="str">
        <f>'1. паспорт местоположение'!A12:C12</f>
        <v>E_prj_111001_47826</v>
      </c>
      <c r="B12" s="335"/>
      <c r="C12" s="335"/>
      <c r="D12" s="335"/>
      <c r="E12" s="335"/>
      <c r="F12" s="335"/>
      <c r="G12" s="335"/>
      <c r="H12" s="335"/>
      <c r="I12" s="335"/>
      <c r="J12" s="335"/>
      <c r="K12" s="335"/>
      <c r="L12" s="335"/>
      <c r="M12" s="335"/>
      <c r="N12" s="335"/>
      <c r="O12" s="335"/>
      <c r="P12" s="335"/>
      <c r="Q12" s="335"/>
      <c r="R12" s="335"/>
      <c r="S12" s="335"/>
      <c r="T12" s="335"/>
      <c r="U12" s="335"/>
      <c r="V12" s="335"/>
      <c r="W12" s="335"/>
      <c r="X12" s="335"/>
      <c r="Y12" s="335"/>
      <c r="Z12" s="335"/>
      <c r="AA12" s="335"/>
      <c r="AB12" s="335"/>
      <c r="AC12" s="335"/>
      <c r="AD12" s="335"/>
      <c r="AE12" s="335"/>
      <c r="AF12" s="335"/>
      <c r="AG12" s="335"/>
      <c r="AH12" s="335"/>
      <c r="AI12" s="335"/>
      <c r="AJ12" s="335"/>
      <c r="AK12" s="335"/>
      <c r="AL12" s="335"/>
      <c r="AM12" s="335"/>
      <c r="AN12" s="335"/>
      <c r="AO12" s="335"/>
      <c r="AP12" s="335"/>
      <c r="AQ12" s="335"/>
      <c r="AR12" s="335"/>
      <c r="AS12" s="335"/>
      <c r="AT12" s="335"/>
      <c r="AU12" s="335"/>
      <c r="AV12" s="335"/>
    </row>
    <row r="13" spans="1:48" ht="15.75" x14ac:dyDescent="0.25">
      <c r="A13" s="329" t="s">
        <v>7</v>
      </c>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329"/>
      <c r="AH13" s="329"/>
      <c r="AI13" s="329"/>
      <c r="AJ13" s="329"/>
      <c r="AK13" s="329"/>
      <c r="AL13" s="329"/>
      <c r="AM13" s="329"/>
      <c r="AN13" s="329"/>
      <c r="AO13" s="329"/>
      <c r="AP13" s="329"/>
      <c r="AQ13" s="329"/>
      <c r="AR13" s="329"/>
      <c r="AS13" s="329"/>
      <c r="AT13" s="329"/>
      <c r="AU13" s="329"/>
      <c r="AV13" s="329"/>
    </row>
    <row r="14" spans="1:48" ht="18.75" x14ac:dyDescent="0.25">
      <c r="A14" s="338"/>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c r="AD14" s="338"/>
      <c r="AE14" s="338"/>
      <c r="AF14" s="338"/>
      <c r="AG14" s="338"/>
      <c r="AH14" s="338"/>
      <c r="AI14" s="338"/>
      <c r="AJ14" s="338"/>
      <c r="AK14" s="338"/>
      <c r="AL14" s="338"/>
      <c r="AM14" s="338"/>
      <c r="AN14" s="338"/>
      <c r="AO14" s="338"/>
      <c r="AP14" s="338"/>
      <c r="AQ14" s="338"/>
      <c r="AR14" s="338"/>
      <c r="AS14" s="338"/>
      <c r="AT14" s="338"/>
      <c r="AU14" s="338"/>
      <c r="AV14" s="338"/>
    </row>
    <row r="15" spans="1:48" ht="15.75" x14ac:dyDescent="0.25">
      <c r="A15" s="335"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335"/>
      <c r="C15" s="335"/>
      <c r="D15" s="335"/>
      <c r="E15" s="335"/>
      <c r="F15" s="335"/>
      <c r="G15" s="335"/>
      <c r="H15" s="335"/>
      <c r="I15" s="335"/>
      <c r="J15" s="335"/>
      <c r="K15" s="335"/>
      <c r="L15" s="335"/>
      <c r="M15" s="335"/>
      <c r="N15" s="335"/>
      <c r="O15" s="335"/>
      <c r="P15" s="335"/>
      <c r="Q15" s="335"/>
      <c r="R15" s="335"/>
      <c r="S15" s="335"/>
      <c r="T15" s="335"/>
      <c r="U15" s="335"/>
      <c r="V15" s="335"/>
      <c r="W15" s="335"/>
      <c r="X15" s="335"/>
      <c r="Y15" s="335"/>
      <c r="Z15" s="335"/>
      <c r="AA15" s="335"/>
      <c r="AB15" s="335"/>
      <c r="AC15" s="335"/>
      <c r="AD15" s="335"/>
      <c r="AE15" s="335"/>
      <c r="AF15" s="335"/>
      <c r="AG15" s="335"/>
      <c r="AH15" s="335"/>
      <c r="AI15" s="335"/>
      <c r="AJ15" s="335"/>
      <c r="AK15" s="335"/>
      <c r="AL15" s="335"/>
      <c r="AM15" s="335"/>
      <c r="AN15" s="335"/>
      <c r="AO15" s="335"/>
      <c r="AP15" s="335"/>
      <c r="AQ15" s="335"/>
      <c r="AR15" s="335"/>
      <c r="AS15" s="335"/>
      <c r="AT15" s="335"/>
      <c r="AU15" s="335"/>
      <c r="AV15" s="335"/>
    </row>
    <row r="16" spans="1:48" ht="15.75" x14ac:dyDescent="0.25">
      <c r="A16" s="329" t="s">
        <v>6</v>
      </c>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c r="AL16" s="329"/>
      <c r="AM16" s="329"/>
      <c r="AN16" s="329"/>
      <c r="AO16" s="329"/>
      <c r="AP16" s="329"/>
      <c r="AQ16" s="329"/>
      <c r="AR16" s="329"/>
      <c r="AS16" s="329"/>
      <c r="AT16" s="329"/>
      <c r="AU16" s="329"/>
      <c r="AV16" s="329"/>
    </row>
    <row r="17" spans="1:48" x14ac:dyDescent="0.25">
      <c r="A17" s="368"/>
      <c r="B17" s="368"/>
      <c r="C17" s="368"/>
      <c r="D17" s="368"/>
      <c r="E17" s="368"/>
      <c r="F17" s="368"/>
      <c r="G17" s="368"/>
      <c r="H17" s="368"/>
      <c r="I17" s="368"/>
      <c r="J17" s="368"/>
      <c r="K17" s="368"/>
      <c r="L17" s="368"/>
      <c r="M17" s="368"/>
      <c r="N17" s="368"/>
      <c r="O17" s="368"/>
      <c r="P17" s="368"/>
      <c r="Q17" s="368"/>
      <c r="R17" s="368"/>
      <c r="S17" s="368"/>
      <c r="T17" s="368"/>
      <c r="U17" s="368"/>
      <c r="V17" s="368"/>
      <c r="W17" s="368"/>
      <c r="X17" s="368"/>
      <c r="Y17" s="368"/>
      <c r="Z17" s="368"/>
      <c r="AA17" s="368"/>
      <c r="AB17" s="368"/>
      <c r="AC17" s="368"/>
      <c r="AD17" s="368"/>
      <c r="AE17" s="368"/>
      <c r="AF17" s="368"/>
      <c r="AG17" s="368"/>
      <c r="AH17" s="368"/>
      <c r="AI17" s="368"/>
      <c r="AJ17" s="368"/>
      <c r="AK17" s="368"/>
      <c r="AL17" s="368"/>
      <c r="AM17" s="368"/>
      <c r="AN17" s="368"/>
      <c r="AO17" s="368"/>
      <c r="AP17" s="368"/>
      <c r="AQ17" s="368"/>
      <c r="AR17" s="368"/>
      <c r="AS17" s="368"/>
      <c r="AT17" s="368"/>
      <c r="AU17" s="368"/>
      <c r="AV17" s="368"/>
    </row>
    <row r="18" spans="1:48" ht="14.25" customHeight="1" x14ac:dyDescent="0.25">
      <c r="A18" s="368"/>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368"/>
      <c r="AB18" s="368"/>
      <c r="AC18" s="368"/>
      <c r="AD18" s="368"/>
      <c r="AE18" s="368"/>
      <c r="AF18" s="368"/>
      <c r="AG18" s="368"/>
      <c r="AH18" s="368"/>
      <c r="AI18" s="368"/>
      <c r="AJ18" s="368"/>
      <c r="AK18" s="368"/>
      <c r="AL18" s="368"/>
      <c r="AM18" s="368"/>
      <c r="AN18" s="368"/>
      <c r="AO18" s="368"/>
      <c r="AP18" s="368"/>
      <c r="AQ18" s="368"/>
      <c r="AR18" s="368"/>
      <c r="AS18" s="368"/>
      <c r="AT18" s="368"/>
      <c r="AU18" s="368"/>
      <c r="AV18" s="368"/>
    </row>
    <row r="19" spans="1:48" x14ac:dyDescent="0.25">
      <c r="A19" s="368"/>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c r="AB19" s="368"/>
      <c r="AC19" s="368"/>
      <c r="AD19" s="368"/>
      <c r="AE19" s="368"/>
      <c r="AF19" s="368"/>
      <c r="AG19" s="368"/>
      <c r="AH19" s="368"/>
      <c r="AI19" s="368"/>
      <c r="AJ19" s="368"/>
      <c r="AK19" s="368"/>
      <c r="AL19" s="368"/>
      <c r="AM19" s="368"/>
      <c r="AN19" s="368"/>
      <c r="AO19" s="368"/>
      <c r="AP19" s="368"/>
      <c r="AQ19" s="368"/>
      <c r="AR19" s="368"/>
      <c r="AS19" s="368"/>
      <c r="AT19" s="368"/>
      <c r="AU19" s="368"/>
      <c r="AV19" s="368"/>
    </row>
    <row r="20" spans="1:48" s="22" customFormat="1" x14ac:dyDescent="0.2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69"/>
      <c r="AB20" s="369"/>
      <c r="AC20" s="369"/>
      <c r="AD20" s="369"/>
      <c r="AE20" s="369"/>
      <c r="AF20" s="369"/>
      <c r="AG20" s="369"/>
      <c r="AH20" s="369"/>
      <c r="AI20" s="369"/>
      <c r="AJ20" s="369"/>
      <c r="AK20" s="369"/>
      <c r="AL20" s="369"/>
      <c r="AM20" s="369"/>
      <c r="AN20" s="369"/>
      <c r="AO20" s="369"/>
      <c r="AP20" s="369"/>
      <c r="AQ20" s="369"/>
      <c r="AR20" s="369"/>
      <c r="AS20" s="369"/>
      <c r="AT20" s="369"/>
      <c r="AU20" s="369"/>
      <c r="AV20" s="369"/>
    </row>
    <row r="21" spans="1:48" s="22" customFormat="1" x14ac:dyDescent="0.25">
      <c r="A21" s="408" t="s">
        <v>430</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s="22" customFormat="1" ht="58.5" customHeight="1" x14ac:dyDescent="0.25">
      <c r="A22" s="409" t="s">
        <v>52</v>
      </c>
      <c r="B22" s="412" t="s">
        <v>24</v>
      </c>
      <c r="C22" s="409" t="s">
        <v>51</v>
      </c>
      <c r="D22" s="409" t="s">
        <v>50</v>
      </c>
      <c r="E22" s="415" t="s">
        <v>441</v>
      </c>
      <c r="F22" s="416"/>
      <c r="G22" s="416"/>
      <c r="H22" s="416"/>
      <c r="I22" s="416"/>
      <c r="J22" s="416"/>
      <c r="K22" s="416"/>
      <c r="L22" s="417"/>
      <c r="M22" s="409" t="s">
        <v>49</v>
      </c>
      <c r="N22" s="409" t="s">
        <v>48</v>
      </c>
      <c r="O22" s="409" t="s">
        <v>47</v>
      </c>
      <c r="P22" s="418" t="s">
        <v>232</v>
      </c>
      <c r="Q22" s="418" t="s">
        <v>46</v>
      </c>
      <c r="R22" s="418" t="s">
        <v>45</v>
      </c>
      <c r="S22" s="418" t="s">
        <v>44</v>
      </c>
      <c r="T22" s="418"/>
      <c r="U22" s="419" t="s">
        <v>43</v>
      </c>
      <c r="V22" s="419" t="s">
        <v>42</v>
      </c>
      <c r="W22" s="418" t="s">
        <v>41</v>
      </c>
      <c r="X22" s="418" t="s">
        <v>40</v>
      </c>
      <c r="Y22" s="418" t="s">
        <v>39</v>
      </c>
      <c r="Z22" s="432" t="s">
        <v>38</v>
      </c>
      <c r="AA22" s="418" t="s">
        <v>37</v>
      </c>
      <c r="AB22" s="418" t="s">
        <v>36</v>
      </c>
      <c r="AC22" s="418" t="s">
        <v>35</v>
      </c>
      <c r="AD22" s="418" t="s">
        <v>34</v>
      </c>
      <c r="AE22" s="418" t="s">
        <v>33</v>
      </c>
      <c r="AF22" s="418" t="s">
        <v>32</v>
      </c>
      <c r="AG22" s="418"/>
      <c r="AH22" s="418"/>
      <c r="AI22" s="418"/>
      <c r="AJ22" s="418"/>
      <c r="AK22" s="418"/>
      <c r="AL22" s="418" t="s">
        <v>31</v>
      </c>
      <c r="AM22" s="418"/>
      <c r="AN22" s="418"/>
      <c r="AO22" s="418"/>
      <c r="AP22" s="418" t="s">
        <v>30</v>
      </c>
      <c r="AQ22" s="418"/>
      <c r="AR22" s="418" t="s">
        <v>29</v>
      </c>
      <c r="AS22" s="418" t="s">
        <v>28</v>
      </c>
      <c r="AT22" s="418" t="s">
        <v>27</v>
      </c>
      <c r="AU22" s="418" t="s">
        <v>26</v>
      </c>
      <c r="AV22" s="422" t="s">
        <v>25</v>
      </c>
    </row>
    <row r="23" spans="1:48" s="22" customFormat="1" ht="64.5" customHeight="1" x14ac:dyDescent="0.25">
      <c r="A23" s="410"/>
      <c r="B23" s="413"/>
      <c r="C23" s="410"/>
      <c r="D23" s="410"/>
      <c r="E23" s="424" t="s">
        <v>23</v>
      </c>
      <c r="F23" s="426" t="s">
        <v>137</v>
      </c>
      <c r="G23" s="426" t="s">
        <v>136</v>
      </c>
      <c r="H23" s="426" t="s">
        <v>135</v>
      </c>
      <c r="I23" s="430" t="s">
        <v>377</v>
      </c>
      <c r="J23" s="430" t="s">
        <v>378</v>
      </c>
      <c r="K23" s="430" t="s">
        <v>379</v>
      </c>
      <c r="L23" s="426" t="s">
        <v>80</v>
      </c>
      <c r="M23" s="410"/>
      <c r="N23" s="410"/>
      <c r="O23" s="410"/>
      <c r="P23" s="418"/>
      <c r="Q23" s="418"/>
      <c r="R23" s="418"/>
      <c r="S23" s="428" t="s">
        <v>2</v>
      </c>
      <c r="T23" s="428" t="s">
        <v>11</v>
      </c>
      <c r="U23" s="419"/>
      <c r="V23" s="419"/>
      <c r="W23" s="418"/>
      <c r="X23" s="418"/>
      <c r="Y23" s="418"/>
      <c r="Z23" s="418"/>
      <c r="AA23" s="418"/>
      <c r="AB23" s="418"/>
      <c r="AC23" s="418"/>
      <c r="AD23" s="418"/>
      <c r="AE23" s="418"/>
      <c r="AF23" s="418" t="s">
        <v>22</v>
      </c>
      <c r="AG23" s="418"/>
      <c r="AH23" s="418" t="s">
        <v>21</v>
      </c>
      <c r="AI23" s="418"/>
      <c r="AJ23" s="409" t="s">
        <v>20</v>
      </c>
      <c r="AK23" s="409" t="s">
        <v>19</v>
      </c>
      <c r="AL23" s="409" t="s">
        <v>18</v>
      </c>
      <c r="AM23" s="409" t="s">
        <v>17</v>
      </c>
      <c r="AN23" s="409" t="s">
        <v>16</v>
      </c>
      <c r="AO23" s="409" t="s">
        <v>15</v>
      </c>
      <c r="AP23" s="409" t="s">
        <v>14</v>
      </c>
      <c r="AQ23" s="420" t="s">
        <v>11</v>
      </c>
      <c r="AR23" s="418"/>
      <c r="AS23" s="418"/>
      <c r="AT23" s="418"/>
      <c r="AU23" s="418"/>
      <c r="AV23" s="423"/>
    </row>
    <row r="24" spans="1:48" s="22" customFormat="1" ht="96.75" customHeight="1" x14ac:dyDescent="0.25">
      <c r="A24" s="411"/>
      <c r="B24" s="414"/>
      <c r="C24" s="411"/>
      <c r="D24" s="411"/>
      <c r="E24" s="425"/>
      <c r="F24" s="427"/>
      <c r="G24" s="427"/>
      <c r="H24" s="427"/>
      <c r="I24" s="431"/>
      <c r="J24" s="431"/>
      <c r="K24" s="431"/>
      <c r="L24" s="427"/>
      <c r="M24" s="411"/>
      <c r="N24" s="411"/>
      <c r="O24" s="411"/>
      <c r="P24" s="418"/>
      <c r="Q24" s="418"/>
      <c r="R24" s="418"/>
      <c r="S24" s="429"/>
      <c r="T24" s="429"/>
      <c r="U24" s="419"/>
      <c r="V24" s="419"/>
      <c r="W24" s="418"/>
      <c r="X24" s="418"/>
      <c r="Y24" s="418"/>
      <c r="Z24" s="418"/>
      <c r="AA24" s="418"/>
      <c r="AB24" s="418"/>
      <c r="AC24" s="418"/>
      <c r="AD24" s="418"/>
      <c r="AE24" s="418"/>
      <c r="AF24" s="151" t="s">
        <v>13</v>
      </c>
      <c r="AG24" s="151" t="s">
        <v>12</v>
      </c>
      <c r="AH24" s="152" t="s">
        <v>2</v>
      </c>
      <c r="AI24" s="152" t="s">
        <v>11</v>
      </c>
      <c r="AJ24" s="411"/>
      <c r="AK24" s="411"/>
      <c r="AL24" s="411"/>
      <c r="AM24" s="411"/>
      <c r="AN24" s="411"/>
      <c r="AO24" s="411"/>
      <c r="AP24" s="411"/>
      <c r="AQ24" s="421"/>
      <c r="AR24" s="418"/>
      <c r="AS24" s="418"/>
      <c r="AT24" s="418"/>
      <c r="AU24" s="418"/>
      <c r="AV24" s="423"/>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01" customFormat="1" ht="157.5" x14ac:dyDescent="0.25">
      <c r="A26" s="312">
        <v>1</v>
      </c>
      <c r="B26" s="304" t="s">
        <v>450</v>
      </c>
      <c r="C26" s="304" t="s">
        <v>63</v>
      </c>
      <c r="D26" s="313">
        <v>42887</v>
      </c>
      <c r="E26" s="312"/>
      <c r="F26" s="312"/>
      <c r="G26" s="312"/>
      <c r="H26" s="312"/>
      <c r="I26" s="312"/>
      <c r="J26" s="314">
        <v>3.5419999999999998</v>
      </c>
      <c r="K26" s="312"/>
      <c r="L26" s="312"/>
      <c r="M26" s="304"/>
      <c r="N26" s="304" t="s">
        <v>616</v>
      </c>
      <c r="O26" s="266" t="s">
        <v>450</v>
      </c>
      <c r="P26" s="315">
        <v>992.221</v>
      </c>
      <c r="Q26" s="304"/>
      <c r="R26" s="315">
        <v>992.221</v>
      </c>
      <c r="S26" s="304" t="s">
        <v>618</v>
      </c>
      <c r="T26" s="304" t="s">
        <v>591</v>
      </c>
      <c r="U26" s="312">
        <v>1</v>
      </c>
      <c r="V26" s="312">
        <v>1</v>
      </c>
      <c r="W26" s="306" t="s">
        <v>617</v>
      </c>
      <c r="X26" s="315">
        <v>992.221</v>
      </c>
      <c r="Y26" s="304"/>
      <c r="Z26" s="316"/>
      <c r="AA26" s="315"/>
      <c r="AB26" s="315">
        <v>992.221</v>
      </c>
      <c r="AC26" s="306" t="s">
        <v>617</v>
      </c>
      <c r="AD26" s="317">
        <v>1170.8209999999999</v>
      </c>
      <c r="AE26" s="317">
        <v>1170.8209999999999</v>
      </c>
      <c r="AF26" s="318" t="s">
        <v>619</v>
      </c>
      <c r="AG26" s="318" t="s">
        <v>619</v>
      </c>
      <c r="AH26" s="319">
        <v>42004</v>
      </c>
      <c r="AI26" s="319">
        <v>42004</v>
      </c>
      <c r="AJ26" s="319">
        <v>42004</v>
      </c>
      <c r="AK26" s="319">
        <v>42004</v>
      </c>
      <c r="AL26" s="304"/>
      <c r="AM26" s="320" t="s">
        <v>596</v>
      </c>
      <c r="AN26" s="319">
        <v>42004</v>
      </c>
      <c r="AO26" s="320" t="s">
        <v>620</v>
      </c>
      <c r="AP26" s="316"/>
      <c r="AQ26" s="310"/>
      <c r="AR26" s="316"/>
      <c r="AS26" s="316"/>
      <c r="AT26" s="316"/>
      <c r="AU26" s="304"/>
      <c r="AV26" s="304"/>
    </row>
    <row r="27" spans="1:48" s="311" customFormat="1" ht="141.75" x14ac:dyDescent="0.25">
      <c r="A27" s="265">
        <v>2</v>
      </c>
      <c r="B27" s="266" t="s">
        <v>450</v>
      </c>
      <c r="C27" s="266" t="s">
        <v>63</v>
      </c>
      <c r="D27" s="270">
        <v>42887</v>
      </c>
      <c r="E27" s="265"/>
      <c r="F27" s="265"/>
      <c r="G27" s="265"/>
      <c r="H27" s="265"/>
      <c r="I27" s="265"/>
      <c r="J27" s="269">
        <v>3.5419999999999998</v>
      </c>
      <c r="K27" s="265"/>
      <c r="L27" s="265"/>
      <c r="M27" s="266" t="s">
        <v>611</v>
      </c>
      <c r="N27" s="304" t="s">
        <v>610</v>
      </c>
      <c r="O27" s="266" t="s">
        <v>450</v>
      </c>
      <c r="P27" s="305">
        <v>369587.37</v>
      </c>
      <c r="Q27" s="266" t="s">
        <v>612</v>
      </c>
      <c r="R27" s="305">
        <v>369587.37</v>
      </c>
      <c r="S27" s="306" t="s">
        <v>613</v>
      </c>
      <c r="T27" s="306" t="s">
        <v>613</v>
      </c>
      <c r="U27" s="306">
        <v>3</v>
      </c>
      <c r="V27" s="306">
        <v>2</v>
      </c>
      <c r="W27" s="299" t="s">
        <v>592</v>
      </c>
      <c r="X27" s="305">
        <v>358526.86099999998</v>
      </c>
      <c r="Y27" s="266"/>
      <c r="Z27" s="306">
        <v>2</v>
      </c>
      <c r="AA27" s="305">
        <v>344963.8</v>
      </c>
      <c r="AB27" s="305">
        <v>344963.8</v>
      </c>
      <c r="AC27" s="299" t="s">
        <v>592</v>
      </c>
      <c r="AD27" s="309">
        <v>407057.28</v>
      </c>
      <c r="AE27" s="309">
        <v>407057.28</v>
      </c>
      <c r="AF27" s="306">
        <v>45155</v>
      </c>
      <c r="AG27" s="306" t="s">
        <v>615</v>
      </c>
      <c r="AH27" s="307">
        <v>42132</v>
      </c>
      <c r="AI27" s="307">
        <v>42132</v>
      </c>
      <c r="AJ27" s="307">
        <v>42158</v>
      </c>
      <c r="AK27" s="307">
        <v>42188</v>
      </c>
      <c r="AL27" s="266"/>
      <c r="AM27" s="266"/>
      <c r="AN27" s="268"/>
      <c r="AO27" s="266"/>
      <c r="AP27" s="307">
        <v>42208</v>
      </c>
      <c r="AQ27" s="307">
        <v>42207</v>
      </c>
      <c r="AR27" s="307">
        <v>42207</v>
      </c>
      <c r="AS27" s="307">
        <v>42207</v>
      </c>
      <c r="AT27" s="307">
        <v>42726</v>
      </c>
      <c r="AU27" s="266"/>
      <c r="AV27" s="266"/>
    </row>
    <row r="28" spans="1:48" s="311" customFormat="1" ht="47.25" x14ac:dyDescent="0.25">
      <c r="A28" s="265"/>
      <c r="B28" s="266"/>
      <c r="C28" s="266"/>
      <c r="D28" s="270"/>
      <c r="E28" s="265"/>
      <c r="F28" s="265"/>
      <c r="G28" s="265"/>
      <c r="H28" s="265"/>
      <c r="I28" s="265"/>
      <c r="J28" s="269"/>
      <c r="K28" s="265"/>
      <c r="L28" s="265"/>
      <c r="M28" s="266"/>
      <c r="N28" s="266"/>
      <c r="O28" s="266"/>
      <c r="P28" s="267"/>
      <c r="Q28" s="266"/>
      <c r="R28" s="267"/>
      <c r="S28" s="266"/>
      <c r="T28" s="266"/>
      <c r="U28" s="265"/>
      <c r="V28" s="265"/>
      <c r="W28" s="306" t="s">
        <v>614</v>
      </c>
      <c r="X28" s="305">
        <v>365891.46600000001</v>
      </c>
      <c r="Y28" s="266"/>
      <c r="Z28" s="306"/>
      <c r="AA28" s="305">
        <v>345127.53399999999</v>
      </c>
      <c r="AB28" s="305"/>
      <c r="AC28" s="308"/>
      <c r="AD28" s="309"/>
      <c r="AE28" s="309"/>
      <c r="AF28" s="265"/>
      <c r="AG28" s="266"/>
      <c r="AH28" s="268"/>
      <c r="AI28" s="268"/>
      <c r="AJ28" s="268"/>
      <c r="AK28" s="268"/>
      <c r="AL28" s="266"/>
      <c r="AM28" s="266"/>
      <c r="AN28" s="268"/>
      <c r="AO28" s="266"/>
      <c r="AP28" s="268"/>
      <c r="AQ28" s="310"/>
      <c r="AR28" s="268"/>
      <c r="AS28" s="268"/>
      <c r="AT28" s="268"/>
      <c r="AU28" s="266"/>
      <c r="AV28" s="266"/>
    </row>
    <row r="29" spans="1:48" s="301" customFormat="1" ht="141.75" x14ac:dyDescent="0.25">
      <c r="A29" s="300">
        <v>3</v>
      </c>
      <c r="B29" s="266" t="s">
        <v>450</v>
      </c>
      <c r="C29" s="266" t="s">
        <v>63</v>
      </c>
      <c r="D29" s="270">
        <v>42887</v>
      </c>
      <c r="E29" s="265"/>
      <c r="F29" s="265"/>
      <c r="G29" s="265"/>
      <c r="H29" s="265"/>
      <c r="I29" s="265"/>
      <c r="J29" s="269">
        <v>3.5419999999999998</v>
      </c>
      <c r="K29" s="300"/>
      <c r="L29" s="300"/>
      <c r="M29" s="300"/>
      <c r="N29" s="300" t="s">
        <v>589</v>
      </c>
      <c r="O29" s="266" t="s">
        <v>450</v>
      </c>
      <c r="P29" s="298">
        <v>594.49</v>
      </c>
      <c r="Q29" s="300" t="s">
        <v>590</v>
      </c>
      <c r="R29" s="298">
        <v>594.49</v>
      </c>
      <c r="S29" s="299" t="s">
        <v>591</v>
      </c>
      <c r="T29" s="299" t="s">
        <v>591</v>
      </c>
      <c r="U29" s="299" t="s">
        <v>65</v>
      </c>
      <c r="V29" s="299" t="s">
        <v>65</v>
      </c>
      <c r="W29" s="299" t="s">
        <v>592</v>
      </c>
      <c r="X29" s="298">
        <v>594.49</v>
      </c>
      <c r="Y29" s="300"/>
      <c r="Z29" s="300"/>
      <c r="AA29" s="300"/>
      <c r="AB29" s="298">
        <v>594.49</v>
      </c>
      <c r="AC29" s="299" t="s">
        <v>592</v>
      </c>
      <c r="AD29" s="300">
        <v>701.49</v>
      </c>
      <c r="AE29" s="300">
        <v>701.49</v>
      </c>
      <c r="AF29" s="299" t="s">
        <v>593</v>
      </c>
      <c r="AG29" s="299" t="s">
        <v>593</v>
      </c>
      <c r="AH29" s="299" t="s">
        <v>594</v>
      </c>
      <c r="AI29" s="299" t="s">
        <v>594</v>
      </c>
      <c r="AJ29" s="299" t="s">
        <v>594</v>
      </c>
      <c r="AK29" s="299" t="s">
        <v>594</v>
      </c>
      <c r="AL29" s="299" t="s">
        <v>595</v>
      </c>
      <c r="AM29" s="299" t="s">
        <v>596</v>
      </c>
      <c r="AN29" s="299" t="s">
        <v>594</v>
      </c>
      <c r="AO29" s="299" t="s">
        <v>597</v>
      </c>
      <c r="AP29" s="300"/>
      <c r="AQ29" s="300"/>
      <c r="AR29" s="300"/>
      <c r="AS29" s="300"/>
      <c r="AT29" s="300"/>
      <c r="AU29" s="300"/>
      <c r="AV29" s="300"/>
    </row>
    <row r="30" spans="1:48" s="301" customFormat="1" ht="141.75" x14ac:dyDescent="0.25">
      <c r="A30" s="300">
        <v>4</v>
      </c>
      <c r="B30" s="266" t="s">
        <v>450</v>
      </c>
      <c r="C30" s="266" t="s">
        <v>63</v>
      </c>
      <c r="D30" s="270">
        <v>42887</v>
      </c>
      <c r="E30" s="265"/>
      <c r="F30" s="265"/>
      <c r="G30" s="265"/>
      <c r="H30" s="265"/>
      <c r="I30" s="265"/>
      <c r="J30" s="269">
        <v>3.5419999999999998</v>
      </c>
      <c r="K30" s="300"/>
      <c r="L30" s="300"/>
      <c r="M30" s="300"/>
      <c r="N30" s="300" t="s">
        <v>598</v>
      </c>
      <c r="O30" s="266" t="s">
        <v>450</v>
      </c>
      <c r="P30" s="298">
        <v>6297.7619999999997</v>
      </c>
      <c r="Q30" s="300" t="s">
        <v>590</v>
      </c>
      <c r="R30" s="298">
        <v>6297.7619999999997</v>
      </c>
      <c r="S30" s="299" t="s">
        <v>599</v>
      </c>
      <c r="T30" s="299" t="s">
        <v>599</v>
      </c>
      <c r="U30" s="299" t="s">
        <v>63</v>
      </c>
      <c r="V30" s="299" t="s">
        <v>63</v>
      </c>
      <c r="W30" s="299" t="s">
        <v>600</v>
      </c>
      <c r="X30" s="298">
        <v>6171.8069999999998</v>
      </c>
      <c r="Y30" s="300"/>
      <c r="Z30" s="300"/>
      <c r="AA30" s="300"/>
      <c r="AB30" s="298">
        <v>6171.8069999999998</v>
      </c>
      <c r="AC30" s="299" t="s">
        <v>600</v>
      </c>
      <c r="AD30" s="300">
        <v>7282.73</v>
      </c>
      <c r="AE30" s="300">
        <v>7282.73</v>
      </c>
      <c r="AF30" s="299" t="s">
        <v>602</v>
      </c>
      <c r="AG30" s="299" t="s">
        <v>603</v>
      </c>
      <c r="AH30" s="299" t="s">
        <v>604</v>
      </c>
      <c r="AI30" s="299" t="s">
        <v>604</v>
      </c>
      <c r="AJ30" s="299" t="s">
        <v>605</v>
      </c>
      <c r="AK30" s="299" t="s">
        <v>606</v>
      </c>
      <c r="AL30" s="300"/>
      <c r="AM30" s="300"/>
      <c r="AN30" s="300"/>
      <c r="AO30" s="300"/>
      <c r="AP30" s="299" t="s">
        <v>607</v>
      </c>
      <c r="AQ30" s="299" t="s">
        <v>607</v>
      </c>
      <c r="AR30" s="299" t="s">
        <v>608</v>
      </c>
      <c r="AS30" s="299" t="s">
        <v>608</v>
      </c>
      <c r="AT30" s="299" t="s">
        <v>609</v>
      </c>
      <c r="AU30" s="300"/>
      <c r="AV30" s="300"/>
    </row>
    <row r="31" spans="1:48" s="303" customFormat="1" ht="15.75" x14ac:dyDescent="0.25">
      <c r="A31" s="302"/>
      <c r="B31" s="302"/>
      <c r="C31" s="302"/>
      <c r="D31" s="302"/>
      <c r="E31" s="302"/>
      <c r="F31" s="302"/>
      <c r="G31" s="302"/>
      <c r="H31" s="302"/>
      <c r="I31" s="302"/>
      <c r="J31" s="302"/>
      <c r="K31" s="302"/>
      <c r="L31" s="302"/>
      <c r="M31" s="302"/>
      <c r="N31" s="302"/>
      <c r="O31" s="302"/>
      <c r="P31" s="302"/>
      <c r="Q31" s="302"/>
      <c r="R31" s="302"/>
      <c r="S31" s="302"/>
      <c r="T31" s="302"/>
      <c r="U31" s="302"/>
      <c r="V31" s="302"/>
      <c r="W31" s="299" t="s">
        <v>601</v>
      </c>
      <c r="X31" s="298">
        <v>5963.8559999999998</v>
      </c>
      <c r="Y31" s="302"/>
      <c r="Z31" s="302"/>
      <c r="AA31" s="302"/>
      <c r="AB31" s="302"/>
      <c r="AC31" s="302"/>
      <c r="AD31" s="302"/>
      <c r="AE31" s="302"/>
      <c r="AF31" s="302"/>
      <c r="AG31" s="302"/>
      <c r="AH31" s="302"/>
      <c r="AI31" s="302"/>
      <c r="AJ31" s="302"/>
      <c r="AK31" s="302"/>
      <c r="AL31" s="302"/>
      <c r="AM31" s="302"/>
      <c r="AN31" s="302"/>
      <c r="AO31" s="302"/>
      <c r="AP31" s="302"/>
      <c r="AQ31" s="302"/>
      <c r="AR31" s="302"/>
      <c r="AS31" s="302"/>
      <c r="AT31" s="302"/>
      <c r="AU31" s="302"/>
      <c r="AV31" s="302"/>
    </row>
    <row r="32" spans="1:48" s="297" customFormat="1" x14ac:dyDescent="0.25">
      <c r="A32" s="296"/>
      <c r="B32" s="296"/>
      <c r="C32" s="296"/>
      <c r="D32" s="296"/>
      <c r="E32" s="296"/>
      <c r="F32" s="296"/>
      <c r="G32" s="296"/>
      <c r="H32" s="296"/>
      <c r="I32" s="296"/>
      <c r="J32" s="296"/>
      <c r="K32" s="296"/>
      <c r="L32" s="296"/>
      <c r="M32" s="296"/>
      <c r="N32" s="296"/>
      <c r="O32" s="296"/>
      <c r="P32" s="296"/>
      <c r="Q32" s="296"/>
      <c r="R32" s="296"/>
      <c r="S32" s="296"/>
      <c r="T32" s="296"/>
      <c r="U32" s="296"/>
      <c r="V32" s="296"/>
      <c r="W32" s="296"/>
      <c r="X32" s="296"/>
      <c r="Y32" s="296"/>
      <c r="Z32" s="296"/>
      <c r="AA32" s="296"/>
      <c r="AB32" s="296"/>
      <c r="AC32" s="296"/>
      <c r="AD32" s="296"/>
      <c r="AE32" s="296"/>
      <c r="AF32" s="296"/>
      <c r="AG32" s="296"/>
      <c r="AH32" s="296"/>
      <c r="AI32" s="296"/>
      <c r="AJ32" s="296"/>
      <c r="AK32" s="296"/>
      <c r="AL32" s="296"/>
      <c r="AM32" s="296"/>
      <c r="AN32" s="296"/>
      <c r="AO32" s="296"/>
      <c r="AP32" s="296"/>
      <c r="AQ32" s="296"/>
      <c r="AR32" s="296"/>
      <c r="AS32" s="296"/>
      <c r="AT32" s="296"/>
      <c r="AU32" s="296"/>
      <c r="AV32" s="296"/>
    </row>
    <row r="33" spans="1:48" s="297" customFormat="1" x14ac:dyDescent="0.25">
      <c r="A33" s="296"/>
      <c r="B33" s="296"/>
      <c r="C33" s="296"/>
      <c r="D33" s="296"/>
      <c r="E33" s="296"/>
      <c r="F33" s="296"/>
      <c r="G33" s="296"/>
      <c r="H33" s="296"/>
      <c r="I33" s="296"/>
      <c r="J33" s="296"/>
      <c r="K33" s="296"/>
      <c r="L33" s="296"/>
      <c r="M33" s="296"/>
      <c r="N33" s="296"/>
      <c r="O33" s="296"/>
      <c r="P33" s="296"/>
      <c r="Q33" s="296"/>
      <c r="R33" s="296"/>
      <c r="S33" s="296"/>
      <c r="T33" s="296"/>
      <c r="U33" s="296"/>
      <c r="V33" s="296"/>
      <c r="W33" s="296"/>
      <c r="X33" s="296"/>
      <c r="Y33" s="296"/>
      <c r="Z33" s="296"/>
      <c r="AA33" s="296"/>
      <c r="AB33" s="296"/>
      <c r="AC33" s="296"/>
      <c r="AD33" s="296"/>
      <c r="AE33" s="296"/>
      <c r="AF33" s="296"/>
      <c r="AG33" s="296"/>
      <c r="AH33" s="296"/>
      <c r="AI33" s="296"/>
      <c r="AJ33" s="296"/>
      <c r="AK33" s="296"/>
      <c r="AL33" s="296"/>
      <c r="AM33" s="296"/>
      <c r="AN33" s="296"/>
      <c r="AO33" s="296"/>
      <c r="AP33" s="296"/>
      <c r="AQ33" s="296"/>
      <c r="AR33" s="296"/>
      <c r="AS33" s="296"/>
      <c r="AT33" s="296"/>
      <c r="AU33" s="296"/>
      <c r="AV33" s="296"/>
    </row>
    <row r="34" spans="1:48" s="297" customFormat="1" x14ac:dyDescent="0.25">
      <c r="A34" s="296"/>
      <c r="B34" s="296"/>
      <c r="C34" s="296"/>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c r="AN34" s="296"/>
      <c r="AO34" s="296"/>
      <c r="AP34" s="296"/>
      <c r="AQ34" s="296"/>
      <c r="AR34" s="296"/>
      <c r="AS34" s="296"/>
      <c r="AT34" s="296"/>
      <c r="AU34" s="296"/>
      <c r="AV34" s="296"/>
    </row>
    <row r="35" spans="1:48" s="297" customFormat="1" x14ac:dyDescent="0.25">
      <c r="A35" s="296"/>
      <c r="B35" s="296"/>
      <c r="C35" s="296"/>
      <c r="D35" s="296"/>
      <c r="E35" s="296"/>
      <c r="F35" s="296"/>
      <c r="G35" s="296"/>
      <c r="H35" s="296"/>
      <c r="I35" s="296"/>
      <c r="J35" s="296"/>
      <c r="K35" s="296"/>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296"/>
      <c r="AI35" s="296"/>
      <c r="AJ35" s="296"/>
      <c r="AK35" s="296"/>
      <c r="AL35" s="296"/>
      <c r="AM35" s="296"/>
      <c r="AN35" s="296"/>
      <c r="AO35" s="296"/>
      <c r="AP35" s="296"/>
      <c r="AQ35" s="296"/>
      <c r="AR35" s="296"/>
      <c r="AS35" s="296"/>
      <c r="AT35" s="296"/>
      <c r="AU35" s="296"/>
      <c r="AV35" s="29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7"/>
  <sheetViews>
    <sheetView view="pageBreakPreview" topLeftCell="A4" zoomScale="80" zoomScaleNormal="90" zoomScaleSheetLayoutView="80" workbookViewId="0">
      <selection activeCell="B26" sqref="B26"/>
    </sheetView>
  </sheetViews>
  <sheetFormatPr defaultRowHeight="15.75" x14ac:dyDescent="0.25"/>
  <cols>
    <col min="1" max="2" width="66.140625" style="121" customWidth="1"/>
    <col min="3" max="3" width="8.85546875"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9" t="s">
        <v>69</v>
      </c>
    </row>
    <row r="2" spans="1:8" ht="18.75" x14ac:dyDescent="0.3">
      <c r="B2" s="15" t="s">
        <v>10</v>
      </c>
    </row>
    <row r="3" spans="1:8" ht="18.75" x14ac:dyDescent="0.3">
      <c r="B3" s="15" t="s">
        <v>448</v>
      </c>
    </row>
    <row r="4" spans="1:8" x14ac:dyDescent="0.25">
      <c r="B4" s="44"/>
    </row>
    <row r="5" spans="1:8" ht="18.75" x14ac:dyDescent="0.3">
      <c r="A5" s="438" t="str">
        <f>'1. паспорт местоположение'!A5:C5</f>
        <v>Год раскрытия информации: 2016 год</v>
      </c>
      <c r="B5" s="438"/>
      <c r="C5" s="86"/>
      <c r="D5" s="86"/>
      <c r="E5" s="86"/>
      <c r="F5" s="86"/>
      <c r="G5" s="86"/>
      <c r="H5" s="86"/>
    </row>
    <row r="6" spans="1:8" ht="18.75" x14ac:dyDescent="0.3">
      <c r="A6" s="153"/>
      <c r="B6" s="153"/>
      <c r="C6" s="153"/>
      <c r="D6" s="153"/>
      <c r="E6" s="153"/>
      <c r="F6" s="153"/>
      <c r="G6" s="153"/>
      <c r="H6" s="153"/>
    </row>
    <row r="7" spans="1:8" ht="18.75" x14ac:dyDescent="0.25">
      <c r="A7" s="332" t="s">
        <v>9</v>
      </c>
      <c r="B7" s="332"/>
      <c r="C7" s="158"/>
      <c r="D7" s="158"/>
      <c r="E7" s="158"/>
      <c r="F7" s="158"/>
      <c r="G7" s="158"/>
      <c r="H7" s="158"/>
    </row>
    <row r="8" spans="1:8" ht="18.75" x14ac:dyDescent="0.25">
      <c r="A8" s="158"/>
      <c r="B8" s="158"/>
      <c r="C8" s="158"/>
      <c r="D8" s="158"/>
      <c r="E8" s="158"/>
      <c r="F8" s="158"/>
      <c r="G8" s="158"/>
      <c r="H8" s="158"/>
    </row>
    <row r="9" spans="1:8" x14ac:dyDescent="0.25">
      <c r="A9" s="335" t="str">
        <f>'1. паспорт местоположение'!A9:C9</f>
        <v>АО "Янтарьэнерго"</v>
      </c>
      <c r="B9" s="335"/>
      <c r="C9" s="159"/>
      <c r="D9" s="159"/>
      <c r="E9" s="159"/>
      <c r="F9" s="159"/>
      <c r="G9" s="159"/>
      <c r="H9" s="159"/>
    </row>
    <row r="10" spans="1:8" x14ac:dyDescent="0.25">
      <c r="A10" s="329" t="s">
        <v>8</v>
      </c>
      <c r="B10" s="329"/>
      <c r="C10" s="160"/>
      <c r="D10" s="160"/>
      <c r="E10" s="160"/>
      <c r="F10" s="160"/>
      <c r="G10" s="160"/>
      <c r="H10" s="160"/>
    </row>
    <row r="11" spans="1:8" ht="18.75" x14ac:dyDescent="0.25">
      <c r="A11" s="158"/>
      <c r="B11" s="158"/>
      <c r="C11" s="158"/>
      <c r="D11" s="158"/>
      <c r="E11" s="158"/>
      <c r="F11" s="158"/>
      <c r="G11" s="158"/>
      <c r="H11" s="158"/>
    </row>
    <row r="12" spans="1:8" ht="30.75" customHeight="1" x14ac:dyDescent="0.25">
      <c r="A12" s="335" t="str">
        <f>'1. паспорт местоположение'!A12:C12</f>
        <v>E_prj_111001_47826</v>
      </c>
      <c r="B12" s="335"/>
      <c r="C12" s="159"/>
      <c r="D12" s="159"/>
      <c r="E12" s="159"/>
      <c r="F12" s="159"/>
      <c r="G12" s="159"/>
      <c r="H12" s="159"/>
    </row>
    <row r="13" spans="1:8" x14ac:dyDescent="0.25">
      <c r="A13" s="329" t="s">
        <v>7</v>
      </c>
      <c r="B13" s="329"/>
      <c r="C13" s="160"/>
      <c r="D13" s="160"/>
      <c r="E13" s="160"/>
      <c r="F13" s="160"/>
      <c r="G13" s="160"/>
      <c r="H13" s="160"/>
    </row>
    <row r="14" spans="1:8" ht="18.75" x14ac:dyDescent="0.25">
      <c r="A14" s="11"/>
      <c r="B14" s="11"/>
      <c r="C14" s="11"/>
      <c r="D14" s="11"/>
      <c r="E14" s="11"/>
      <c r="F14" s="11"/>
      <c r="G14" s="11"/>
      <c r="H14" s="11"/>
    </row>
    <row r="15" spans="1:8" ht="63.6" customHeight="1" x14ac:dyDescent="0.25">
      <c r="A15" s="367"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367"/>
      <c r="C15" s="159"/>
      <c r="D15" s="159"/>
      <c r="E15" s="159"/>
      <c r="F15" s="159"/>
      <c r="G15" s="159"/>
      <c r="H15" s="159"/>
    </row>
    <row r="16" spans="1:8" x14ac:dyDescent="0.25">
      <c r="A16" s="329" t="s">
        <v>6</v>
      </c>
      <c r="B16" s="329"/>
      <c r="C16" s="160"/>
      <c r="D16" s="160"/>
      <c r="E16" s="160"/>
      <c r="F16" s="160"/>
      <c r="G16" s="160"/>
      <c r="H16" s="160"/>
    </row>
    <row r="17" spans="1:2" x14ac:dyDescent="0.25">
      <c r="B17" s="123"/>
    </row>
    <row r="18" spans="1:2" ht="33.75" customHeight="1" x14ac:dyDescent="0.25">
      <c r="A18" s="433" t="s">
        <v>431</v>
      </c>
      <c r="B18" s="434"/>
    </row>
    <row r="19" spans="1:2" x14ac:dyDescent="0.25">
      <c r="B19" s="44"/>
    </row>
    <row r="20" spans="1:2" ht="16.5" thickBot="1" x14ac:dyDescent="0.3">
      <c r="B20" s="124"/>
    </row>
    <row r="21" spans="1:2" ht="91.9" customHeight="1" thickBot="1" x14ac:dyDescent="0.3">
      <c r="A21" s="125" t="s">
        <v>324</v>
      </c>
      <c r="B21" s="263" t="str">
        <f>A15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row>
    <row r="22" spans="1:2" ht="16.5" thickBot="1" x14ac:dyDescent="0.3">
      <c r="A22" s="125" t="s">
        <v>325</v>
      </c>
      <c r="B22" s="263" t="s">
        <v>506</v>
      </c>
    </row>
    <row r="23" spans="1:2" ht="16.5" thickBot="1" x14ac:dyDescent="0.3">
      <c r="A23" s="125" t="s">
        <v>291</v>
      </c>
      <c r="B23" s="127" t="s">
        <v>515</v>
      </c>
    </row>
    <row r="24" spans="1:2" ht="16.5" thickBot="1" x14ac:dyDescent="0.3">
      <c r="A24" s="125" t="s">
        <v>326</v>
      </c>
      <c r="B24" s="127" t="s">
        <v>560</v>
      </c>
    </row>
    <row r="25" spans="1:2" ht="16.5" thickBot="1" x14ac:dyDescent="0.3">
      <c r="A25" s="128" t="s">
        <v>327</v>
      </c>
      <c r="B25" s="126" t="s">
        <v>478</v>
      </c>
    </row>
    <row r="26" spans="1:2" ht="16.5" thickBot="1" x14ac:dyDescent="0.3">
      <c r="A26" s="129" t="s">
        <v>328</v>
      </c>
      <c r="B26" s="264" t="s">
        <v>511</v>
      </c>
    </row>
    <row r="27" spans="1:2" ht="29.25" thickBot="1" x14ac:dyDescent="0.3">
      <c r="A27" s="136" t="s">
        <v>516</v>
      </c>
      <c r="B27" s="131">
        <v>452.67099999999999</v>
      </c>
    </row>
    <row r="28" spans="1:2" ht="16.5" thickBot="1" x14ac:dyDescent="0.3">
      <c r="A28" s="131" t="s">
        <v>329</v>
      </c>
      <c r="B28" s="131" t="s">
        <v>530</v>
      </c>
    </row>
    <row r="29" spans="1:2" ht="29.25" thickBot="1" x14ac:dyDescent="0.3">
      <c r="A29" s="137" t="s">
        <v>330</v>
      </c>
      <c r="B29" s="131"/>
    </row>
    <row r="30" spans="1:2" ht="29.25" thickBot="1" x14ac:dyDescent="0.3">
      <c r="A30" s="137" t="s">
        <v>331</v>
      </c>
      <c r="B30" s="287">
        <f>B32+B53+B70</f>
        <v>425.96551120219999</v>
      </c>
    </row>
    <row r="31" spans="1:2" ht="16.5" thickBot="1" x14ac:dyDescent="0.3">
      <c r="A31" s="131" t="s">
        <v>332</v>
      </c>
      <c r="B31" s="287"/>
    </row>
    <row r="32" spans="1:2" ht="29.25" thickBot="1" x14ac:dyDescent="0.3">
      <c r="A32" s="137" t="s">
        <v>333</v>
      </c>
      <c r="B32" s="287">
        <f xml:space="preserve"> SUMIF(C33:C110, 10,B33:B110)</f>
        <v>407.05728399999998</v>
      </c>
    </row>
    <row r="33" spans="1:3" s="290" customFormat="1" ht="30.75" thickBot="1" x14ac:dyDescent="0.3">
      <c r="A33" s="323" t="s">
        <v>559</v>
      </c>
      <c r="B33" s="324">
        <v>407.05728399999998</v>
      </c>
      <c r="C33" s="290">
        <v>10</v>
      </c>
    </row>
    <row r="34" spans="1:3" ht="16.5" thickBot="1" x14ac:dyDescent="0.3">
      <c r="A34" s="131" t="s">
        <v>335</v>
      </c>
      <c r="B34" s="291">
        <f>B33/$B$27</f>
        <v>0.89923428715336307</v>
      </c>
    </row>
    <row r="35" spans="1:3" ht="16.5" thickBot="1" x14ac:dyDescent="0.3">
      <c r="A35" s="131" t="s">
        <v>336</v>
      </c>
      <c r="B35" s="324">
        <v>149.97999646</v>
      </c>
      <c r="C35" s="122">
        <v>1</v>
      </c>
    </row>
    <row r="36" spans="1:3" ht="16.5" thickBot="1" x14ac:dyDescent="0.3">
      <c r="A36" s="131" t="s">
        <v>337</v>
      </c>
      <c r="B36" s="324">
        <v>227.26499999999999</v>
      </c>
      <c r="C36" s="122">
        <v>2</v>
      </c>
    </row>
    <row r="37" spans="1:3" s="290" customFormat="1" ht="16.5" thickBot="1" x14ac:dyDescent="0.3">
      <c r="A37" s="288" t="s">
        <v>334</v>
      </c>
      <c r="B37" s="289"/>
      <c r="C37" s="290">
        <v>10</v>
      </c>
    </row>
    <row r="38" spans="1:3" ht="16.5" thickBot="1" x14ac:dyDescent="0.3">
      <c r="A38" s="131" t="s">
        <v>335</v>
      </c>
      <c r="B38" s="291">
        <f>B37/$B$27</f>
        <v>0</v>
      </c>
    </row>
    <row r="39" spans="1:3" ht="16.5" thickBot="1" x14ac:dyDescent="0.3">
      <c r="A39" s="131" t="s">
        <v>336</v>
      </c>
      <c r="B39" s="287"/>
      <c r="C39" s="122">
        <v>1</v>
      </c>
    </row>
    <row r="40" spans="1:3" ht="16.5" thickBot="1" x14ac:dyDescent="0.3">
      <c r="A40" s="131" t="s">
        <v>337</v>
      </c>
      <c r="B40" s="287"/>
      <c r="C40" s="122">
        <v>2</v>
      </c>
    </row>
    <row r="41" spans="1:3" ht="16.5" thickBot="1" x14ac:dyDescent="0.3">
      <c r="A41" s="288" t="s">
        <v>334</v>
      </c>
      <c r="B41" s="289"/>
      <c r="C41" s="290">
        <v>10</v>
      </c>
    </row>
    <row r="42" spans="1:3" ht="16.5" thickBot="1" x14ac:dyDescent="0.3">
      <c r="A42" s="131" t="s">
        <v>335</v>
      </c>
      <c r="B42" s="291">
        <f>B41/$B$27</f>
        <v>0</v>
      </c>
    </row>
    <row r="43" spans="1:3" ht="16.5" thickBot="1" x14ac:dyDescent="0.3">
      <c r="A43" s="131" t="s">
        <v>336</v>
      </c>
      <c r="B43" s="287"/>
      <c r="C43" s="122">
        <v>1</v>
      </c>
    </row>
    <row r="44" spans="1:3" ht="16.5" thickBot="1" x14ac:dyDescent="0.3">
      <c r="A44" s="131" t="s">
        <v>337</v>
      </c>
      <c r="B44" s="287"/>
      <c r="C44" s="122">
        <v>2</v>
      </c>
    </row>
    <row r="45" spans="1:3" ht="16.5" thickBot="1" x14ac:dyDescent="0.3">
      <c r="A45" s="288" t="s">
        <v>334</v>
      </c>
      <c r="B45" s="289"/>
      <c r="C45" s="290">
        <v>10</v>
      </c>
    </row>
    <row r="46" spans="1:3" ht="16.5" thickBot="1" x14ac:dyDescent="0.3">
      <c r="A46" s="131" t="s">
        <v>335</v>
      </c>
      <c r="B46" s="291">
        <f>B45/$B$27</f>
        <v>0</v>
      </c>
    </row>
    <row r="47" spans="1:3" ht="16.5" thickBot="1" x14ac:dyDescent="0.3">
      <c r="A47" s="131" t="s">
        <v>336</v>
      </c>
      <c r="B47" s="287"/>
      <c r="C47" s="122">
        <v>1</v>
      </c>
    </row>
    <row r="48" spans="1:3" ht="16.5" thickBot="1" x14ac:dyDescent="0.3">
      <c r="A48" s="131" t="s">
        <v>337</v>
      </c>
      <c r="B48" s="287"/>
      <c r="C48" s="122">
        <v>2</v>
      </c>
    </row>
    <row r="49" spans="1:3" ht="16.5" thickBot="1" x14ac:dyDescent="0.3">
      <c r="A49" s="288" t="s">
        <v>334</v>
      </c>
      <c r="B49" s="289"/>
      <c r="C49" s="290">
        <v>10</v>
      </c>
    </row>
    <row r="50" spans="1:3" ht="16.5" thickBot="1" x14ac:dyDescent="0.3">
      <c r="A50" s="131" t="s">
        <v>335</v>
      </c>
      <c r="B50" s="291">
        <f>B49/$B$27</f>
        <v>0</v>
      </c>
    </row>
    <row r="51" spans="1:3" ht="16.5" thickBot="1" x14ac:dyDescent="0.3">
      <c r="A51" s="131" t="s">
        <v>336</v>
      </c>
      <c r="B51" s="287"/>
      <c r="C51" s="122">
        <v>1</v>
      </c>
    </row>
    <row r="52" spans="1:3" ht="16.5" thickBot="1" x14ac:dyDescent="0.3">
      <c r="A52" s="131" t="s">
        <v>337</v>
      </c>
      <c r="B52" s="287"/>
      <c r="C52" s="122">
        <v>2</v>
      </c>
    </row>
    <row r="53" spans="1:3" ht="29.25" thickBot="1" x14ac:dyDescent="0.3">
      <c r="A53" s="137" t="s">
        <v>338</v>
      </c>
      <c r="B53" s="287">
        <f xml:space="preserve"> SUMIF(C54:C110, 20,B54:B110)</f>
        <v>0</v>
      </c>
    </row>
    <row r="54" spans="1:3" s="290" customFormat="1" ht="16.5" thickBot="1" x14ac:dyDescent="0.3">
      <c r="A54" s="288" t="s">
        <v>334</v>
      </c>
      <c r="B54" s="289"/>
      <c r="C54" s="290">
        <v>20</v>
      </c>
    </row>
    <row r="55" spans="1:3" ht="16.5" thickBot="1" x14ac:dyDescent="0.3">
      <c r="A55" s="131" t="s">
        <v>335</v>
      </c>
      <c r="B55" s="291">
        <f>B54/$B$27</f>
        <v>0</v>
      </c>
    </row>
    <row r="56" spans="1:3" ht="16.5" thickBot="1" x14ac:dyDescent="0.3">
      <c r="A56" s="131" t="s">
        <v>336</v>
      </c>
      <c r="B56" s="287"/>
      <c r="C56" s="122">
        <v>1</v>
      </c>
    </row>
    <row r="57" spans="1:3" ht="16.5" thickBot="1" x14ac:dyDescent="0.3">
      <c r="A57" s="131" t="s">
        <v>337</v>
      </c>
      <c r="B57" s="287"/>
      <c r="C57" s="122">
        <v>2</v>
      </c>
    </row>
    <row r="58" spans="1:3" s="290" customFormat="1" ht="16.5" thickBot="1" x14ac:dyDescent="0.3">
      <c r="A58" s="288" t="s">
        <v>334</v>
      </c>
      <c r="B58" s="289"/>
      <c r="C58" s="290">
        <v>20</v>
      </c>
    </row>
    <row r="59" spans="1:3" ht="16.5" thickBot="1" x14ac:dyDescent="0.3">
      <c r="A59" s="131" t="s">
        <v>335</v>
      </c>
      <c r="B59" s="291">
        <f>B58/$B$27</f>
        <v>0</v>
      </c>
    </row>
    <row r="60" spans="1:3" ht="16.5" thickBot="1" x14ac:dyDescent="0.3">
      <c r="A60" s="131" t="s">
        <v>336</v>
      </c>
      <c r="B60" s="287"/>
      <c r="C60" s="122">
        <v>1</v>
      </c>
    </row>
    <row r="61" spans="1:3" ht="16.5" thickBot="1" x14ac:dyDescent="0.3">
      <c r="A61" s="131" t="s">
        <v>337</v>
      </c>
      <c r="B61" s="287"/>
      <c r="C61" s="122">
        <v>2</v>
      </c>
    </row>
    <row r="62" spans="1:3" s="290" customFormat="1" ht="16.5" thickBot="1" x14ac:dyDescent="0.3">
      <c r="A62" s="288" t="s">
        <v>334</v>
      </c>
      <c r="B62" s="289"/>
      <c r="C62" s="290">
        <v>20</v>
      </c>
    </row>
    <row r="63" spans="1:3" ht="16.5" thickBot="1" x14ac:dyDescent="0.3">
      <c r="A63" s="131" t="s">
        <v>335</v>
      </c>
      <c r="B63" s="291">
        <f>B62/$B$27</f>
        <v>0</v>
      </c>
    </row>
    <row r="64" spans="1:3" ht="16.5" thickBot="1" x14ac:dyDescent="0.3">
      <c r="A64" s="131" t="s">
        <v>336</v>
      </c>
      <c r="B64" s="287"/>
      <c r="C64" s="122">
        <v>1</v>
      </c>
    </row>
    <row r="65" spans="1:3" ht="16.5" thickBot="1" x14ac:dyDescent="0.3">
      <c r="A65" s="131" t="s">
        <v>337</v>
      </c>
      <c r="B65" s="287"/>
      <c r="C65" s="122">
        <v>2</v>
      </c>
    </row>
    <row r="66" spans="1:3" s="290" customFormat="1" ht="16.5" thickBot="1" x14ac:dyDescent="0.3">
      <c r="A66" s="288" t="s">
        <v>334</v>
      </c>
      <c r="B66" s="289"/>
      <c r="C66" s="290">
        <v>20</v>
      </c>
    </row>
    <row r="67" spans="1:3" ht="16.5" thickBot="1" x14ac:dyDescent="0.3">
      <c r="A67" s="131" t="s">
        <v>335</v>
      </c>
      <c r="B67" s="291">
        <f>B66/$B$27</f>
        <v>0</v>
      </c>
    </row>
    <row r="68" spans="1:3" ht="16.5" thickBot="1" x14ac:dyDescent="0.3">
      <c r="A68" s="131" t="s">
        <v>336</v>
      </c>
      <c r="B68" s="287"/>
      <c r="C68" s="122">
        <v>1</v>
      </c>
    </row>
    <row r="69" spans="1:3" ht="16.5" thickBot="1" x14ac:dyDescent="0.3">
      <c r="A69" s="131" t="s">
        <v>337</v>
      </c>
      <c r="B69" s="287"/>
      <c r="C69" s="122">
        <v>2</v>
      </c>
    </row>
    <row r="70" spans="1:3" ht="29.25" thickBot="1" x14ac:dyDescent="0.3">
      <c r="A70" s="137" t="s">
        <v>339</v>
      </c>
      <c r="B70" s="287">
        <f xml:space="preserve"> SUMIF(C71:C110, 30,B71:B110)</f>
        <v>18.908227202199996</v>
      </c>
    </row>
    <row r="71" spans="1:3" s="290" customFormat="1" ht="30.75" thickBot="1" x14ac:dyDescent="0.3">
      <c r="A71" s="323" t="s">
        <v>558</v>
      </c>
      <c r="B71" s="324">
        <v>17.368806202199998</v>
      </c>
      <c r="C71" s="290">
        <v>30</v>
      </c>
    </row>
    <row r="72" spans="1:3" ht="16.5" thickBot="1" x14ac:dyDescent="0.3">
      <c r="A72" s="131" t="s">
        <v>335</v>
      </c>
      <c r="B72" s="291">
        <f>B71/$B$27</f>
        <v>3.8369602210435387E-2</v>
      </c>
    </row>
    <row r="73" spans="1:3" ht="16.5" thickBot="1" x14ac:dyDescent="0.3">
      <c r="A73" s="131" t="s">
        <v>336</v>
      </c>
      <c r="B73" s="324">
        <v>0.70499999999999996</v>
      </c>
      <c r="C73" s="122">
        <v>1</v>
      </c>
    </row>
    <row r="74" spans="1:3" ht="16.5" thickBot="1" x14ac:dyDescent="0.3">
      <c r="A74" s="131" t="s">
        <v>337</v>
      </c>
      <c r="B74" s="324">
        <v>2.8280239074</v>
      </c>
      <c r="C74" s="122">
        <v>2</v>
      </c>
    </row>
    <row r="75" spans="1:3" s="290" customFormat="1" ht="30.75" thickBot="1" x14ac:dyDescent="0.3">
      <c r="A75" s="323" t="s">
        <v>557</v>
      </c>
      <c r="B75" s="324">
        <v>0.34499999999999997</v>
      </c>
      <c r="C75" s="290">
        <v>30</v>
      </c>
    </row>
    <row r="76" spans="1:3" ht="16.5" thickBot="1" x14ac:dyDescent="0.3">
      <c r="A76" s="131" t="s">
        <v>335</v>
      </c>
      <c r="B76" s="291">
        <f>B75/$B$27</f>
        <v>7.621429249940906E-4</v>
      </c>
    </row>
    <row r="77" spans="1:3" ht="16.5" thickBot="1" x14ac:dyDescent="0.3">
      <c r="A77" s="131" t="s">
        <v>336</v>
      </c>
      <c r="B77" s="324">
        <v>0.34499999999999997</v>
      </c>
      <c r="C77" s="122">
        <v>1</v>
      </c>
    </row>
    <row r="78" spans="1:3" ht="16.5" thickBot="1" x14ac:dyDescent="0.3">
      <c r="A78" s="131" t="s">
        <v>337</v>
      </c>
      <c r="B78" s="324">
        <v>0.34499999999999997</v>
      </c>
      <c r="C78" s="122">
        <v>2</v>
      </c>
    </row>
    <row r="79" spans="1:3" s="290" customFormat="1" ht="30.75" thickBot="1" x14ac:dyDescent="0.3">
      <c r="A79" s="323" t="s">
        <v>556</v>
      </c>
      <c r="B79" s="324">
        <v>1.1708209999999999</v>
      </c>
      <c r="C79" s="290">
        <v>30</v>
      </c>
    </row>
    <row r="80" spans="1:3" ht="16.5" thickBot="1" x14ac:dyDescent="0.3">
      <c r="A80" s="131" t="s">
        <v>335</v>
      </c>
      <c r="B80" s="291">
        <f>B79/$B$27</f>
        <v>2.586472294447844E-3</v>
      </c>
    </row>
    <row r="81" spans="1:3" ht="16.5" thickBot="1" x14ac:dyDescent="0.3">
      <c r="A81" s="131" t="s">
        <v>336</v>
      </c>
      <c r="B81" s="324">
        <v>1.1708209999999999</v>
      </c>
      <c r="C81" s="122">
        <v>1</v>
      </c>
    </row>
    <row r="82" spans="1:3" ht="16.5" thickBot="1" x14ac:dyDescent="0.3">
      <c r="A82" s="131" t="s">
        <v>337</v>
      </c>
      <c r="B82" s="324">
        <v>1.1708209999999999</v>
      </c>
      <c r="C82" s="122">
        <v>2</v>
      </c>
    </row>
    <row r="83" spans="1:3" s="290" customFormat="1" ht="30.75" thickBot="1" x14ac:dyDescent="0.3">
      <c r="A83" s="323" t="s">
        <v>555</v>
      </c>
      <c r="B83" s="324">
        <v>2.3599999999999999E-2</v>
      </c>
      <c r="C83" s="290">
        <v>30</v>
      </c>
    </row>
    <row r="84" spans="1:3" ht="16.5" thickBot="1" x14ac:dyDescent="0.3">
      <c r="A84" s="131" t="s">
        <v>335</v>
      </c>
      <c r="B84" s="291">
        <f>B83/$B$27</f>
        <v>5.2134994289450835E-5</v>
      </c>
    </row>
    <row r="85" spans="1:3" ht="16.5" thickBot="1" x14ac:dyDescent="0.3">
      <c r="A85" s="131" t="s">
        <v>336</v>
      </c>
      <c r="B85" s="324">
        <v>2.3599999999999999E-2</v>
      </c>
      <c r="C85" s="122">
        <v>1</v>
      </c>
    </row>
    <row r="86" spans="1:3" ht="16.5" thickBot="1" x14ac:dyDescent="0.3">
      <c r="A86" s="131" t="s">
        <v>337</v>
      </c>
      <c r="B86" s="324">
        <v>2.3599999999999999E-2</v>
      </c>
      <c r="C86" s="122">
        <v>2</v>
      </c>
    </row>
    <row r="87" spans="1:3" s="290" customFormat="1" ht="16.5" thickBot="1" x14ac:dyDescent="0.3">
      <c r="A87" s="288" t="s">
        <v>334</v>
      </c>
      <c r="B87" s="289"/>
      <c r="C87" s="290">
        <v>30</v>
      </c>
    </row>
    <row r="88" spans="1:3" ht="16.5" thickBot="1" x14ac:dyDescent="0.3">
      <c r="A88" s="131" t="s">
        <v>335</v>
      </c>
      <c r="B88" s="291">
        <f>B87/$B$27</f>
        <v>0</v>
      </c>
    </row>
    <row r="89" spans="1:3" ht="16.5" thickBot="1" x14ac:dyDescent="0.3">
      <c r="A89" s="131" t="s">
        <v>336</v>
      </c>
      <c r="B89" s="287"/>
      <c r="C89" s="122">
        <v>1</v>
      </c>
    </row>
    <row r="90" spans="1:3" ht="16.5" thickBot="1" x14ac:dyDescent="0.3">
      <c r="A90" s="131" t="s">
        <v>337</v>
      </c>
      <c r="B90" s="287"/>
      <c r="C90" s="122">
        <v>2</v>
      </c>
    </row>
    <row r="91" spans="1:3" s="290" customFormat="1" ht="16.5" thickBot="1" x14ac:dyDescent="0.3">
      <c r="A91" s="288" t="s">
        <v>334</v>
      </c>
      <c r="B91" s="289"/>
      <c r="C91" s="290">
        <v>30</v>
      </c>
    </row>
    <row r="92" spans="1:3" ht="16.5" thickBot="1" x14ac:dyDescent="0.3">
      <c r="A92" s="131" t="s">
        <v>335</v>
      </c>
      <c r="B92" s="291">
        <f>B91/$B$27</f>
        <v>0</v>
      </c>
    </row>
    <row r="93" spans="1:3" ht="16.5" thickBot="1" x14ac:dyDescent="0.3">
      <c r="A93" s="131" t="s">
        <v>336</v>
      </c>
      <c r="B93" s="287"/>
      <c r="C93" s="122">
        <v>1</v>
      </c>
    </row>
    <row r="94" spans="1:3" ht="16.5" thickBot="1" x14ac:dyDescent="0.3">
      <c r="A94" s="131" t="s">
        <v>337</v>
      </c>
      <c r="B94" s="287"/>
      <c r="C94" s="122">
        <v>2</v>
      </c>
    </row>
    <row r="95" spans="1:3" s="290" customFormat="1" ht="16.5" thickBot="1" x14ac:dyDescent="0.3">
      <c r="A95" s="288" t="s">
        <v>334</v>
      </c>
      <c r="B95" s="289"/>
      <c r="C95" s="290">
        <v>30</v>
      </c>
    </row>
    <row r="96" spans="1:3" ht="16.5" thickBot="1" x14ac:dyDescent="0.3">
      <c r="A96" s="131" t="s">
        <v>335</v>
      </c>
      <c r="B96" s="291">
        <f>B95/$B$27</f>
        <v>0</v>
      </c>
    </row>
    <row r="97" spans="1:3" ht="16.5" thickBot="1" x14ac:dyDescent="0.3">
      <c r="A97" s="131" t="s">
        <v>336</v>
      </c>
      <c r="B97" s="287"/>
      <c r="C97" s="122">
        <v>1</v>
      </c>
    </row>
    <row r="98" spans="1:3" ht="16.5" thickBot="1" x14ac:dyDescent="0.3">
      <c r="A98" s="131" t="s">
        <v>337</v>
      </c>
      <c r="B98" s="287"/>
      <c r="C98" s="122">
        <v>2</v>
      </c>
    </row>
    <row r="99" spans="1:3" s="290" customFormat="1" ht="16.5" thickBot="1" x14ac:dyDescent="0.3">
      <c r="A99" s="288" t="s">
        <v>334</v>
      </c>
      <c r="B99" s="289"/>
      <c r="C99" s="290">
        <v>30</v>
      </c>
    </row>
    <row r="100" spans="1:3" ht="16.5" thickBot="1" x14ac:dyDescent="0.3">
      <c r="A100" s="131" t="s">
        <v>335</v>
      </c>
      <c r="B100" s="291">
        <f>B99/$B$27</f>
        <v>0</v>
      </c>
    </row>
    <row r="101" spans="1:3" ht="16.5" thickBot="1" x14ac:dyDescent="0.3">
      <c r="A101" s="131" t="s">
        <v>336</v>
      </c>
      <c r="B101" s="287"/>
      <c r="C101" s="122">
        <v>1</v>
      </c>
    </row>
    <row r="102" spans="1:3" ht="16.5" thickBot="1" x14ac:dyDescent="0.3">
      <c r="A102" s="131" t="s">
        <v>337</v>
      </c>
      <c r="B102" s="287"/>
      <c r="C102" s="122">
        <v>2</v>
      </c>
    </row>
    <row r="103" spans="1:3" s="290" customFormat="1" ht="16.5" thickBot="1" x14ac:dyDescent="0.3">
      <c r="A103" s="288" t="s">
        <v>334</v>
      </c>
      <c r="B103" s="289"/>
      <c r="C103" s="290">
        <v>30</v>
      </c>
    </row>
    <row r="104" spans="1:3" ht="16.5" thickBot="1" x14ac:dyDescent="0.3">
      <c r="A104" s="131" t="s">
        <v>335</v>
      </c>
      <c r="B104" s="291">
        <f>B103/$B$27</f>
        <v>0</v>
      </c>
    </row>
    <row r="105" spans="1:3" ht="16.5" thickBot="1" x14ac:dyDescent="0.3">
      <c r="A105" s="131" t="s">
        <v>336</v>
      </c>
      <c r="B105" s="287"/>
      <c r="C105" s="122">
        <v>1</v>
      </c>
    </row>
    <row r="106" spans="1:3" ht="16.5" thickBot="1" x14ac:dyDescent="0.3">
      <c r="A106" s="131" t="s">
        <v>337</v>
      </c>
      <c r="B106" s="287"/>
      <c r="C106" s="122">
        <v>2</v>
      </c>
    </row>
    <row r="107" spans="1:3" s="290" customFormat="1" ht="16.5" thickBot="1" x14ac:dyDescent="0.3">
      <c r="A107" s="288" t="s">
        <v>334</v>
      </c>
      <c r="B107" s="289"/>
      <c r="C107" s="290">
        <v>30</v>
      </c>
    </row>
    <row r="108" spans="1:3" ht="16.5" thickBot="1" x14ac:dyDescent="0.3">
      <c r="A108" s="131" t="s">
        <v>335</v>
      </c>
      <c r="B108" s="291">
        <f>B107/$B$27</f>
        <v>0</v>
      </c>
    </row>
    <row r="109" spans="1:3" ht="16.5" thickBot="1" x14ac:dyDescent="0.3">
      <c r="A109" s="131" t="s">
        <v>336</v>
      </c>
      <c r="B109" s="287"/>
      <c r="C109" s="122">
        <v>1</v>
      </c>
    </row>
    <row r="110" spans="1:3" ht="16.5" thickBot="1" x14ac:dyDescent="0.3">
      <c r="A110" s="131" t="s">
        <v>337</v>
      </c>
      <c r="B110" s="287"/>
      <c r="C110" s="122">
        <v>2</v>
      </c>
    </row>
    <row r="111" spans="1:3" ht="29.25" thickBot="1" x14ac:dyDescent="0.3">
      <c r="A111" s="130" t="s">
        <v>340</v>
      </c>
      <c r="B111" s="138"/>
    </row>
    <row r="112" spans="1:3" ht="16.5" thickBot="1" x14ac:dyDescent="0.3">
      <c r="A112" s="132" t="s">
        <v>332</v>
      </c>
      <c r="B112" s="138"/>
    </row>
    <row r="113" spans="1:2" ht="16.5" thickBot="1" x14ac:dyDescent="0.3">
      <c r="A113" s="132" t="s">
        <v>341</v>
      </c>
      <c r="B113" s="138"/>
    </row>
    <row r="114" spans="1:2" ht="16.5" thickBot="1" x14ac:dyDescent="0.3">
      <c r="A114" s="132" t="s">
        <v>342</v>
      </c>
      <c r="B114" s="138"/>
    </row>
    <row r="115" spans="1:2" ht="16.5" thickBot="1" x14ac:dyDescent="0.3">
      <c r="A115" s="132" t="s">
        <v>343</v>
      </c>
      <c r="B115" s="138"/>
    </row>
    <row r="116" spans="1:2" ht="16.5" thickBot="1" x14ac:dyDescent="0.3">
      <c r="A116" s="128" t="s">
        <v>344</v>
      </c>
      <c r="B116" s="292">
        <f>B117/$B$27</f>
        <v>0.33628047182169829</v>
      </c>
    </row>
    <row r="117" spans="1:2" ht="16.5" thickBot="1" x14ac:dyDescent="0.3">
      <c r="A117" s="128" t="s">
        <v>345</v>
      </c>
      <c r="B117" s="293">
        <f xml:space="preserve"> SUMIF(C33:C110, 1,B33:B110)</f>
        <v>152.22441745999998</v>
      </c>
    </row>
    <row r="118" spans="1:2" ht="16.5" thickBot="1" x14ac:dyDescent="0.3">
      <c r="A118" s="128" t="s">
        <v>346</v>
      </c>
      <c r="B118" s="292">
        <f>B119/$B$27</f>
        <v>0.511701533580459</v>
      </c>
    </row>
    <row r="119" spans="1:2" ht="16.5" thickBot="1" x14ac:dyDescent="0.3">
      <c r="A119" s="129" t="s">
        <v>347</v>
      </c>
      <c r="B119" s="293">
        <f xml:space="preserve"> SUMIF(C33:C110, 2,B33:B110)</f>
        <v>231.63244490739996</v>
      </c>
    </row>
    <row r="120" spans="1:2" ht="15.75" customHeight="1" x14ac:dyDescent="0.25">
      <c r="A120" s="130" t="s">
        <v>348</v>
      </c>
      <c r="B120" s="435" t="s">
        <v>349</v>
      </c>
    </row>
    <row r="121" spans="1:2" x14ac:dyDescent="0.25">
      <c r="A121" s="134" t="s">
        <v>350</v>
      </c>
      <c r="B121" s="436"/>
    </row>
    <row r="122" spans="1:2" x14ac:dyDescent="0.25">
      <c r="A122" s="134" t="s">
        <v>351</v>
      </c>
      <c r="B122" s="436"/>
    </row>
    <row r="123" spans="1:2" x14ac:dyDescent="0.25">
      <c r="A123" s="134" t="s">
        <v>352</v>
      </c>
      <c r="B123" s="436"/>
    </row>
    <row r="124" spans="1:2" x14ac:dyDescent="0.25">
      <c r="A124" s="134" t="s">
        <v>353</v>
      </c>
      <c r="B124" s="436"/>
    </row>
    <row r="125" spans="1:2" ht="16.5" thickBot="1" x14ac:dyDescent="0.3">
      <c r="A125" s="135" t="s">
        <v>354</v>
      </c>
      <c r="B125" s="437"/>
    </row>
    <row r="126" spans="1:2" ht="30.75" thickBot="1" x14ac:dyDescent="0.3">
      <c r="A126" s="132" t="s">
        <v>355</v>
      </c>
      <c r="B126" s="133"/>
    </row>
    <row r="127" spans="1:2" ht="29.25" thickBot="1" x14ac:dyDescent="0.3">
      <c r="A127" s="128" t="s">
        <v>356</v>
      </c>
      <c r="B127" s="133"/>
    </row>
    <row r="128" spans="1:2" ht="16.5" thickBot="1" x14ac:dyDescent="0.3">
      <c r="A128" s="132" t="s">
        <v>332</v>
      </c>
      <c r="B128" s="140"/>
    </row>
    <row r="129" spans="1:2" ht="16.5" thickBot="1" x14ac:dyDescent="0.3">
      <c r="A129" s="132" t="s">
        <v>357</v>
      </c>
      <c r="B129" s="133"/>
    </row>
    <row r="130" spans="1:2" ht="16.5" thickBot="1" x14ac:dyDescent="0.3">
      <c r="A130" s="132" t="s">
        <v>358</v>
      </c>
      <c r="B130" s="140"/>
    </row>
    <row r="131" spans="1:2" ht="30.75" thickBot="1" x14ac:dyDescent="0.3">
      <c r="A131" s="141" t="s">
        <v>359</v>
      </c>
      <c r="B131" s="321" t="s">
        <v>360</v>
      </c>
    </row>
    <row r="132" spans="1:2" ht="16.5" thickBot="1" x14ac:dyDescent="0.3">
      <c r="A132" s="128" t="s">
        <v>361</v>
      </c>
      <c r="B132" s="139"/>
    </row>
    <row r="133" spans="1:2" ht="16.5" thickBot="1" x14ac:dyDescent="0.3">
      <c r="A133" s="134" t="s">
        <v>362</v>
      </c>
      <c r="B133" s="142"/>
    </row>
    <row r="134" spans="1:2" ht="16.5" thickBot="1" x14ac:dyDescent="0.3">
      <c r="A134" s="134" t="s">
        <v>363</v>
      </c>
      <c r="B134" s="142"/>
    </row>
    <row r="135" spans="1:2" ht="16.5" thickBot="1" x14ac:dyDescent="0.3">
      <c r="A135" s="134" t="s">
        <v>364</v>
      </c>
      <c r="B135" s="142"/>
    </row>
    <row r="136" spans="1:2" ht="45.75" thickBot="1" x14ac:dyDescent="0.3">
      <c r="A136" s="143" t="s">
        <v>365</v>
      </c>
      <c r="B136" s="140" t="s">
        <v>366</v>
      </c>
    </row>
    <row r="137" spans="1:2" ht="28.5" customHeight="1" x14ac:dyDescent="0.25">
      <c r="A137" s="130" t="s">
        <v>367</v>
      </c>
      <c r="B137" s="435" t="s">
        <v>368</v>
      </c>
    </row>
    <row r="138" spans="1:2" x14ac:dyDescent="0.25">
      <c r="A138" s="134" t="s">
        <v>369</v>
      </c>
      <c r="B138" s="436"/>
    </row>
    <row r="139" spans="1:2" x14ac:dyDescent="0.25">
      <c r="A139" s="134" t="s">
        <v>370</v>
      </c>
      <c r="B139" s="436"/>
    </row>
    <row r="140" spans="1:2" x14ac:dyDescent="0.25">
      <c r="A140" s="134" t="s">
        <v>371</v>
      </c>
      <c r="B140" s="436"/>
    </row>
    <row r="141" spans="1:2" x14ac:dyDescent="0.25">
      <c r="A141" s="134" t="s">
        <v>372</v>
      </c>
      <c r="B141" s="436"/>
    </row>
    <row r="142" spans="1:2" ht="16.5" thickBot="1" x14ac:dyDescent="0.3">
      <c r="A142" s="144" t="s">
        <v>373</v>
      </c>
      <c r="B142" s="437"/>
    </row>
    <row r="145" spans="1:2" x14ac:dyDescent="0.25">
      <c r="A145" s="145"/>
      <c r="B145" s="146"/>
    </row>
    <row r="146" spans="1:2" x14ac:dyDescent="0.25">
      <c r="B146" s="147"/>
    </row>
    <row r="147" spans="1:2" x14ac:dyDescent="0.25">
      <c r="B147" s="148"/>
    </row>
  </sheetData>
  <mergeCells count="11">
    <mergeCell ref="A13:B13"/>
    <mergeCell ref="A5:B5"/>
    <mergeCell ref="A7:B7"/>
    <mergeCell ref="A9:B9"/>
    <mergeCell ref="A10:B10"/>
    <mergeCell ref="A12:B12"/>
    <mergeCell ref="A15:B15"/>
    <mergeCell ref="A16:B16"/>
    <mergeCell ref="A18:B18"/>
    <mergeCell ref="B120:B125"/>
    <mergeCell ref="B137:B142"/>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23" zoomScale="80" zoomScaleSheetLayoutView="80" workbookViewId="0">
      <selection activeCell="H25" sqref="H2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80.42578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4.140625" style="1" customWidth="1"/>
    <col min="18" max="18" width="58.28515625" style="1" customWidth="1"/>
    <col min="19" max="19" width="43" style="1" customWidth="1"/>
    <col min="20" max="16384" width="9.140625" style="1"/>
  </cols>
  <sheetData>
    <row r="1" spans="1:28" s="12" customFormat="1" ht="18.75" customHeight="1" x14ac:dyDescent="0.2">
      <c r="A1" s="18"/>
      <c r="S1" s="39"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339" t="str">
        <f>'1. паспорт местоположение'!A5:C5</f>
        <v>Год раскрытия информации: 2016 год</v>
      </c>
      <c r="B4" s="339"/>
      <c r="C4" s="339"/>
      <c r="D4" s="339"/>
      <c r="E4" s="339"/>
      <c r="F4" s="339"/>
      <c r="G4" s="339"/>
      <c r="H4" s="339"/>
      <c r="I4" s="339"/>
      <c r="J4" s="339"/>
      <c r="K4" s="339"/>
      <c r="L4" s="339"/>
      <c r="M4" s="339"/>
      <c r="N4" s="339"/>
      <c r="O4" s="339"/>
      <c r="P4" s="339"/>
      <c r="Q4" s="339"/>
      <c r="R4" s="339"/>
      <c r="S4" s="339"/>
    </row>
    <row r="5" spans="1:28" s="12" customFormat="1" ht="15.75" x14ac:dyDescent="0.2">
      <c r="A5" s="17"/>
    </row>
    <row r="6" spans="1:28" s="12" customFormat="1" ht="18.75" x14ac:dyDescent="0.2">
      <c r="A6" s="332" t="s">
        <v>9</v>
      </c>
      <c r="B6" s="332"/>
      <c r="C6" s="332"/>
      <c r="D6" s="332"/>
      <c r="E6" s="332"/>
      <c r="F6" s="332"/>
      <c r="G6" s="332"/>
      <c r="H6" s="332"/>
      <c r="I6" s="332"/>
      <c r="J6" s="332"/>
      <c r="K6" s="332"/>
      <c r="L6" s="332"/>
      <c r="M6" s="332"/>
      <c r="N6" s="332"/>
      <c r="O6" s="332"/>
      <c r="P6" s="332"/>
      <c r="Q6" s="332"/>
      <c r="R6" s="332"/>
      <c r="S6" s="332"/>
      <c r="T6" s="13"/>
      <c r="U6" s="13"/>
      <c r="V6" s="13"/>
      <c r="W6" s="13"/>
      <c r="X6" s="13"/>
      <c r="Y6" s="13"/>
      <c r="Z6" s="13"/>
      <c r="AA6" s="13"/>
      <c r="AB6" s="13"/>
    </row>
    <row r="7" spans="1:28" s="12" customFormat="1" ht="18.75" x14ac:dyDescent="0.2">
      <c r="A7" s="332"/>
      <c r="B7" s="332"/>
      <c r="C7" s="332"/>
      <c r="D7" s="332"/>
      <c r="E7" s="332"/>
      <c r="F7" s="332"/>
      <c r="G7" s="332"/>
      <c r="H7" s="332"/>
      <c r="I7" s="332"/>
      <c r="J7" s="332"/>
      <c r="K7" s="332"/>
      <c r="L7" s="332"/>
      <c r="M7" s="332"/>
      <c r="N7" s="332"/>
      <c r="O7" s="332"/>
      <c r="P7" s="332"/>
      <c r="Q7" s="332"/>
      <c r="R7" s="332"/>
      <c r="S7" s="332"/>
      <c r="T7" s="13"/>
      <c r="U7" s="13"/>
      <c r="V7" s="13"/>
      <c r="W7" s="13"/>
      <c r="X7" s="13"/>
      <c r="Y7" s="13"/>
      <c r="Z7" s="13"/>
      <c r="AA7" s="13"/>
      <c r="AB7" s="13"/>
    </row>
    <row r="8" spans="1:28" s="12" customFormat="1" ht="18.75" x14ac:dyDescent="0.2">
      <c r="A8" s="335" t="str">
        <f>'1. паспорт местоположение'!A9:C9</f>
        <v>АО "Янтарьэнерго"</v>
      </c>
      <c r="B8" s="335"/>
      <c r="C8" s="335"/>
      <c r="D8" s="335"/>
      <c r="E8" s="335"/>
      <c r="F8" s="335"/>
      <c r="G8" s="335"/>
      <c r="H8" s="335"/>
      <c r="I8" s="335"/>
      <c r="J8" s="335"/>
      <c r="K8" s="335"/>
      <c r="L8" s="335"/>
      <c r="M8" s="335"/>
      <c r="N8" s="335"/>
      <c r="O8" s="335"/>
      <c r="P8" s="335"/>
      <c r="Q8" s="335"/>
      <c r="R8" s="335"/>
      <c r="S8" s="335"/>
      <c r="T8" s="13"/>
      <c r="U8" s="13"/>
      <c r="V8" s="13"/>
      <c r="W8" s="13"/>
      <c r="X8" s="13"/>
      <c r="Y8" s="13"/>
      <c r="Z8" s="13"/>
      <c r="AA8" s="13"/>
      <c r="AB8" s="13"/>
    </row>
    <row r="9" spans="1:28" s="12" customFormat="1" ht="18.75" x14ac:dyDescent="0.2">
      <c r="A9" s="329" t="s">
        <v>8</v>
      </c>
      <c r="B9" s="329"/>
      <c r="C9" s="329"/>
      <c r="D9" s="329"/>
      <c r="E9" s="329"/>
      <c r="F9" s="329"/>
      <c r="G9" s="329"/>
      <c r="H9" s="329"/>
      <c r="I9" s="329"/>
      <c r="J9" s="329"/>
      <c r="K9" s="329"/>
      <c r="L9" s="329"/>
      <c r="M9" s="329"/>
      <c r="N9" s="329"/>
      <c r="O9" s="329"/>
      <c r="P9" s="329"/>
      <c r="Q9" s="329"/>
      <c r="R9" s="329"/>
      <c r="S9" s="329"/>
      <c r="T9" s="13"/>
      <c r="U9" s="13"/>
      <c r="V9" s="13"/>
      <c r="W9" s="13"/>
      <c r="X9" s="13"/>
      <c r="Y9" s="13"/>
      <c r="Z9" s="13"/>
      <c r="AA9" s="13"/>
      <c r="AB9" s="13"/>
    </row>
    <row r="10" spans="1:28" s="12" customFormat="1" ht="18.75" x14ac:dyDescent="0.2">
      <c r="A10" s="332"/>
      <c r="B10" s="332"/>
      <c r="C10" s="332"/>
      <c r="D10" s="332"/>
      <c r="E10" s="332"/>
      <c r="F10" s="332"/>
      <c r="G10" s="332"/>
      <c r="H10" s="332"/>
      <c r="I10" s="332"/>
      <c r="J10" s="332"/>
      <c r="K10" s="332"/>
      <c r="L10" s="332"/>
      <c r="M10" s="332"/>
      <c r="N10" s="332"/>
      <c r="O10" s="332"/>
      <c r="P10" s="332"/>
      <c r="Q10" s="332"/>
      <c r="R10" s="332"/>
      <c r="S10" s="332"/>
      <c r="T10" s="13"/>
      <c r="U10" s="13"/>
      <c r="V10" s="13"/>
      <c r="W10" s="13"/>
      <c r="X10" s="13"/>
      <c r="Y10" s="13"/>
      <c r="Z10" s="13"/>
      <c r="AA10" s="13"/>
      <c r="AB10" s="13"/>
    </row>
    <row r="11" spans="1:28" s="12" customFormat="1" ht="18.75" x14ac:dyDescent="0.2">
      <c r="A11" s="335" t="str">
        <f>'1. паспорт местоположение'!A12:C12</f>
        <v>E_prj_111001_47826</v>
      </c>
      <c r="B11" s="335"/>
      <c r="C11" s="335"/>
      <c r="D11" s="335"/>
      <c r="E11" s="335"/>
      <c r="F11" s="335"/>
      <c r="G11" s="335"/>
      <c r="H11" s="335"/>
      <c r="I11" s="335"/>
      <c r="J11" s="335"/>
      <c r="K11" s="335"/>
      <c r="L11" s="335"/>
      <c r="M11" s="335"/>
      <c r="N11" s="335"/>
      <c r="O11" s="335"/>
      <c r="P11" s="335"/>
      <c r="Q11" s="335"/>
      <c r="R11" s="335"/>
      <c r="S11" s="335"/>
      <c r="T11" s="13"/>
      <c r="U11" s="13"/>
      <c r="V11" s="13"/>
      <c r="W11" s="13"/>
      <c r="X11" s="13"/>
      <c r="Y11" s="13"/>
      <c r="Z11" s="13"/>
      <c r="AA11" s="13"/>
      <c r="AB11" s="13"/>
    </row>
    <row r="12" spans="1:28" s="12" customFormat="1" ht="18.75" x14ac:dyDescent="0.2">
      <c r="A12" s="329" t="s">
        <v>7</v>
      </c>
      <c r="B12" s="329"/>
      <c r="C12" s="329"/>
      <c r="D12" s="329"/>
      <c r="E12" s="329"/>
      <c r="F12" s="329"/>
      <c r="G12" s="329"/>
      <c r="H12" s="329"/>
      <c r="I12" s="329"/>
      <c r="J12" s="329"/>
      <c r="K12" s="329"/>
      <c r="L12" s="329"/>
      <c r="M12" s="329"/>
      <c r="N12" s="329"/>
      <c r="O12" s="329"/>
      <c r="P12" s="329"/>
      <c r="Q12" s="329"/>
      <c r="R12" s="329"/>
      <c r="S12" s="329"/>
      <c r="T12" s="13"/>
      <c r="U12" s="13"/>
      <c r="V12" s="13"/>
      <c r="W12" s="13"/>
      <c r="X12" s="13"/>
      <c r="Y12" s="13"/>
      <c r="Z12" s="13"/>
      <c r="AA12" s="13"/>
      <c r="AB12" s="13"/>
    </row>
    <row r="13" spans="1:28" s="9" customFormat="1" ht="15.75" customHeight="1" x14ac:dyDescent="0.2">
      <c r="A13" s="338"/>
      <c r="B13" s="338"/>
      <c r="C13" s="338"/>
      <c r="D13" s="338"/>
      <c r="E13" s="338"/>
      <c r="F13" s="338"/>
      <c r="G13" s="338"/>
      <c r="H13" s="338"/>
      <c r="I13" s="338"/>
      <c r="J13" s="338"/>
      <c r="K13" s="338"/>
      <c r="L13" s="338"/>
      <c r="M13" s="338"/>
      <c r="N13" s="338"/>
      <c r="O13" s="338"/>
      <c r="P13" s="338"/>
      <c r="Q13" s="338"/>
      <c r="R13" s="338"/>
      <c r="S13" s="338"/>
      <c r="T13" s="10"/>
      <c r="U13" s="10"/>
      <c r="V13" s="10"/>
      <c r="W13" s="10"/>
      <c r="X13" s="10"/>
      <c r="Y13" s="10"/>
      <c r="Z13" s="10"/>
      <c r="AA13" s="10"/>
      <c r="AB13" s="10"/>
    </row>
    <row r="14" spans="1:28" s="3" customFormat="1" ht="15.75" x14ac:dyDescent="0.2">
      <c r="A14" s="335"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4" s="335"/>
      <c r="C14" s="335"/>
      <c r="D14" s="335"/>
      <c r="E14" s="335"/>
      <c r="F14" s="335"/>
      <c r="G14" s="335"/>
      <c r="H14" s="335"/>
      <c r="I14" s="335"/>
      <c r="J14" s="335"/>
      <c r="K14" s="335"/>
      <c r="L14" s="335"/>
      <c r="M14" s="335"/>
      <c r="N14" s="335"/>
      <c r="O14" s="335"/>
      <c r="P14" s="335"/>
      <c r="Q14" s="335"/>
      <c r="R14" s="335"/>
      <c r="S14" s="335"/>
      <c r="T14" s="8"/>
      <c r="U14" s="8"/>
      <c r="V14" s="8"/>
      <c r="W14" s="8"/>
      <c r="X14" s="8"/>
      <c r="Y14" s="8"/>
      <c r="Z14" s="8"/>
      <c r="AA14" s="8"/>
      <c r="AB14" s="8"/>
    </row>
    <row r="15" spans="1:28" s="3" customFormat="1" ht="15" customHeight="1" x14ac:dyDescent="0.2">
      <c r="A15" s="329" t="s">
        <v>6</v>
      </c>
      <c r="B15" s="329"/>
      <c r="C15" s="329"/>
      <c r="D15" s="329"/>
      <c r="E15" s="329"/>
      <c r="F15" s="329"/>
      <c r="G15" s="329"/>
      <c r="H15" s="329"/>
      <c r="I15" s="329"/>
      <c r="J15" s="329"/>
      <c r="K15" s="329"/>
      <c r="L15" s="329"/>
      <c r="M15" s="329"/>
      <c r="N15" s="329"/>
      <c r="O15" s="329"/>
      <c r="P15" s="329"/>
      <c r="Q15" s="329"/>
      <c r="R15" s="329"/>
      <c r="S15" s="329"/>
      <c r="T15" s="6"/>
      <c r="U15" s="6"/>
      <c r="V15" s="6"/>
      <c r="W15" s="6"/>
      <c r="X15" s="6"/>
      <c r="Y15" s="6"/>
      <c r="Z15" s="6"/>
      <c r="AA15" s="6"/>
      <c r="AB15" s="6"/>
    </row>
    <row r="16" spans="1:28" s="3" customFormat="1" ht="15" customHeight="1" x14ac:dyDescent="0.2">
      <c r="A16" s="336"/>
      <c r="B16" s="336"/>
      <c r="C16" s="336"/>
      <c r="D16" s="336"/>
      <c r="E16" s="336"/>
      <c r="F16" s="336"/>
      <c r="G16" s="336"/>
      <c r="H16" s="336"/>
      <c r="I16" s="336"/>
      <c r="J16" s="336"/>
      <c r="K16" s="336"/>
      <c r="L16" s="336"/>
      <c r="M16" s="336"/>
      <c r="N16" s="336"/>
      <c r="O16" s="336"/>
      <c r="P16" s="336"/>
      <c r="Q16" s="336"/>
      <c r="R16" s="336"/>
      <c r="S16" s="336"/>
      <c r="T16" s="4"/>
      <c r="U16" s="4"/>
      <c r="V16" s="4"/>
      <c r="W16" s="4"/>
      <c r="X16" s="4"/>
      <c r="Y16" s="4"/>
    </row>
    <row r="17" spans="1:28" s="3" customFormat="1" ht="45.75" customHeight="1" x14ac:dyDescent="0.2">
      <c r="A17" s="330" t="s">
        <v>406</v>
      </c>
      <c r="B17" s="330"/>
      <c r="C17" s="330"/>
      <c r="D17" s="330"/>
      <c r="E17" s="330"/>
      <c r="F17" s="330"/>
      <c r="G17" s="330"/>
      <c r="H17" s="330"/>
      <c r="I17" s="330"/>
      <c r="J17" s="330"/>
      <c r="K17" s="330"/>
      <c r="L17" s="330"/>
      <c r="M17" s="330"/>
      <c r="N17" s="330"/>
      <c r="O17" s="330"/>
      <c r="P17" s="330"/>
      <c r="Q17" s="330"/>
      <c r="R17" s="330"/>
      <c r="S17" s="330"/>
      <c r="T17" s="7"/>
      <c r="U17" s="7"/>
      <c r="V17" s="7"/>
      <c r="W17" s="7"/>
      <c r="X17" s="7"/>
      <c r="Y17" s="7"/>
      <c r="Z17" s="7"/>
      <c r="AA17" s="7"/>
      <c r="AB17" s="7"/>
    </row>
    <row r="18" spans="1:28" s="3" customFormat="1" ht="15" customHeight="1" x14ac:dyDescent="0.2">
      <c r="A18" s="337"/>
      <c r="B18" s="337"/>
      <c r="C18" s="337"/>
      <c r="D18" s="337"/>
      <c r="E18" s="337"/>
      <c r="F18" s="337"/>
      <c r="G18" s="337"/>
      <c r="H18" s="337"/>
      <c r="I18" s="337"/>
      <c r="J18" s="337"/>
      <c r="K18" s="337"/>
      <c r="L18" s="337"/>
      <c r="M18" s="337"/>
      <c r="N18" s="337"/>
      <c r="O18" s="337"/>
      <c r="P18" s="337"/>
      <c r="Q18" s="337"/>
      <c r="R18" s="337"/>
      <c r="S18" s="337"/>
      <c r="T18" s="4"/>
      <c r="U18" s="4"/>
      <c r="V18" s="4"/>
      <c r="W18" s="4"/>
      <c r="X18" s="4"/>
      <c r="Y18" s="4"/>
    </row>
    <row r="19" spans="1:28" s="3" customFormat="1" ht="54" customHeight="1" x14ac:dyDescent="0.2">
      <c r="A19" s="340" t="s">
        <v>5</v>
      </c>
      <c r="B19" s="340" t="s">
        <v>105</v>
      </c>
      <c r="C19" s="341" t="s">
        <v>323</v>
      </c>
      <c r="D19" s="340" t="s">
        <v>322</v>
      </c>
      <c r="E19" s="340" t="s">
        <v>104</v>
      </c>
      <c r="F19" s="340" t="s">
        <v>103</v>
      </c>
      <c r="G19" s="340" t="s">
        <v>318</v>
      </c>
      <c r="H19" s="340" t="s">
        <v>102</v>
      </c>
      <c r="I19" s="340" t="s">
        <v>101</v>
      </c>
      <c r="J19" s="340" t="s">
        <v>100</v>
      </c>
      <c r="K19" s="340" t="s">
        <v>99</v>
      </c>
      <c r="L19" s="340" t="s">
        <v>98</v>
      </c>
      <c r="M19" s="340" t="s">
        <v>97</v>
      </c>
      <c r="N19" s="340" t="s">
        <v>96</v>
      </c>
      <c r="O19" s="340" t="s">
        <v>95</v>
      </c>
      <c r="P19" s="340" t="s">
        <v>94</v>
      </c>
      <c r="Q19" s="340" t="s">
        <v>321</v>
      </c>
      <c r="R19" s="340"/>
      <c r="S19" s="343" t="s">
        <v>400</v>
      </c>
      <c r="T19" s="4"/>
      <c r="U19" s="4"/>
      <c r="V19" s="4"/>
      <c r="W19" s="4"/>
      <c r="X19" s="4"/>
      <c r="Y19" s="4"/>
    </row>
    <row r="20" spans="1:28" s="3" customFormat="1" ht="180.75" customHeight="1" x14ac:dyDescent="0.2">
      <c r="A20" s="340"/>
      <c r="B20" s="340"/>
      <c r="C20" s="342"/>
      <c r="D20" s="340"/>
      <c r="E20" s="340"/>
      <c r="F20" s="340"/>
      <c r="G20" s="340"/>
      <c r="H20" s="340"/>
      <c r="I20" s="340"/>
      <c r="J20" s="340"/>
      <c r="K20" s="340"/>
      <c r="L20" s="340"/>
      <c r="M20" s="340"/>
      <c r="N20" s="340"/>
      <c r="O20" s="340"/>
      <c r="P20" s="340"/>
      <c r="Q20" s="42" t="s">
        <v>319</v>
      </c>
      <c r="R20" s="43" t="s">
        <v>320</v>
      </c>
      <c r="S20" s="343"/>
      <c r="T20" s="28"/>
      <c r="U20" s="28"/>
      <c r="V20" s="28"/>
      <c r="W20" s="28"/>
      <c r="X20" s="28"/>
      <c r="Y20" s="28"/>
      <c r="Z20" s="27"/>
      <c r="AA20" s="27"/>
      <c r="AB20" s="27"/>
    </row>
    <row r="21" spans="1:28" s="3" customFormat="1" ht="18.75" x14ac:dyDescent="0.2">
      <c r="A21" s="42">
        <v>1</v>
      </c>
      <c r="B21" s="46">
        <v>2</v>
      </c>
      <c r="C21" s="42">
        <v>3</v>
      </c>
      <c r="D21" s="46">
        <v>4</v>
      </c>
      <c r="E21" s="42">
        <v>5</v>
      </c>
      <c r="F21" s="46">
        <v>6</v>
      </c>
      <c r="G21" s="155">
        <v>7</v>
      </c>
      <c r="H21" s="156">
        <v>8</v>
      </c>
      <c r="I21" s="155">
        <v>9</v>
      </c>
      <c r="J21" s="156">
        <v>10</v>
      </c>
      <c r="K21" s="155">
        <v>11</v>
      </c>
      <c r="L21" s="156">
        <v>12</v>
      </c>
      <c r="M21" s="155">
        <v>13</v>
      </c>
      <c r="N21" s="156">
        <v>14</v>
      </c>
      <c r="O21" s="155">
        <v>15</v>
      </c>
      <c r="P21" s="156">
        <v>16</v>
      </c>
      <c r="Q21" s="155">
        <v>17</v>
      </c>
      <c r="R21" s="156">
        <v>18</v>
      </c>
      <c r="S21" s="155">
        <v>19</v>
      </c>
      <c r="T21" s="28"/>
      <c r="U21" s="28"/>
      <c r="V21" s="28"/>
      <c r="W21" s="28"/>
      <c r="X21" s="28"/>
      <c r="Y21" s="28"/>
      <c r="Z21" s="27"/>
      <c r="AA21" s="27"/>
      <c r="AB21" s="27"/>
    </row>
    <row r="22" spans="1:28" s="3" customFormat="1" ht="409.5" customHeight="1" x14ac:dyDescent="0.2">
      <c r="A22" s="42"/>
      <c r="B22" s="283" t="s">
        <v>533</v>
      </c>
      <c r="C22" s="283" t="s">
        <v>534</v>
      </c>
      <c r="D22" s="283" t="s">
        <v>532</v>
      </c>
      <c r="E22" s="283" t="s">
        <v>531</v>
      </c>
      <c r="F22" s="283" t="s">
        <v>535</v>
      </c>
      <c r="G22" s="283" t="s">
        <v>536</v>
      </c>
      <c r="H22" s="284">
        <v>15.831</v>
      </c>
      <c r="I22" s="283" t="s">
        <v>317</v>
      </c>
      <c r="J22" s="284">
        <v>15831</v>
      </c>
      <c r="K22" s="284" t="s">
        <v>537</v>
      </c>
      <c r="L22" s="285" t="s">
        <v>538</v>
      </c>
      <c r="M22" s="285">
        <v>50</v>
      </c>
      <c r="N22" s="285">
        <v>2</v>
      </c>
      <c r="O22" s="282"/>
      <c r="P22" s="282"/>
      <c r="Q22" s="282"/>
      <c r="R22" s="285" t="s">
        <v>539</v>
      </c>
      <c r="S22" s="286" t="s">
        <v>540</v>
      </c>
      <c r="T22" s="28"/>
      <c r="U22" s="28"/>
      <c r="V22" s="28"/>
      <c r="W22" s="28"/>
      <c r="X22" s="28"/>
      <c r="Y22" s="28"/>
      <c r="Z22" s="27"/>
      <c r="AA22" s="27"/>
      <c r="AB22" s="27"/>
    </row>
    <row r="23" spans="1:28" s="3" customFormat="1" ht="109.5" customHeight="1" x14ac:dyDescent="0.2">
      <c r="A23" s="280"/>
      <c r="B23" s="279" t="s">
        <v>541</v>
      </c>
      <c r="C23" s="281"/>
      <c r="D23" s="281" t="s">
        <v>542</v>
      </c>
      <c r="E23" s="281" t="s">
        <v>544</v>
      </c>
      <c r="F23" s="281" t="s">
        <v>543</v>
      </c>
      <c r="G23" s="277" t="s">
        <v>546</v>
      </c>
      <c r="H23" s="278">
        <v>0.73938999999999999</v>
      </c>
      <c r="I23" s="278" t="s">
        <v>317</v>
      </c>
      <c r="J23" s="278">
        <v>739.39</v>
      </c>
      <c r="K23" s="278">
        <v>0.4</v>
      </c>
      <c r="L23" s="278" t="s">
        <v>545</v>
      </c>
      <c r="M23" s="278">
        <v>50</v>
      </c>
      <c r="N23" s="278">
        <v>2</v>
      </c>
      <c r="O23" s="278"/>
      <c r="P23" s="278"/>
      <c r="Q23" s="278"/>
      <c r="R23" s="285" t="s">
        <v>539</v>
      </c>
      <c r="S23" s="276" t="s">
        <v>540</v>
      </c>
      <c r="T23" s="28"/>
      <c r="U23" s="28"/>
      <c r="V23" s="28"/>
      <c r="W23" s="28"/>
      <c r="X23" s="27"/>
      <c r="Y23" s="27"/>
      <c r="Z23" s="27"/>
      <c r="AA23" s="27"/>
      <c r="AB23" s="27"/>
    </row>
    <row r="24" spans="1:28" s="3" customFormat="1" ht="112.5" customHeight="1" x14ac:dyDescent="0.2">
      <c r="A24" s="280"/>
      <c r="B24" s="281" t="s">
        <v>547</v>
      </c>
      <c r="C24" s="281"/>
      <c r="D24" s="281" t="s">
        <v>542</v>
      </c>
      <c r="E24" s="281" t="s">
        <v>548</v>
      </c>
      <c r="F24" s="281" t="s">
        <v>549</v>
      </c>
      <c r="G24" s="277" t="s">
        <v>550</v>
      </c>
      <c r="H24" s="278">
        <v>1.8200000000000001E-2</v>
      </c>
      <c r="I24" s="278" t="s">
        <v>317</v>
      </c>
      <c r="J24" s="278">
        <v>18.2</v>
      </c>
      <c r="K24" s="278">
        <v>0.4</v>
      </c>
      <c r="L24" s="278" t="s">
        <v>551</v>
      </c>
      <c r="M24" s="278">
        <v>50</v>
      </c>
      <c r="N24" s="278">
        <v>2</v>
      </c>
      <c r="O24" s="278"/>
      <c r="P24" s="278"/>
      <c r="Q24" s="278"/>
      <c r="R24" s="285" t="s">
        <v>539</v>
      </c>
      <c r="S24" s="276" t="s">
        <v>540</v>
      </c>
      <c r="T24" s="28"/>
      <c r="U24" s="28"/>
      <c r="V24" s="28"/>
      <c r="W24" s="28"/>
      <c r="X24" s="27"/>
      <c r="Y24" s="27"/>
      <c r="Z24" s="27"/>
      <c r="AA24" s="27"/>
      <c r="AB24" s="27"/>
    </row>
    <row r="25" spans="1:28" s="3" customFormat="1" ht="225" x14ac:dyDescent="0.2">
      <c r="A25" s="45"/>
      <c r="B25" s="281" t="s">
        <v>552</v>
      </c>
      <c r="C25" s="281"/>
      <c r="D25" s="281" t="s">
        <v>542</v>
      </c>
      <c r="E25" s="281" t="s">
        <v>531</v>
      </c>
      <c r="F25" s="281" t="s">
        <v>553</v>
      </c>
      <c r="G25" s="277" t="s">
        <v>546</v>
      </c>
      <c r="H25" s="278">
        <v>0.17805000000000001</v>
      </c>
      <c r="I25" s="278" t="s">
        <v>317</v>
      </c>
      <c r="J25" s="278">
        <v>178.05</v>
      </c>
      <c r="K25" s="278">
        <v>0.4</v>
      </c>
      <c r="L25" s="278" t="s">
        <v>554</v>
      </c>
      <c r="M25" s="278">
        <v>50</v>
      </c>
      <c r="N25" s="278">
        <v>2</v>
      </c>
      <c r="O25" s="278"/>
      <c r="P25" s="278"/>
      <c r="Q25" s="278"/>
      <c r="R25" s="285" t="s">
        <v>539</v>
      </c>
      <c r="S25" s="276" t="s">
        <v>540</v>
      </c>
      <c r="T25" s="28"/>
      <c r="U25" s="28"/>
      <c r="V25" s="28"/>
      <c r="W25" s="28"/>
      <c r="X25" s="27"/>
      <c r="Y25" s="27"/>
      <c r="Z25" s="27"/>
      <c r="AA25" s="27"/>
      <c r="AB25" s="27"/>
    </row>
    <row r="26" spans="1:28" s="3" customFormat="1" ht="18.75" x14ac:dyDescent="0.2">
      <c r="A26" s="45"/>
      <c r="B26" s="46" t="s">
        <v>92</v>
      </c>
      <c r="C26" s="46"/>
      <c r="D26" s="46"/>
      <c r="E26" s="46" t="s">
        <v>91</v>
      </c>
      <c r="F26" s="46" t="s">
        <v>90</v>
      </c>
      <c r="G26" s="46" t="s">
        <v>93</v>
      </c>
      <c r="H26" s="30"/>
      <c r="I26" s="30"/>
      <c r="J26" s="30"/>
      <c r="K26" s="30"/>
      <c r="L26" s="30"/>
      <c r="M26" s="30"/>
      <c r="N26" s="30"/>
      <c r="O26" s="30"/>
      <c r="P26" s="30"/>
      <c r="Q26" s="30"/>
      <c r="R26" s="5"/>
      <c r="S26" s="154"/>
      <c r="T26" s="28"/>
      <c r="U26" s="28"/>
      <c r="V26" s="28"/>
      <c r="W26" s="28"/>
      <c r="X26" s="27"/>
      <c r="Y26" s="27"/>
      <c r="Z26" s="27"/>
      <c r="AA26" s="27"/>
      <c r="AB26" s="27"/>
    </row>
    <row r="27" spans="1:28" s="3" customFormat="1" ht="18.75" x14ac:dyDescent="0.2">
      <c r="A27" s="45"/>
      <c r="B27" s="46" t="s">
        <v>92</v>
      </c>
      <c r="C27" s="46"/>
      <c r="D27" s="46"/>
      <c r="E27" s="46" t="s">
        <v>91</v>
      </c>
      <c r="F27" s="46" t="s">
        <v>90</v>
      </c>
      <c r="G27" s="46" t="s">
        <v>89</v>
      </c>
      <c r="H27" s="30"/>
      <c r="I27" s="30"/>
      <c r="J27" s="30"/>
      <c r="K27" s="30"/>
      <c r="L27" s="30"/>
      <c r="M27" s="30"/>
      <c r="N27" s="30"/>
      <c r="O27" s="30"/>
      <c r="P27" s="30"/>
      <c r="Q27" s="30"/>
      <c r="R27" s="5"/>
      <c r="S27" s="154"/>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54"/>
      <c r="T28" s="28"/>
      <c r="U28" s="28"/>
      <c r="V28" s="28"/>
      <c r="W28" s="28"/>
      <c r="X28" s="27"/>
      <c r="Y28" s="27"/>
      <c r="Z28" s="27"/>
      <c r="AA28" s="27"/>
      <c r="AB28" s="27"/>
    </row>
    <row r="29" spans="1:28" ht="20.25" customHeight="1" x14ac:dyDescent="0.25">
      <c r="A29" s="119"/>
      <c r="B29" s="46" t="s">
        <v>316</v>
      </c>
      <c r="C29" s="46"/>
      <c r="D29" s="46"/>
      <c r="E29" s="119" t="s">
        <v>317</v>
      </c>
      <c r="F29" s="119" t="s">
        <v>317</v>
      </c>
      <c r="G29" s="119" t="s">
        <v>317</v>
      </c>
      <c r="H29" s="119"/>
      <c r="I29" s="119"/>
      <c r="J29" s="119"/>
      <c r="K29" s="119"/>
      <c r="L29" s="119"/>
      <c r="M29" s="119"/>
      <c r="N29" s="119"/>
      <c r="O29" s="119"/>
      <c r="P29" s="119"/>
      <c r="Q29" s="120"/>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80" zoomScaleNormal="60" zoomScaleSheetLayoutView="80" workbookViewId="0">
      <selection activeCell="R28" sqref="B28:R29"/>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39" t="str">
        <f>'1. паспорт местоположение'!A5:C5</f>
        <v>Год раскрытия информации: 2016 год</v>
      </c>
      <c r="B6" s="339"/>
      <c r="C6" s="339"/>
      <c r="D6" s="339"/>
      <c r="E6" s="339"/>
      <c r="F6" s="339"/>
      <c r="G6" s="339"/>
      <c r="H6" s="339"/>
      <c r="I6" s="339"/>
      <c r="J6" s="339"/>
      <c r="K6" s="339"/>
      <c r="L6" s="339"/>
      <c r="M6" s="339"/>
      <c r="N6" s="339"/>
      <c r="O6" s="339"/>
      <c r="P6" s="339"/>
      <c r="Q6" s="339"/>
      <c r="R6" s="339"/>
      <c r="S6" s="339"/>
      <c r="T6" s="339"/>
    </row>
    <row r="7" spans="1:20" s="12" customFormat="1" x14ac:dyDescent="0.2">
      <c r="A7" s="17"/>
      <c r="H7" s="16"/>
    </row>
    <row r="8" spans="1:20" s="12" customFormat="1" ht="18.75" x14ac:dyDescent="0.2">
      <c r="A8" s="332" t="s">
        <v>9</v>
      </c>
      <c r="B8" s="332"/>
      <c r="C8" s="332"/>
      <c r="D8" s="332"/>
      <c r="E8" s="332"/>
      <c r="F8" s="332"/>
      <c r="G8" s="332"/>
      <c r="H8" s="332"/>
      <c r="I8" s="332"/>
      <c r="J8" s="332"/>
      <c r="K8" s="332"/>
      <c r="L8" s="332"/>
      <c r="M8" s="332"/>
      <c r="N8" s="332"/>
      <c r="O8" s="332"/>
      <c r="P8" s="332"/>
      <c r="Q8" s="332"/>
      <c r="R8" s="332"/>
      <c r="S8" s="332"/>
      <c r="T8" s="332"/>
    </row>
    <row r="9" spans="1:20" s="12" customFormat="1" ht="18.75" x14ac:dyDescent="0.2">
      <c r="A9" s="332"/>
      <c r="B9" s="332"/>
      <c r="C9" s="332"/>
      <c r="D9" s="332"/>
      <c r="E9" s="332"/>
      <c r="F9" s="332"/>
      <c r="G9" s="332"/>
      <c r="H9" s="332"/>
      <c r="I9" s="332"/>
      <c r="J9" s="332"/>
      <c r="K9" s="332"/>
      <c r="L9" s="332"/>
      <c r="M9" s="332"/>
      <c r="N9" s="332"/>
      <c r="O9" s="332"/>
      <c r="P9" s="332"/>
      <c r="Q9" s="332"/>
      <c r="R9" s="332"/>
      <c r="S9" s="332"/>
      <c r="T9" s="332"/>
    </row>
    <row r="10" spans="1:20" s="12" customFormat="1" ht="18.75" customHeight="1" x14ac:dyDescent="0.2">
      <c r="A10" s="335" t="str">
        <f>'1. паспорт местоположение'!A9:C9</f>
        <v>АО "Янтарьэнерго"</v>
      </c>
      <c r="B10" s="335"/>
      <c r="C10" s="335"/>
      <c r="D10" s="335"/>
      <c r="E10" s="335"/>
      <c r="F10" s="335"/>
      <c r="G10" s="335"/>
      <c r="H10" s="335"/>
      <c r="I10" s="335"/>
      <c r="J10" s="335"/>
      <c r="K10" s="335"/>
      <c r="L10" s="335"/>
      <c r="M10" s="335"/>
      <c r="N10" s="335"/>
      <c r="O10" s="335"/>
      <c r="P10" s="335"/>
      <c r="Q10" s="335"/>
      <c r="R10" s="335"/>
      <c r="S10" s="335"/>
      <c r="T10" s="335"/>
    </row>
    <row r="11" spans="1:20" s="12" customFormat="1" ht="18.75" customHeight="1" x14ac:dyDescent="0.2">
      <c r="A11" s="329" t="s">
        <v>8</v>
      </c>
      <c r="B11" s="329"/>
      <c r="C11" s="329"/>
      <c r="D11" s="329"/>
      <c r="E11" s="329"/>
      <c r="F11" s="329"/>
      <c r="G11" s="329"/>
      <c r="H11" s="329"/>
      <c r="I11" s="329"/>
      <c r="J11" s="329"/>
      <c r="K11" s="329"/>
      <c r="L11" s="329"/>
      <c r="M11" s="329"/>
      <c r="N11" s="329"/>
      <c r="O11" s="329"/>
      <c r="P11" s="329"/>
      <c r="Q11" s="329"/>
      <c r="R11" s="329"/>
      <c r="S11" s="329"/>
      <c r="T11" s="329"/>
    </row>
    <row r="12" spans="1:20" s="12" customFormat="1" ht="18.75" x14ac:dyDescent="0.2">
      <c r="A12" s="332"/>
      <c r="B12" s="332"/>
      <c r="C12" s="332"/>
      <c r="D12" s="332"/>
      <c r="E12" s="332"/>
      <c r="F12" s="332"/>
      <c r="G12" s="332"/>
      <c r="H12" s="332"/>
      <c r="I12" s="332"/>
      <c r="J12" s="332"/>
      <c r="K12" s="332"/>
      <c r="L12" s="332"/>
      <c r="M12" s="332"/>
      <c r="N12" s="332"/>
      <c r="O12" s="332"/>
      <c r="P12" s="332"/>
      <c r="Q12" s="332"/>
      <c r="R12" s="332"/>
      <c r="S12" s="332"/>
      <c r="T12" s="332"/>
    </row>
    <row r="13" spans="1:20" s="12" customFormat="1" ht="18.75" customHeight="1" x14ac:dyDescent="0.2">
      <c r="A13" s="335" t="str">
        <f>'1. паспорт местоположение'!A12:C12</f>
        <v>E_prj_111001_47826</v>
      </c>
      <c r="B13" s="335"/>
      <c r="C13" s="335"/>
      <c r="D13" s="335"/>
      <c r="E13" s="335"/>
      <c r="F13" s="335"/>
      <c r="G13" s="335"/>
      <c r="H13" s="335"/>
      <c r="I13" s="335"/>
      <c r="J13" s="335"/>
      <c r="K13" s="335"/>
      <c r="L13" s="335"/>
      <c r="M13" s="335"/>
      <c r="N13" s="335"/>
      <c r="O13" s="335"/>
      <c r="P13" s="335"/>
      <c r="Q13" s="335"/>
      <c r="R13" s="335"/>
      <c r="S13" s="335"/>
      <c r="T13" s="335"/>
    </row>
    <row r="14" spans="1:20" s="12" customFormat="1" ht="18.75" customHeight="1" x14ac:dyDescent="0.2">
      <c r="A14" s="329" t="s">
        <v>7</v>
      </c>
      <c r="B14" s="329"/>
      <c r="C14" s="329"/>
      <c r="D14" s="329"/>
      <c r="E14" s="329"/>
      <c r="F14" s="329"/>
      <c r="G14" s="329"/>
      <c r="H14" s="329"/>
      <c r="I14" s="329"/>
      <c r="J14" s="329"/>
      <c r="K14" s="329"/>
      <c r="L14" s="329"/>
      <c r="M14" s="329"/>
      <c r="N14" s="329"/>
      <c r="O14" s="329"/>
      <c r="P14" s="329"/>
      <c r="Q14" s="329"/>
      <c r="R14" s="329"/>
      <c r="S14" s="329"/>
      <c r="T14" s="329"/>
    </row>
    <row r="15" spans="1:20" s="9" customFormat="1" ht="15.75" customHeight="1" x14ac:dyDescent="0.2">
      <c r="A15" s="338"/>
      <c r="B15" s="338"/>
      <c r="C15" s="338"/>
      <c r="D15" s="338"/>
      <c r="E15" s="338"/>
      <c r="F15" s="338"/>
      <c r="G15" s="338"/>
      <c r="H15" s="338"/>
      <c r="I15" s="338"/>
      <c r="J15" s="338"/>
      <c r="K15" s="338"/>
      <c r="L15" s="338"/>
      <c r="M15" s="338"/>
      <c r="N15" s="338"/>
      <c r="O15" s="338"/>
      <c r="P15" s="338"/>
      <c r="Q15" s="338"/>
      <c r="R15" s="338"/>
      <c r="S15" s="338"/>
      <c r="T15" s="338"/>
    </row>
    <row r="16" spans="1:20" s="3" customFormat="1" x14ac:dyDescent="0.2">
      <c r="A16" s="347"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6" s="347"/>
      <c r="C16" s="347"/>
      <c r="D16" s="347"/>
      <c r="E16" s="347"/>
      <c r="F16" s="347"/>
      <c r="G16" s="347"/>
      <c r="H16" s="347"/>
      <c r="I16" s="347"/>
      <c r="J16" s="347"/>
      <c r="K16" s="347"/>
      <c r="L16" s="347"/>
      <c r="M16" s="347"/>
      <c r="N16" s="347"/>
      <c r="O16" s="347"/>
      <c r="P16" s="347"/>
      <c r="Q16" s="347"/>
      <c r="R16" s="347"/>
      <c r="S16" s="347"/>
      <c r="T16" s="347"/>
    </row>
    <row r="17" spans="1:113" s="3" customFormat="1" ht="15" customHeight="1" x14ac:dyDescent="0.2">
      <c r="A17" s="329" t="s">
        <v>6</v>
      </c>
      <c r="B17" s="329"/>
      <c r="C17" s="329"/>
      <c r="D17" s="329"/>
      <c r="E17" s="329"/>
      <c r="F17" s="329"/>
      <c r="G17" s="329"/>
      <c r="H17" s="329"/>
      <c r="I17" s="329"/>
      <c r="J17" s="329"/>
      <c r="K17" s="329"/>
      <c r="L17" s="329"/>
      <c r="M17" s="329"/>
      <c r="N17" s="329"/>
      <c r="O17" s="329"/>
      <c r="P17" s="329"/>
      <c r="Q17" s="329"/>
      <c r="R17" s="329"/>
      <c r="S17" s="329"/>
      <c r="T17" s="329"/>
    </row>
    <row r="18" spans="1:113" s="3" customFormat="1" ht="15" customHeight="1" x14ac:dyDescent="0.2">
      <c r="A18" s="336"/>
      <c r="B18" s="336"/>
      <c r="C18" s="336"/>
      <c r="D18" s="336"/>
      <c r="E18" s="336"/>
      <c r="F18" s="336"/>
      <c r="G18" s="336"/>
      <c r="H18" s="336"/>
      <c r="I18" s="336"/>
      <c r="J18" s="336"/>
      <c r="K18" s="336"/>
      <c r="L18" s="336"/>
      <c r="M18" s="336"/>
      <c r="N18" s="336"/>
      <c r="O18" s="336"/>
      <c r="P18" s="336"/>
      <c r="Q18" s="336"/>
      <c r="R18" s="336"/>
      <c r="S18" s="336"/>
      <c r="T18" s="336"/>
    </row>
    <row r="19" spans="1:113" s="3" customFormat="1" ht="15" customHeight="1" x14ac:dyDescent="0.2">
      <c r="A19" s="331" t="s">
        <v>411</v>
      </c>
      <c r="B19" s="331"/>
      <c r="C19" s="331"/>
      <c r="D19" s="331"/>
      <c r="E19" s="331"/>
      <c r="F19" s="331"/>
      <c r="G19" s="331"/>
      <c r="H19" s="331"/>
      <c r="I19" s="331"/>
      <c r="J19" s="331"/>
      <c r="K19" s="331"/>
      <c r="L19" s="331"/>
      <c r="M19" s="331"/>
      <c r="N19" s="331"/>
      <c r="O19" s="331"/>
      <c r="P19" s="331"/>
      <c r="Q19" s="331"/>
      <c r="R19" s="331"/>
      <c r="S19" s="331"/>
      <c r="T19" s="331"/>
    </row>
    <row r="20" spans="1:113" s="59" customFormat="1" ht="21" customHeight="1" x14ac:dyDescent="0.25">
      <c r="A20" s="348"/>
      <c r="B20" s="348"/>
      <c r="C20" s="348"/>
      <c r="D20" s="348"/>
      <c r="E20" s="348"/>
      <c r="F20" s="348"/>
      <c r="G20" s="348"/>
      <c r="H20" s="348"/>
      <c r="I20" s="348"/>
      <c r="J20" s="348"/>
      <c r="K20" s="348"/>
      <c r="L20" s="348"/>
      <c r="M20" s="348"/>
      <c r="N20" s="348"/>
      <c r="O20" s="348"/>
      <c r="P20" s="348"/>
      <c r="Q20" s="348"/>
      <c r="R20" s="348"/>
      <c r="S20" s="348"/>
      <c r="T20" s="348"/>
    </row>
    <row r="21" spans="1:113" ht="46.5" customHeight="1" x14ac:dyDescent="0.25">
      <c r="A21" s="349" t="s">
        <v>5</v>
      </c>
      <c r="B21" s="352" t="s">
        <v>217</v>
      </c>
      <c r="C21" s="353"/>
      <c r="D21" s="356" t="s">
        <v>127</v>
      </c>
      <c r="E21" s="352" t="s">
        <v>440</v>
      </c>
      <c r="F21" s="353"/>
      <c r="G21" s="352" t="s">
        <v>238</v>
      </c>
      <c r="H21" s="353"/>
      <c r="I21" s="352" t="s">
        <v>126</v>
      </c>
      <c r="J21" s="353"/>
      <c r="K21" s="356" t="s">
        <v>125</v>
      </c>
      <c r="L21" s="352" t="s">
        <v>124</v>
      </c>
      <c r="M21" s="353"/>
      <c r="N21" s="352" t="s">
        <v>436</v>
      </c>
      <c r="O21" s="353"/>
      <c r="P21" s="356" t="s">
        <v>123</v>
      </c>
      <c r="Q21" s="344" t="s">
        <v>122</v>
      </c>
      <c r="R21" s="345"/>
      <c r="S21" s="344" t="s">
        <v>121</v>
      </c>
      <c r="T21" s="346"/>
    </row>
    <row r="22" spans="1:113" ht="204.75" customHeight="1" x14ac:dyDescent="0.25">
      <c r="A22" s="350"/>
      <c r="B22" s="354"/>
      <c r="C22" s="355"/>
      <c r="D22" s="359"/>
      <c r="E22" s="354"/>
      <c r="F22" s="355"/>
      <c r="G22" s="354"/>
      <c r="H22" s="355"/>
      <c r="I22" s="354"/>
      <c r="J22" s="355"/>
      <c r="K22" s="357"/>
      <c r="L22" s="354"/>
      <c r="M22" s="355"/>
      <c r="N22" s="354"/>
      <c r="O22" s="355"/>
      <c r="P22" s="357"/>
      <c r="Q22" s="110" t="s">
        <v>120</v>
      </c>
      <c r="R22" s="110" t="s">
        <v>410</v>
      </c>
      <c r="S22" s="110" t="s">
        <v>119</v>
      </c>
      <c r="T22" s="110" t="s">
        <v>118</v>
      </c>
    </row>
    <row r="23" spans="1:113" ht="51.75" customHeight="1" x14ac:dyDescent="0.25">
      <c r="A23" s="351"/>
      <c r="B23" s="163" t="s">
        <v>116</v>
      </c>
      <c r="C23" s="163" t="s">
        <v>117</v>
      </c>
      <c r="D23" s="357"/>
      <c r="E23" s="163" t="s">
        <v>116</v>
      </c>
      <c r="F23" s="163" t="s">
        <v>117</v>
      </c>
      <c r="G23" s="163" t="s">
        <v>116</v>
      </c>
      <c r="H23" s="163" t="s">
        <v>117</v>
      </c>
      <c r="I23" s="163" t="s">
        <v>116</v>
      </c>
      <c r="J23" s="163" t="s">
        <v>117</v>
      </c>
      <c r="K23" s="163" t="s">
        <v>116</v>
      </c>
      <c r="L23" s="163" t="s">
        <v>116</v>
      </c>
      <c r="M23" s="163" t="s">
        <v>117</v>
      </c>
      <c r="N23" s="163" t="s">
        <v>116</v>
      </c>
      <c r="O23" s="163" t="s">
        <v>117</v>
      </c>
      <c r="P23" s="164" t="s">
        <v>116</v>
      </c>
      <c r="Q23" s="110" t="s">
        <v>116</v>
      </c>
      <c r="R23" s="110" t="s">
        <v>116</v>
      </c>
      <c r="S23" s="110" t="s">
        <v>116</v>
      </c>
      <c r="T23" s="110" t="s">
        <v>116</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9" customFormat="1" ht="78.75" x14ac:dyDescent="0.25">
      <c r="A25" s="295">
        <v>1</v>
      </c>
      <c r="B25" s="295" t="s">
        <v>562</v>
      </c>
      <c r="C25" s="295" t="s">
        <v>562</v>
      </c>
      <c r="D25" s="295" t="s">
        <v>563</v>
      </c>
      <c r="E25" s="295" t="s">
        <v>564</v>
      </c>
      <c r="F25" s="295" t="s">
        <v>565</v>
      </c>
      <c r="G25" s="295" t="s">
        <v>566</v>
      </c>
      <c r="H25" s="295" t="s">
        <v>566</v>
      </c>
      <c r="I25" s="295" t="s">
        <v>567</v>
      </c>
      <c r="J25" s="294" t="s">
        <v>569</v>
      </c>
      <c r="K25" s="294" t="s">
        <v>568</v>
      </c>
      <c r="L25" s="294" t="s">
        <v>570</v>
      </c>
      <c r="M25" s="295" t="s">
        <v>570</v>
      </c>
      <c r="N25" s="295" t="s">
        <v>317</v>
      </c>
      <c r="O25" s="295" t="s">
        <v>317</v>
      </c>
      <c r="P25" s="294" t="s">
        <v>586</v>
      </c>
      <c r="Q25" s="294"/>
      <c r="R25" s="295"/>
      <c r="S25" s="294" t="s">
        <v>317</v>
      </c>
      <c r="T25" s="295" t="s">
        <v>317</v>
      </c>
    </row>
    <row r="26" spans="1:113" ht="3" customHeight="1" x14ac:dyDescent="0.25"/>
    <row r="27" spans="1:113" s="57" customFormat="1" ht="12.75" x14ac:dyDescent="0.2">
      <c r="B27" s="58"/>
      <c r="C27" s="58"/>
      <c r="K27" s="58"/>
    </row>
    <row r="28" spans="1:113" s="57" customFormat="1" x14ac:dyDescent="0.25">
      <c r="B28" s="55" t="s">
        <v>115</v>
      </c>
      <c r="C28" s="55"/>
      <c r="D28" s="55"/>
      <c r="E28" s="55"/>
      <c r="F28" s="55"/>
      <c r="G28" s="55"/>
      <c r="H28" s="55"/>
      <c r="I28" s="55"/>
      <c r="J28" s="55"/>
      <c r="K28" s="55"/>
      <c r="L28" s="55"/>
      <c r="M28" s="55"/>
      <c r="N28" s="55"/>
      <c r="O28" s="55"/>
      <c r="P28" s="55"/>
      <c r="Q28" s="55"/>
      <c r="R28" s="55"/>
    </row>
    <row r="29" spans="1:113" x14ac:dyDescent="0.25">
      <c r="B29" s="358" t="s">
        <v>446</v>
      </c>
      <c r="C29" s="358"/>
      <c r="D29" s="358"/>
      <c r="E29" s="358"/>
      <c r="F29" s="358"/>
      <c r="G29" s="358"/>
      <c r="H29" s="358"/>
      <c r="I29" s="358"/>
      <c r="J29" s="358"/>
      <c r="K29" s="358"/>
      <c r="L29" s="358"/>
      <c r="M29" s="358"/>
      <c r="N29" s="358"/>
      <c r="O29" s="358"/>
      <c r="P29" s="358"/>
      <c r="Q29" s="358"/>
      <c r="R29" s="358"/>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409</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114</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113</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112</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111</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110</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109</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108</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107</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106</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H19" zoomScale="80" zoomScaleSheetLayoutView="80" workbookViewId="0">
      <selection activeCell="Y26" sqref="Y26"/>
    </sheetView>
  </sheetViews>
  <sheetFormatPr defaultColWidth="10.7109375" defaultRowHeight="15.75" x14ac:dyDescent="0.25"/>
  <cols>
    <col min="1" max="3" width="10.7109375" style="51"/>
    <col min="4" max="5" width="15.71093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15.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339" t="str">
        <f>'1. паспорт местоположение'!A5:C5</f>
        <v>Год раскрытия информации: 2016 год</v>
      </c>
      <c r="B5" s="339"/>
      <c r="C5" s="339"/>
      <c r="D5" s="339"/>
      <c r="E5" s="339"/>
      <c r="F5" s="339"/>
      <c r="G5" s="339"/>
      <c r="H5" s="339"/>
      <c r="I5" s="339"/>
      <c r="J5" s="339"/>
      <c r="K5" s="339"/>
      <c r="L5" s="339"/>
      <c r="M5" s="339"/>
      <c r="N5" s="339"/>
      <c r="O5" s="339"/>
      <c r="P5" s="339"/>
      <c r="Q5" s="339"/>
      <c r="R5" s="339"/>
      <c r="S5" s="339"/>
      <c r="T5" s="339"/>
      <c r="U5" s="339"/>
      <c r="V5" s="339"/>
      <c r="W5" s="339"/>
      <c r="X5" s="339"/>
      <c r="Y5" s="339"/>
      <c r="Z5" s="339"/>
      <c r="AA5" s="339"/>
    </row>
    <row r="6" spans="1:27" s="12" customFormat="1" x14ac:dyDescent="0.2">
      <c r="A6" s="166"/>
      <c r="B6" s="166"/>
      <c r="C6" s="166"/>
      <c r="D6" s="166"/>
      <c r="E6" s="166"/>
      <c r="F6" s="166"/>
      <c r="G6" s="166"/>
      <c r="H6" s="166"/>
      <c r="I6" s="166"/>
      <c r="J6" s="166"/>
      <c r="K6" s="166"/>
      <c r="L6" s="166"/>
      <c r="M6" s="166"/>
      <c r="N6" s="166"/>
      <c r="O6" s="166"/>
      <c r="P6" s="166"/>
      <c r="Q6" s="166"/>
      <c r="R6" s="166"/>
      <c r="S6" s="166"/>
      <c r="T6" s="166"/>
    </row>
    <row r="7" spans="1:27" s="12" customFormat="1" ht="18.75" x14ac:dyDescent="0.2">
      <c r="E7" s="332" t="s">
        <v>9</v>
      </c>
      <c r="F7" s="332"/>
      <c r="G7" s="332"/>
      <c r="H7" s="332"/>
      <c r="I7" s="332"/>
      <c r="J7" s="332"/>
      <c r="K7" s="332"/>
      <c r="L7" s="332"/>
      <c r="M7" s="332"/>
      <c r="N7" s="332"/>
      <c r="O7" s="332"/>
      <c r="P7" s="332"/>
      <c r="Q7" s="332"/>
      <c r="R7" s="332"/>
      <c r="S7" s="332"/>
      <c r="T7" s="332"/>
      <c r="U7" s="332"/>
      <c r="V7" s="332"/>
      <c r="W7" s="332"/>
      <c r="X7" s="332"/>
      <c r="Y7" s="33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35" t="str">
        <f>'1. паспорт местоположение'!A9</f>
        <v>АО "Янтарьэнерго"</v>
      </c>
      <c r="F9" s="335"/>
      <c r="G9" s="335"/>
      <c r="H9" s="335"/>
      <c r="I9" s="335"/>
      <c r="J9" s="335"/>
      <c r="K9" s="335"/>
      <c r="L9" s="335"/>
      <c r="M9" s="335"/>
      <c r="N9" s="335"/>
      <c r="O9" s="335"/>
      <c r="P9" s="335"/>
      <c r="Q9" s="335"/>
      <c r="R9" s="335"/>
      <c r="S9" s="335"/>
      <c r="T9" s="335"/>
      <c r="U9" s="335"/>
      <c r="V9" s="335"/>
      <c r="W9" s="335"/>
      <c r="X9" s="335"/>
      <c r="Y9" s="335"/>
    </row>
    <row r="10" spans="1:27" s="12" customFormat="1" ht="18.75" customHeight="1" x14ac:dyDescent="0.2">
      <c r="E10" s="329" t="s">
        <v>8</v>
      </c>
      <c r="F10" s="329"/>
      <c r="G10" s="329"/>
      <c r="H10" s="329"/>
      <c r="I10" s="329"/>
      <c r="J10" s="329"/>
      <c r="K10" s="329"/>
      <c r="L10" s="329"/>
      <c r="M10" s="329"/>
      <c r="N10" s="329"/>
      <c r="O10" s="329"/>
      <c r="P10" s="329"/>
      <c r="Q10" s="329"/>
      <c r="R10" s="329"/>
      <c r="S10" s="329"/>
      <c r="T10" s="329"/>
      <c r="U10" s="329"/>
      <c r="V10" s="329"/>
      <c r="W10" s="329"/>
      <c r="X10" s="329"/>
      <c r="Y10" s="32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35" t="str">
        <f>'1. паспорт местоположение'!A12</f>
        <v>E_prj_111001_47826</v>
      </c>
      <c r="F12" s="335"/>
      <c r="G12" s="335"/>
      <c r="H12" s="335"/>
      <c r="I12" s="335"/>
      <c r="J12" s="335"/>
      <c r="K12" s="335"/>
      <c r="L12" s="335"/>
      <c r="M12" s="335"/>
      <c r="N12" s="335"/>
      <c r="O12" s="335"/>
      <c r="P12" s="335"/>
      <c r="Q12" s="335"/>
      <c r="R12" s="335"/>
      <c r="S12" s="335"/>
      <c r="T12" s="335"/>
      <c r="U12" s="335"/>
      <c r="V12" s="335"/>
      <c r="W12" s="335"/>
      <c r="X12" s="335"/>
      <c r="Y12" s="335"/>
    </row>
    <row r="13" spans="1:27" s="12" customFormat="1" ht="18.75" customHeight="1" x14ac:dyDescent="0.2">
      <c r="E13" s="329" t="s">
        <v>7</v>
      </c>
      <c r="F13" s="329"/>
      <c r="G13" s="329"/>
      <c r="H13" s="329"/>
      <c r="I13" s="329"/>
      <c r="J13" s="329"/>
      <c r="K13" s="329"/>
      <c r="L13" s="329"/>
      <c r="M13" s="329"/>
      <c r="N13" s="329"/>
      <c r="O13" s="329"/>
      <c r="P13" s="329"/>
      <c r="Q13" s="329"/>
      <c r="R13" s="329"/>
      <c r="S13" s="329"/>
      <c r="T13" s="329"/>
      <c r="U13" s="329"/>
      <c r="V13" s="329"/>
      <c r="W13" s="329"/>
      <c r="X13" s="329"/>
      <c r="Y13" s="32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35" t="str">
        <f>'1. паспорт местоположение'!A15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F15" s="335"/>
      <c r="G15" s="335"/>
      <c r="H15" s="335"/>
      <c r="I15" s="335"/>
      <c r="J15" s="335"/>
      <c r="K15" s="335"/>
      <c r="L15" s="335"/>
      <c r="M15" s="335"/>
      <c r="N15" s="335"/>
      <c r="O15" s="335"/>
      <c r="P15" s="335"/>
      <c r="Q15" s="335"/>
      <c r="R15" s="335"/>
      <c r="S15" s="335"/>
      <c r="T15" s="335"/>
      <c r="U15" s="335"/>
      <c r="V15" s="335"/>
      <c r="W15" s="335"/>
      <c r="X15" s="335"/>
      <c r="Y15" s="335"/>
    </row>
    <row r="16" spans="1:27" s="3" customFormat="1" ht="15" customHeight="1" x14ac:dyDescent="0.2">
      <c r="E16" s="329" t="s">
        <v>6</v>
      </c>
      <c r="F16" s="329"/>
      <c r="G16" s="329"/>
      <c r="H16" s="329"/>
      <c r="I16" s="329"/>
      <c r="J16" s="329"/>
      <c r="K16" s="329"/>
      <c r="L16" s="329"/>
      <c r="M16" s="329"/>
      <c r="N16" s="329"/>
      <c r="O16" s="329"/>
      <c r="P16" s="329"/>
      <c r="Q16" s="329"/>
      <c r="R16" s="329"/>
      <c r="S16" s="329"/>
      <c r="T16" s="329"/>
      <c r="U16" s="329"/>
      <c r="V16" s="329"/>
      <c r="W16" s="329"/>
      <c r="X16" s="329"/>
      <c r="Y16" s="32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1"/>
      <c r="F18" s="331"/>
      <c r="G18" s="331"/>
      <c r="H18" s="331"/>
      <c r="I18" s="331"/>
      <c r="J18" s="331"/>
      <c r="K18" s="331"/>
      <c r="L18" s="331"/>
      <c r="M18" s="331"/>
      <c r="N18" s="331"/>
      <c r="O18" s="331"/>
      <c r="P18" s="331"/>
      <c r="Q18" s="331"/>
      <c r="R18" s="331"/>
      <c r="S18" s="331"/>
      <c r="T18" s="331"/>
      <c r="U18" s="331"/>
      <c r="V18" s="331"/>
      <c r="W18" s="331"/>
      <c r="X18" s="331"/>
      <c r="Y18" s="331"/>
    </row>
    <row r="19" spans="1:27" ht="25.5" customHeight="1" x14ac:dyDescent="0.25">
      <c r="A19" s="331" t="s">
        <v>413</v>
      </c>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row>
    <row r="20" spans="1:27" s="59" customFormat="1" ht="21" customHeight="1" x14ac:dyDescent="0.25"/>
    <row r="21" spans="1:27" ht="15.75" customHeight="1" x14ac:dyDescent="0.25">
      <c r="A21" s="360" t="s">
        <v>5</v>
      </c>
      <c r="B21" s="362" t="s">
        <v>420</v>
      </c>
      <c r="C21" s="363"/>
      <c r="D21" s="362" t="s">
        <v>422</v>
      </c>
      <c r="E21" s="363"/>
      <c r="F21" s="344" t="s">
        <v>99</v>
      </c>
      <c r="G21" s="346"/>
      <c r="H21" s="346"/>
      <c r="I21" s="345"/>
      <c r="J21" s="360" t="s">
        <v>423</v>
      </c>
      <c r="K21" s="362" t="s">
        <v>424</v>
      </c>
      <c r="L21" s="363"/>
      <c r="M21" s="362" t="s">
        <v>425</v>
      </c>
      <c r="N21" s="363"/>
      <c r="O21" s="362" t="s">
        <v>412</v>
      </c>
      <c r="P21" s="363"/>
      <c r="Q21" s="362" t="s">
        <v>132</v>
      </c>
      <c r="R21" s="363"/>
      <c r="S21" s="360" t="s">
        <v>131</v>
      </c>
      <c r="T21" s="360" t="s">
        <v>426</v>
      </c>
      <c r="U21" s="360" t="s">
        <v>421</v>
      </c>
      <c r="V21" s="362" t="s">
        <v>130</v>
      </c>
      <c r="W21" s="363"/>
      <c r="X21" s="344" t="s">
        <v>122</v>
      </c>
      <c r="Y21" s="346"/>
      <c r="Z21" s="344" t="s">
        <v>121</v>
      </c>
      <c r="AA21" s="346"/>
    </row>
    <row r="22" spans="1:27" ht="216" customHeight="1" x14ac:dyDescent="0.25">
      <c r="A22" s="366"/>
      <c r="B22" s="364"/>
      <c r="C22" s="365"/>
      <c r="D22" s="364"/>
      <c r="E22" s="365"/>
      <c r="F22" s="344" t="s">
        <v>129</v>
      </c>
      <c r="G22" s="345"/>
      <c r="H22" s="344" t="s">
        <v>128</v>
      </c>
      <c r="I22" s="345"/>
      <c r="J22" s="361"/>
      <c r="K22" s="364"/>
      <c r="L22" s="365"/>
      <c r="M22" s="364"/>
      <c r="N22" s="365"/>
      <c r="O22" s="364"/>
      <c r="P22" s="365"/>
      <c r="Q22" s="364"/>
      <c r="R22" s="365"/>
      <c r="S22" s="361"/>
      <c r="T22" s="361"/>
      <c r="U22" s="361"/>
      <c r="V22" s="364"/>
      <c r="W22" s="365"/>
      <c r="X22" s="110" t="s">
        <v>120</v>
      </c>
      <c r="Y22" s="110" t="s">
        <v>410</v>
      </c>
      <c r="Z22" s="110" t="s">
        <v>119</v>
      </c>
      <c r="AA22" s="110" t="s">
        <v>118</v>
      </c>
    </row>
    <row r="23" spans="1:27" ht="60" customHeight="1" x14ac:dyDescent="0.25">
      <c r="A23" s="361"/>
      <c r="B23" s="161" t="s">
        <v>116</v>
      </c>
      <c r="C23" s="161" t="s">
        <v>117</v>
      </c>
      <c r="D23" s="111" t="s">
        <v>116</v>
      </c>
      <c r="E23" s="111" t="s">
        <v>117</v>
      </c>
      <c r="F23" s="111" t="s">
        <v>116</v>
      </c>
      <c r="G23" s="111" t="s">
        <v>117</v>
      </c>
      <c r="H23" s="111" t="s">
        <v>116</v>
      </c>
      <c r="I23" s="111" t="s">
        <v>117</v>
      </c>
      <c r="J23" s="111" t="s">
        <v>116</v>
      </c>
      <c r="K23" s="111" t="s">
        <v>116</v>
      </c>
      <c r="L23" s="111" t="s">
        <v>117</v>
      </c>
      <c r="M23" s="111" t="s">
        <v>116</v>
      </c>
      <c r="N23" s="111" t="s">
        <v>117</v>
      </c>
      <c r="O23" s="111" t="s">
        <v>116</v>
      </c>
      <c r="P23" s="111" t="s">
        <v>117</v>
      </c>
      <c r="Q23" s="111" t="s">
        <v>116</v>
      </c>
      <c r="R23" s="111" t="s">
        <v>117</v>
      </c>
      <c r="S23" s="111" t="s">
        <v>116</v>
      </c>
      <c r="T23" s="111" t="s">
        <v>116</v>
      </c>
      <c r="U23" s="111" t="s">
        <v>116</v>
      </c>
      <c r="V23" s="111" t="s">
        <v>116</v>
      </c>
      <c r="W23" s="111" t="s">
        <v>117</v>
      </c>
      <c r="X23" s="111" t="s">
        <v>116</v>
      </c>
      <c r="Y23" s="111" t="s">
        <v>116</v>
      </c>
      <c r="Z23" s="110" t="s">
        <v>116</v>
      </c>
      <c r="AA23" s="110" t="s">
        <v>116</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ht="157.5" x14ac:dyDescent="0.25">
      <c r="A25" s="295">
        <v>1</v>
      </c>
      <c r="B25" s="295" t="s">
        <v>571</v>
      </c>
      <c r="C25" s="295" t="s">
        <v>571</v>
      </c>
      <c r="D25" s="295" t="s">
        <v>572</v>
      </c>
      <c r="E25" s="295" t="s">
        <v>572</v>
      </c>
      <c r="F25" s="295" t="s">
        <v>570</v>
      </c>
      <c r="G25" s="295" t="s">
        <v>570</v>
      </c>
      <c r="H25" s="295" t="s">
        <v>570</v>
      </c>
      <c r="I25" s="295" t="s">
        <v>570</v>
      </c>
      <c r="J25" s="295" t="s">
        <v>573</v>
      </c>
      <c r="K25" s="295">
        <v>2</v>
      </c>
      <c r="L25" s="295">
        <v>2</v>
      </c>
      <c r="M25" s="295" t="s">
        <v>575</v>
      </c>
      <c r="N25" s="295" t="s">
        <v>574</v>
      </c>
      <c r="O25" s="295" t="s">
        <v>576</v>
      </c>
      <c r="P25" s="295" t="s">
        <v>576</v>
      </c>
      <c r="Q25" s="295">
        <v>4.05</v>
      </c>
      <c r="R25" s="295">
        <v>4.05</v>
      </c>
      <c r="S25" s="295" t="s">
        <v>317</v>
      </c>
      <c r="T25" s="295" t="s">
        <v>577</v>
      </c>
      <c r="U25" s="295">
        <v>4</v>
      </c>
      <c r="V25" s="295" t="s">
        <v>578</v>
      </c>
      <c r="W25" s="295" t="s">
        <v>579</v>
      </c>
      <c r="X25" s="295" t="s">
        <v>587</v>
      </c>
      <c r="Y25" s="295" t="s">
        <v>588</v>
      </c>
      <c r="Z25" s="295" t="s">
        <v>317</v>
      </c>
      <c r="AA25" s="295" t="s">
        <v>317</v>
      </c>
    </row>
    <row r="26" spans="1:27" ht="157.5" x14ac:dyDescent="0.25">
      <c r="A26" s="295">
        <v>2</v>
      </c>
      <c r="B26" s="295" t="s">
        <v>580</v>
      </c>
      <c r="C26" s="295" t="s">
        <v>580</v>
      </c>
      <c r="D26" s="295" t="s">
        <v>581</v>
      </c>
      <c r="E26" s="295" t="s">
        <v>581</v>
      </c>
      <c r="F26" s="295" t="s">
        <v>570</v>
      </c>
      <c r="G26" s="295" t="s">
        <v>570</v>
      </c>
      <c r="H26" s="295" t="s">
        <v>570</v>
      </c>
      <c r="I26" s="295" t="s">
        <v>570</v>
      </c>
      <c r="J26" s="295" t="s">
        <v>573</v>
      </c>
      <c r="K26" s="295">
        <v>2</v>
      </c>
      <c r="L26" s="295">
        <v>2</v>
      </c>
      <c r="M26" s="295" t="s">
        <v>575</v>
      </c>
      <c r="N26" s="295" t="s">
        <v>582</v>
      </c>
      <c r="O26" s="295" t="s">
        <v>576</v>
      </c>
      <c r="P26" s="295" t="s">
        <v>576</v>
      </c>
      <c r="Q26" s="295">
        <v>4.05</v>
      </c>
      <c r="R26" s="295">
        <v>4.05</v>
      </c>
      <c r="S26" s="295" t="s">
        <v>317</v>
      </c>
      <c r="T26" s="295" t="s">
        <v>577</v>
      </c>
      <c r="U26" s="295">
        <v>4</v>
      </c>
      <c r="V26" s="295" t="s">
        <v>578</v>
      </c>
      <c r="W26" s="295" t="s">
        <v>579</v>
      </c>
      <c r="X26" s="295" t="s">
        <v>587</v>
      </c>
      <c r="Y26" s="295" t="s">
        <v>588</v>
      </c>
      <c r="Z26" s="295" t="s">
        <v>317</v>
      </c>
      <c r="AA26" s="295" t="s">
        <v>317</v>
      </c>
    </row>
    <row r="27" spans="1:27" ht="3" customHeight="1" x14ac:dyDescent="0.25">
      <c r="X27" s="112"/>
      <c r="Y27" s="113"/>
      <c r="Z27" s="52"/>
      <c r="AA27" s="52"/>
    </row>
    <row r="28" spans="1:27" s="57" customFormat="1" ht="12.75" x14ac:dyDescent="0.2">
      <c r="A28" s="58"/>
      <c r="B28" s="58"/>
      <c r="C28" s="58"/>
      <c r="E28" s="58"/>
      <c r="X28" s="114"/>
      <c r="Y28" s="114"/>
      <c r="Z28" s="114"/>
      <c r="AA28" s="114"/>
    </row>
    <row r="29" spans="1:27" s="57" customFormat="1" ht="12.75" x14ac:dyDescent="0.2">
      <c r="A29" s="58"/>
      <c r="B29" s="58"/>
      <c r="C29"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3"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39" t="str">
        <f>'1. паспорт местоположение'!A5:C5</f>
        <v>Год раскрытия информации: 2016 год</v>
      </c>
      <c r="B5" s="339"/>
      <c r="C5" s="339"/>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row>
    <row r="6" spans="1:29" s="12" customFormat="1" ht="18.75" x14ac:dyDescent="0.3">
      <c r="A6" s="17"/>
      <c r="E6" s="16"/>
      <c r="F6" s="16"/>
      <c r="G6" s="15"/>
    </row>
    <row r="7" spans="1:29" s="12" customFormat="1" ht="18.75" x14ac:dyDescent="0.2">
      <c r="A7" s="332" t="s">
        <v>9</v>
      </c>
      <c r="B7" s="332"/>
      <c r="C7" s="332"/>
      <c r="D7" s="13"/>
      <c r="E7" s="13"/>
      <c r="F7" s="13"/>
      <c r="G7" s="13"/>
      <c r="H7" s="13"/>
      <c r="I7" s="13"/>
      <c r="J7" s="13"/>
      <c r="K7" s="13"/>
      <c r="L7" s="13"/>
      <c r="M7" s="13"/>
      <c r="N7" s="13"/>
      <c r="O7" s="13"/>
      <c r="P7" s="13"/>
      <c r="Q7" s="13"/>
      <c r="R7" s="13"/>
      <c r="S7" s="13"/>
      <c r="T7" s="13"/>
      <c r="U7" s="13"/>
    </row>
    <row r="8" spans="1:29" s="12" customFormat="1" ht="18.75" x14ac:dyDescent="0.2">
      <c r="A8" s="332"/>
      <c r="B8" s="332"/>
      <c r="C8" s="332"/>
      <c r="D8" s="14"/>
      <c r="E8" s="14"/>
      <c r="F8" s="14"/>
      <c r="G8" s="14"/>
      <c r="H8" s="13"/>
      <c r="I8" s="13"/>
      <c r="J8" s="13"/>
      <c r="K8" s="13"/>
      <c r="L8" s="13"/>
      <c r="M8" s="13"/>
      <c r="N8" s="13"/>
      <c r="O8" s="13"/>
      <c r="P8" s="13"/>
      <c r="Q8" s="13"/>
      <c r="R8" s="13"/>
      <c r="S8" s="13"/>
      <c r="T8" s="13"/>
      <c r="U8" s="13"/>
    </row>
    <row r="9" spans="1:29" s="12" customFormat="1" ht="18.75" x14ac:dyDescent="0.2">
      <c r="A9" s="335" t="str">
        <f>'1. паспорт местоположение'!A9:C9</f>
        <v>АО "Янтарьэнерго"</v>
      </c>
      <c r="B9" s="335"/>
      <c r="C9" s="335"/>
      <c r="D9" s="8"/>
      <c r="E9" s="8"/>
      <c r="F9" s="8"/>
      <c r="G9" s="8"/>
      <c r="H9" s="13"/>
      <c r="I9" s="13"/>
      <c r="J9" s="13"/>
      <c r="K9" s="13"/>
      <c r="L9" s="13"/>
      <c r="M9" s="13"/>
      <c r="N9" s="13"/>
      <c r="O9" s="13"/>
      <c r="P9" s="13"/>
      <c r="Q9" s="13"/>
      <c r="R9" s="13"/>
      <c r="S9" s="13"/>
      <c r="T9" s="13"/>
      <c r="U9" s="13"/>
    </row>
    <row r="10" spans="1:29" s="12" customFormat="1" ht="18.75" x14ac:dyDescent="0.2">
      <c r="A10" s="329" t="s">
        <v>8</v>
      </c>
      <c r="B10" s="329"/>
      <c r="C10" s="329"/>
      <c r="D10" s="6"/>
      <c r="E10" s="6"/>
      <c r="F10" s="6"/>
      <c r="G10" s="6"/>
      <c r="H10" s="13"/>
      <c r="I10" s="13"/>
      <c r="J10" s="13"/>
      <c r="K10" s="13"/>
      <c r="L10" s="13"/>
      <c r="M10" s="13"/>
      <c r="N10" s="13"/>
      <c r="O10" s="13"/>
      <c r="P10" s="13"/>
      <c r="Q10" s="13"/>
      <c r="R10" s="13"/>
      <c r="S10" s="13"/>
      <c r="T10" s="13"/>
      <c r="U10" s="13"/>
    </row>
    <row r="11" spans="1:29" s="12" customFormat="1" ht="18.75" x14ac:dyDescent="0.2">
      <c r="A11" s="332"/>
      <c r="B11" s="332"/>
      <c r="C11" s="332"/>
      <c r="D11" s="14"/>
      <c r="E11" s="14"/>
      <c r="F11" s="14"/>
      <c r="G11" s="14"/>
      <c r="H11" s="13"/>
      <c r="I11" s="13"/>
      <c r="J11" s="13"/>
      <c r="K11" s="13"/>
      <c r="L11" s="13"/>
      <c r="M11" s="13"/>
      <c r="N11" s="13"/>
      <c r="O11" s="13"/>
      <c r="P11" s="13"/>
      <c r="Q11" s="13"/>
      <c r="R11" s="13"/>
      <c r="S11" s="13"/>
      <c r="T11" s="13"/>
      <c r="U11" s="13"/>
    </row>
    <row r="12" spans="1:29" s="12" customFormat="1" ht="18.75" x14ac:dyDescent="0.2">
      <c r="A12" s="335" t="str">
        <f>'1. паспорт местоположение'!A12:C12</f>
        <v>E_prj_111001_47826</v>
      </c>
      <c r="B12" s="335"/>
      <c r="C12" s="335"/>
      <c r="D12" s="8"/>
      <c r="E12" s="8"/>
      <c r="F12" s="8"/>
      <c r="G12" s="8"/>
      <c r="H12" s="13"/>
      <c r="I12" s="13"/>
      <c r="J12" s="13"/>
      <c r="K12" s="13"/>
      <c r="L12" s="13"/>
      <c r="M12" s="13"/>
      <c r="N12" s="13"/>
      <c r="O12" s="13"/>
      <c r="P12" s="13"/>
      <c r="Q12" s="13"/>
      <c r="R12" s="13"/>
      <c r="S12" s="13"/>
      <c r="T12" s="13"/>
      <c r="U12" s="13"/>
    </row>
    <row r="13" spans="1:29" s="12" customFormat="1" ht="18.75" x14ac:dyDescent="0.2">
      <c r="A13" s="329" t="s">
        <v>7</v>
      </c>
      <c r="B13" s="329"/>
      <c r="C13" s="32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38"/>
      <c r="B14" s="338"/>
      <c r="C14" s="338"/>
      <c r="D14" s="10"/>
      <c r="E14" s="10"/>
      <c r="F14" s="10"/>
      <c r="G14" s="10"/>
      <c r="H14" s="10"/>
      <c r="I14" s="10"/>
      <c r="J14" s="10"/>
      <c r="K14" s="10"/>
      <c r="L14" s="10"/>
      <c r="M14" s="10"/>
      <c r="N14" s="10"/>
      <c r="O14" s="10"/>
      <c r="P14" s="10"/>
      <c r="Q14" s="10"/>
      <c r="R14" s="10"/>
      <c r="S14" s="10"/>
      <c r="T14" s="10"/>
      <c r="U14" s="10"/>
    </row>
    <row r="15" spans="1:29" s="3" customFormat="1" ht="45.75" customHeight="1" x14ac:dyDescent="0.2">
      <c r="A15" s="367"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367"/>
      <c r="C15" s="367"/>
      <c r="D15" s="8"/>
      <c r="E15" s="8"/>
      <c r="F15" s="8"/>
      <c r="G15" s="8"/>
      <c r="H15" s="8"/>
      <c r="I15" s="8"/>
      <c r="J15" s="8"/>
      <c r="K15" s="8"/>
      <c r="L15" s="8"/>
      <c r="M15" s="8"/>
      <c r="N15" s="8"/>
      <c r="O15" s="8"/>
      <c r="P15" s="8"/>
      <c r="Q15" s="8"/>
      <c r="R15" s="8"/>
      <c r="S15" s="8"/>
      <c r="T15" s="8"/>
      <c r="U15" s="8"/>
    </row>
    <row r="16" spans="1:29" s="3" customFormat="1" ht="15" customHeight="1" x14ac:dyDescent="0.2">
      <c r="A16" s="329" t="s">
        <v>6</v>
      </c>
      <c r="B16" s="329"/>
      <c r="C16" s="329"/>
      <c r="D16" s="6"/>
      <c r="E16" s="6"/>
      <c r="F16" s="6"/>
      <c r="G16" s="6"/>
      <c r="H16" s="6"/>
      <c r="I16" s="6"/>
      <c r="J16" s="6"/>
      <c r="K16" s="6"/>
      <c r="L16" s="6"/>
      <c r="M16" s="6"/>
      <c r="N16" s="6"/>
      <c r="O16" s="6"/>
      <c r="P16" s="6"/>
      <c r="Q16" s="6"/>
      <c r="R16" s="6"/>
      <c r="S16" s="6"/>
      <c r="T16" s="6"/>
      <c r="U16" s="6"/>
    </row>
    <row r="17" spans="1:21" s="3" customFormat="1" ht="15" customHeight="1" x14ac:dyDescent="0.2">
      <c r="A17" s="336"/>
      <c r="B17" s="336"/>
      <c r="C17" s="336"/>
      <c r="D17" s="4"/>
      <c r="E17" s="4"/>
      <c r="F17" s="4"/>
      <c r="G17" s="4"/>
      <c r="H17" s="4"/>
      <c r="I17" s="4"/>
      <c r="J17" s="4"/>
      <c r="K17" s="4"/>
      <c r="L17" s="4"/>
      <c r="M17" s="4"/>
      <c r="N17" s="4"/>
      <c r="O17" s="4"/>
      <c r="P17" s="4"/>
      <c r="Q17" s="4"/>
      <c r="R17" s="4"/>
    </row>
    <row r="18" spans="1:21" s="3" customFormat="1" ht="27.75" customHeight="1" x14ac:dyDescent="0.2">
      <c r="A18" s="330" t="s">
        <v>405</v>
      </c>
      <c r="B18" s="330"/>
      <c r="C18" s="33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8" t="s">
        <v>67</v>
      </c>
      <c r="C20" s="37" t="s">
        <v>66</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157.5" x14ac:dyDescent="0.2">
      <c r="A22" s="24" t="s">
        <v>65</v>
      </c>
      <c r="B22" s="30" t="s">
        <v>418</v>
      </c>
      <c r="C22" s="50" t="s">
        <v>513</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25" t="s">
        <v>527</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5" t="s">
        <v>438</v>
      </c>
      <c r="C24" s="274" t="s">
        <v>525</v>
      </c>
      <c r="D24" s="273"/>
      <c r="E24" s="273"/>
      <c r="F24" s="273"/>
      <c r="G24" s="273"/>
      <c r="H24" s="273"/>
      <c r="I24" s="273"/>
      <c r="J24" s="273"/>
      <c r="K24" s="273"/>
      <c r="L24" s="273"/>
      <c r="M24" s="273"/>
      <c r="N24" s="273"/>
      <c r="O24" s="273"/>
      <c r="P24" s="273"/>
      <c r="Q24" s="273"/>
      <c r="R24" s="273"/>
      <c r="S24" s="23"/>
      <c r="T24" s="23"/>
      <c r="U24" s="23"/>
    </row>
    <row r="25" spans="1:21" ht="63" customHeight="1" x14ac:dyDescent="0.25">
      <c r="A25" s="24" t="s">
        <v>61</v>
      </c>
      <c r="B25" s="25" t="s">
        <v>439</v>
      </c>
      <c r="C25" s="273" t="s">
        <v>524</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225</v>
      </c>
      <c r="C26" s="25" t="s">
        <v>521</v>
      </c>
      <c r="D26" s="23"/>
      <c r="E26" s="23"/>
      <c r="F26" s="23"/>
      <c r="G26" s="23"/>
      <c r="H26" s="23"/>
      <c r="I26" s="23"/>
      <c r="J26" s="23"/>
      <c r="K26" s="23"/>
      <c r="L26" s="23"/>
      <c r="M26" s="23"/>
      <c r="N26" s="23"/>
      <c r="O26" s="23"/>
      <c r="P26" s="23"/>
      <c r="Q26" s="23"/>
      <c r="R26" s="23"/>
      <c r="S26" s="23"/>
      <c r="T26" s="23"/>
      <c r="U26" s="23"/>
    </row>
    <row r="27" spans="1:21" ht="173.25" x14ac:dyDescent="0.25">
      <c r="A27" s="24" t="s">
        <v>58</v>
      </c>
      <c r="B27" s="26" t="s">
        <v>419</v>
      </c>
      <c r="C27" s="25" t="s">
        <v>512</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40">
        <v>2014</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40">
        <v>2017</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53</v>
      </c>
      <c r="C30" s="25" t="s">
        <v>511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22" zoomScale="90" zoomScaleNormal="80" zoomScaleSheetLayoutView="90" workbookViewId="0">
      <selection activeCell="L26" sqref="L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5" t="s">
        <v>10</v>
      </c>
    </row>
    <row r="3" spans="1:28" ht="18.75" x14ac:dyDescent="0.3">
      <c r="Z3" s="15" t="s">
        <v>68</v>
      </c>
    </row>
    <row r="4" spans="1:28" ht="18.75" customHeight="1" x14ac:dyDescent="0.25">
      <c r="A4" s="339" t="str">
        <f>'1. паспорт местоположение'!A5:C5</f>
        <v>Год раскрытия информации: 2016 год</v>
      </c>
      <c r="B4" s="339"/>
      <c r="C4" s="339"/>
      <c r="D4" s="339"/>
      <c r="E4" s="339"/>
      <c r="F4" s="339"/>
      <c r="G4" s="339"/>
      <c r="H4" s="339"/>
      <c r="I4" s="339"/>
      <c r="J4" s="339"/>
      <c r="K4" s="339"/>
      <c r="L4" s="339"/>
      <c r="M4" s="339"/>
      <c r="N4" s="339"/>
      <c r="O4" s="339"/>
      <c r="P4" s="339"/>
      <c r="Q4" s="339"/>
      <c r="R4" s="339"/>
      <c r="S4" s="339"/>
      <c r="T4" s="339"/>
      <c r="U4" s="339"/>
      <c r="V4" s="339"/>
      <c r="W4" s="339"/>
      <c r="X4" s="339"/>
      <c r="Y4" s="339"/>
      <c r="Z4" s="339"/>
    </row>
    <row r="6" spans="1:28" ht="18.75" x14ac:dyDescent="0.25">
      <c r="A6" s="332" t="s">
        <v>9</v>
      </c>
      <c r="B6" s="332"/>
      <c r="C6" s="332"/>
      <c r="D6" s="332"/>
      <c r="E6" s="332"/>
      <c r="F6" s="332"/>
      <c r="G6" s="332"/>
      <c r="H6" s="332"/>
      <c r="I6" s="332"/>
      <c r="J6" s="332"/>
      <c r="K6" s="332"/>
      <c r="L6" s="332"/>
      <c r="M6" s="332"/>
      <c r="N6" s="332"/>
      <c r="O6" s="332"/>
      <c r="P6" s="332"/>
      <c r="Q6" s="332"/>
      <c r="R6" s="332"/>
      <c r="S6" s="332"/>
      <c r="T6" s="332"/>
      <c r="U6" s="332"/>
      <c r="V6" s="332"/>
      <c r="W6" s="332"/>
      <c r="X6" s="332"/>
      <c r="Y6" s="332"/>
      <c r="Z6" s="332"/>
      <c r="AA6" s="158"/>
      <c r="AB6" s="158"/>
    </row>
    <row r="7" spans="1:28" ht="18.75" x14ac:dyDescent="0.25">
      <c r="A7" s="332"/>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158"/>
      <c r="AB7" s="158"/>
    </row>
    <row r="8" spans="1:28" ht="15.75" x14ac:dyDescent="0.25">
      <c r="A8" s="335" t="str">
        <f>'1. паспорт местоположение'!A9:C9</f>
        <v>АО "Янтарьэнерго"</v>
      </c>
      <c r="B8" s="335"/>
      <c r="C8" s="335"/>
      <c r="D8" s="335"/>
      <c r="E8" s="335"/>
      <c r="F8" s="335"/>
      <c r="G8" s="335"/>
      <c r="H8" s="335"/>
      <c r="I8" s="335"/>
      <c r="J8" s="335"/>
      <c r="K8" s="335"/>
      <c r="L8" s="335"/>
      <c r="M8" s="335"/>
      <c r="N8" s="335"/>
      <c r="O8" s="335"/>
      <c r="P8" s="335"/>
      <c r="Q8" s="335"/>
      <c r="R8" s="335"/>
      <c r="S8" s="335"/>
      <c r="T8" s="335"/>
      <c r="U8" s="335"/>
      <c r="V8" s="335"/>
      <c r="W8" s="335"/>
      <c r="X8" s="335"/>
      <c r="Y8" s="335"/>
      <c r="Z8" s="335"/>
      <c r="AA8" s="159"/>
      <c r="AB8" s="159"/>
    </row>
    <row r="9" spans="1:28" ht="15.75" x14ac:dyDescent="0.25">
      <c r="A9" s="329" t="s">
        <v>8</v>
      </c>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160"/>
      <c r="AB9" s="160"/>
    </row>
    <row r="10" spans="1:28" ht="18.75" x14ac:dyDescent="0.25">
      <c r="A10" s="332"/>
      <c r="B10" s="332"/>
      <c r="C10" s="332"/>
      <c r="D10" s="332"/>
      <c r="E10" s="332"/>
      <c r="F10" s="332"/>
      <c r="G10" s="332"/>
      <c r="H10" s="332"/>
      <c r="I10" s="332"/>
      <c r="J10" s="332"/>
      <c r="K10" s="332"/>
      <c r="L10" s="332"/>
      <c r="M10" s="332"/>
      <c r="N10" s="332"/>
      <c r="O10" s="332"/>
      <c r="P10" s="332"/>
      <c r="Q10" s="332"/>
      <c r="R10" s="332"/>
      <c r="S10" s="332"/>
      <c r="T10" s="332"/>
      <c r="U10" s="332"/>
      <c r="V10" s="332"/>
      <c r="W10" s="332"/>
      <c r="X10" s="332"/>
      <c r="Y10" s="332"/>
      <c r="Z10" s="332"/>
      <c r="AA10" s="158"/>
      <c r="AB10" s="158"/>
    </row>
    <row r="11" spans="1:28" ht="15.75" x14ac:dyDescent="0.25">
      <c r="A11" s="335" t="str">
        <f>'1. паспорт местоположение'!A12:C12</f>
        <v>E_prj_111001_47826</v>
      </c>
      <c r="B11" s="335"/>
      <c r="C11" s="335"/>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159"/>
      <c r="AB11" s="159"/>
    </row>
    <row r="12" spans="1:28" ht="15.75" x14ac:dyDescent="0.25">
      <c r="A12" s="329" t="s">
        <v>7</v>
      </c>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160"/>
      <c r="AB12" s="160"/>
    </row>
    <row r="13" spans="1:28" ht="18.75" x14ac:dyDescent="0.25">
      <c r="A13" s="338"/>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11"/>
      <c r="AB13" s="11"/>
    </row>
    <row r="14" spans="1:28" ht="15.75" x14ac:dyDescent="0.25">
      <c r="A14" s="335"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159"/>
      <c r="AB14" s="159"/>
    </row>
    <row r="15" spans="1:28" ht="15.75" x14ac:dyDescent="0.25">
      <c r="A15" s="329" t="s">
        <v>6</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160"/>
      <c r="AB15" s="160"/>
    </row>
    <row r="16" spans="1:28" x14ac:dyDescent="0.25">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168"/>
      <c r="AB16" s="168"/>
    </row>
    <row r="17" spans="1:28" x14ac:dyDescent="0.25">
      <c r="A17" s="368"/>
      <c r="B17" s="368"/>
      <c r="C17" s="368"/>
      <c r="D17" s="368"/>
      <c r="E17" s="368"/>
      <c r="F17" s="368"/>
      <c r="G17" s="368"/>
      <c r="H17" s="368"/>
      <c r="I17" s="368"/>
      <c r="J17" s="368"/>
      <c r="K17" s="368"/>
      <c r="L17" s="368"/>
      <c r="M17" s="368"/>
      <c r="N17" s="368"/>
      <c r="O17" s="368"/>
      <c r="P17" s="368"/>
      <c r="Q17" s="368"/>
      <c r="R17" s="368"/>
      <c r="S17" s="368"/>
      <c r="T17" s="368"/>
      <c r="U17" s="368"/>
      <c r="V17" s="368"/>
      <c r="W17" s="368"/>
      <c r="X17" s="368"/>
      <c r="Y17" s="368"/>
      <c r="Z17" s="368"/>
      <c r="AA17" s="168"/>
      <c r="AB17" s="168"/>
    </row>
    <row r="18" spans="1:28" x14ac:dyDescent="0.25">
      <c r="A18" s="368"/>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168"/>
      <c r="AB18" s="168"/>
    </row>
    <row r="19" spans="1:28" x14ac:dyDescent="0.25">
      <c r="A19" s="368"/>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168"/>
      <c r="AB19" s="168"/>
    </row>
    <row r="20" spans="1:28" x14ac:dyDescent="0.2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169"/>
      <c r="AB20" s="169"/>
    </row>
    <row r="21" spans="1:28" x14ac:dyDescent="0.25">
      <c r="A21" s="369"/>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169"/>
      <c r="AB21" s="169"/>
    </row>
    <row r="22" spans="1:28" x14ac:dyDescent="0.25">
      <c r="A22" s="370" t="s">
        <v>437</v>
      </c>
      <c r="B22" s="370"/>
      <c r="C22" s="370"/>
      <c r="D22" s="370"/>
      <c r="E22" s="370"/>
      <c r="F22" s="370"/>
      <c r="G22" s="370"/>
      <c r="H22" s="370"/>
      <c r="I22" s="370"/>
      <c r="J22" s="370"/>
      <c r="K22" s="370"/>
      <c r="L22" s="370"/>
      <c r="M22" s="370"/>
      <c r="N22" s="370"/>
      <c r="O22" s="370"/>
      <c r="P22" s="370"/>
      <c r="Q22" s="370"/>
      <c r="R22" s="370"/>
      <c r="S22" s="370"/>
      <c r="T22" s="370"/>
      <c r="U22" s="370"/>
      <c r="V22" s="370"/>
      <c r="W22" s="370"/>
      <c r="X22" s="370"/>
      <c r="Y22" s="370"/>
      <c r="Z22" s="370"/>
      <c r="AA22" s="170"/>
      <c r="AB22" s="170"/>
    </row>
    <row r="23" spans="1:28" ht="32.25" customHeight="1" x14ac:dyDescent="0.25">
      <c r="A23" s="372" t="s">
        <v>314</v>
      </c>
      <c r="B23" s="373"/>
      <c r="C23" s="373"/>
      <c r="D23" s="373"/>
      <c r="E23" s="373"/>
      <c r="F23" s="373"/>
      <c r="G23" s="373"/>
      <c r="H23" s="373"/>
      <c r="I23" s="373"/>
      <c r="J23" s="373"/>
      <c r="K23" s="373"/>
      <c r="L23" s="374"/>
      <c r="M23" s="371" t="s">
        <v>315</v>
      </c>
      <c r="N23" s="371"/>
      <c r="O23" s="371"/>
      <c r="P23" s="371"/>
      <c r="Q23" s="371"/>
      <c r="R23" s="371"/>
      <c r="S23" s="371"/>
      <c r="T23" s="371"/>
      <c r="U23" s="371"/>
      <c r="V23" s="371"/>
      <c r="W23" s="371"/>
      <c r="X23" s="371"/>
      <c r="Y23" s="371"/>
      <c r="Z23" s="371"/>
    </row>
    <row r="24" spans="1:28" ht="151.5" customHeight="1" x14ac:dyDescent="0.25">
      <c r="A24" s="107" t="s">
        <v>228</v>
      </c>
      <c r="B24" s="108" t="s">
        <v>235</v>
      </c>
      <c r="C24" s="107" t="s">
        <v>309</v>
      </c>
      <c r="D24" s="107" t="s">
        <v>229</v>
      </c>
      <c r="E24" s="107" t="s">
        <v>310</v>
      </c>
      <c r="F24" s="107" t="s">
        <v>312</v>
      </c>
      <c r="G24" s="107" t="s">
        <v>311</v>
      </c>
      <c r="H24" s="107" t="s">
        <v>230</v>
      </c>
      <c r="I24" s="107" t="s">
        <v>313</v>
      </c>
      <c r="J24" s="107" t="s">
        <v>236</v>
      </c>
      <c r="K24" s="108" t="s">
        <v>234</v>
      </c>
      <c r="L24" s="108" t="s">
        <v>231</v>
      </c>
      <c r="M24" s="109" t="s">
        <v>246</v>
      </c>
      <c r="N24" s="108" t="s">
        <v>447</v>
      </c>
      <c r="O24" s="107" t="s">
        <v>243</v>
      </c>
      <c r="P24" s="107" t="s">
        <v>244</v>
      </c>
      <c r="Q24" s="107" t="s">
        <v>242</v>
      </c>
      <c r="R24" s="107" t="s">
        <v>230</v>
      </c>
      <c r="S24" s="107" t="s">
        <v>241</v>
      </c>
      <c r="T24" s="107" t="s">
        <v>240</v>
      </c>
      <c r="U24" s="107" t="s">
        <v>308</v>
      </c>
      <c r="V24" s="107" t="s">
        <v>242</v>
      </c>
      <c r="W24" s="116" t="s">
        <v>233</v>
      </c>
      <c r="X24" s="116" t="s">
        <v>249</v>
      </c>
      <c r="Y24" s="116" t="s">
        <v>250</v>
      </c>
      <c r="Z24" s="118" t="s">
        <v>247</v>
      </c>
    </row>
    <row r="25" spans="1:28" ht="16.5" customHeight="1" x14ac:dyDescent="0.25">
      <c r="A25" s="107">
        <v>1</v>
      </c>
      <c r="B25" s="108">
        <v>2</v>
      </c>
      <c r="C25" s="107">
        <v>3</v>
      </c>
      <c r="D25" s="108">
        <v>4</v>
      </c>
      <c r="E25" s="107">
        <v>5</v>
      </c>
      <c r="F25" s="108">
        <v>6</v>
      </c>
      <c r="G25" s="107">
        <v>7</v>
      </c>
      <c r="H25" s="108">
        <v>8</v>
      </c>
      <c r="I25" s="107">
        <v>9</v>
      </c>
      <c r="J25" s="108">
        <v>10</v>
      </c>
      <c r="K25" s="171">
        <v>11</v>
      </c>
      <c r="L25" s="108">
        <v>12</v>
      </c>
      <c r="M25" s="171">
        <v>13</v>
      </c>
      <c r="N25" s="108">
        <v>14</v>
      </c>
      <c r="O25" s="171">
        <v>15</v>
      </c>
      <c r="P25" s="108">
        <v>16</v>
      </c>
      <c r="Q25" s="171">
        <v>17</v>
      </c>
      <c r="R25" s="108">
        <v>18</v>
      </c>
      <c r="S25" s="171">
        <v>19</v>
      </c>
      <c r="T25" s="108">
        <v>20</v>
      </c>
      <c r="U25" s="171">
        <v>21</v>
      </c>
      <c r="V25" s="108">
        <v>22</v>
      </c>
      <c r="W25" s="171">
        <v>23</v>
      </c>
      <c r="X25" s="108">
        <v>24</v>
      </c>
      <c r="Y25" s="171">
        <v>25</v>
      </c>
      <c r="Z25" s="108">
        <v>26</v>
      </c>
    </row>
    <row r="26" spans="1:28" ht="45.75" customHeight="1" x14ac:dyDescent="0.25">
      <c r="A26" s="100" t="s">
        <v>293</v>
      </c>
      <c r="B26" s="106"/>
      <c r="C26" s="102" t="s">
        <v>295</v>
      </c>
      <c r="D26" s="102" t="s">
        <v>296</v>
      </c>
      <c r="E26" s="102" t="s">
        <v>297</v>
      </c>
      <c r="F26" s="102" t="s">
        <v>237</v>
      </c>
      <c r="G26" s="102" t="s">
        <v>298</v>
      </c>
      <c r="H26" s="102" t="s">
        <v>230</v>
      </c>
      <c r="I26" s="102" t="s">
        <v>299</v>
      </c>
      <c r="J26" s="102" t="s">
        <v>300</v>
      </c>
      <c r="K26" s="99"/>
      <c r="L26" s="103"/>
      <c r="M26" s="105" t="s">
        <v>239</v>
      </c>
      <c r="N26" s="99"/>
      <c r="O26" s="99"/>
      <c r="P26" s="99"/>
      <c r="Q26" s="99"/>
      <c r="R26" s="99"/>
      <c r="S26" s="99"/>
      <c r="T26" s="99"/>
      <c r="U26" s="99"/>
      <c r="V26" s="99"/>
      <c r="W26" s="99"/>
      <c r="X26" s="99"/>
      <c r="Y26" s="99"/>
      <c r="Z26" s="101" t="s">
        <v>248</v>
      </c>
    </row>
    <row r="27" spans="1:28" x14ac:dyDescent="0.25">
      <c r="A27" s="99">
        <v>2015</v>
      </c>
      <c r="B27" s="99" t="s">
        <v>519</v>
      </c>
      <c r="C27" s="99">
        <v>0</v>
      </c>
      <c r="D27" s="99">
        <v>0</v>
      </c>
      <c r="E27" s="99">
        <v>0</v>
      </c>
      <c r="F27" s="102">
        <v>0</v>
      </c>
      <c r="G27" s="102">
        <v>0</v>
      </c>
      <c r="H27" s="99" t="s">
        <v>230</v>
      </c>
      <c r="I27" s="102">
        <v>0</v>
      </c>
      <c r="J27" s="102">
        <v>0</v>
      </c>
      <c r="K27" s="103"/>
      <c r="L27" s="99"/>
      <c r="M27" s="103" t="s">
        <v>245</v>
      </c>
      <c r="N27" s="99"/>
      <c r="O27" s="99"/>
      <c r="P27" s="99"/>
      <c r="Q27" s="99"/>
      <c r="R27" s="99"/>
      <c r="S27" s="99"/>
      <c r="T27" s="99"/>
      <c r="U27" s="99"/>
      <c r="V27" s="99"/>
      <c r="W27" s="99"/>
      <c r="X27" s="99"/>
      <c r="Y27" s="99"/>
      <c r="Z27" s="99"/>
    </row>
    <row r="28" spans="1:28" x14ac:dyDescent="0.25">
      <c r="A28" s="99">
        <v>2015</v>
      </c>
      <c r="B28" s="99" t="s">
        <v>520</v>
      </c>
      <c r="C28" s="99">
        <v>0</v>
      </c>
      <c r="D28" s="99">
        <v>0</v>
      </c>
      <c r="E28" s="99">
        <v>0</v>
      </c>
      <c r="F28" s="102">
        <v>0</v>
      </c>
      <c r="G28" s="102">
        <v>0</v>
      </c>
      <c r="H28" s="99" t="s">
        <v>230</v>
      </c>
      <c r="I28" s="102">
        <v>0</v>
      </c>
      <c r="J28" s="102">
        <v>0</v>
      </c>
      <c r="K28" s="103"/>
      <c r="L28" s="104"/>
      <c r="M28" s="103" t="s">
        <v>0</v>
      </c>
      <c r="N28" s="103"/>
      <c r="O28" s="103"/>
      <c r="P28" s="103"/>
      <c r="Q28" s="103"/>
      <c r="R28" s="103"/>
      <c r="S28" s="103"/>
      <c r="T28" s="103"/>
      <c r="U28" s="103"/>
      <c r="V28" s="103"/>
      <c r="W28" s="103"/>
      <c r="X28" s="103"/>
      <c r="Y28" s="103"/>
      <c r="Z28" s="103"/>
    </row>
    <row r="29" spans="1:28" ht="30" x14ac:dyDescent="0.25">
      <c r="A29" s="106" t="s">
        <v>294</v>
      </c>
      <c r="B29" s="106"/>
      <c r="C29" s="102" t="s">
        <v>301</v>
      </c>
      <c r="D29" s="102" t="s">
        <v>302</v>
      </c>
      <c r="E29" s="102" t="s">
        <v>303</v>
      </c>
      <c r="F29" s="102" t="s">
        <v>304</v>
      </c>
      <c r="G29" s="102" t="s">
        <v>305</v>
      </c>
      <c r="H29" s="102" t="s">
        <v>230</v>
      </c>
      <c r="I29" s="102" t="s">
        <v>306</v>
      </c>
      <c r="J29" s="102" t="s">
        <v>307</v>
      </c>
      <c r="K29" s="99"/>
      <c r="L29" s="99"/>
      <c r="M29" s="99"/>
      <c r="N29" s="99"/>
      <c r="O29" s="99"/>
      <c r="P29" s="99"/>
      <c r="Q29" s="99"/>
      <c r="R29" s="99"/>
      <c r="S29" s="99"/>
      <c r="T29" s="99"/>
      <c r="U29" s="99"/>
      <c r="V29" s="99"/>
      <c r="W29" s="99"/>
      <c r="X29" s="99"/>
      <c r="Y29" s="99"/>
      <c r="Z29" s="99"/>
    </row>
    <row r="30" spans="1:28" x14ac:dyDescent="0.25">
      <c r="A30" s="106">
        <v>2014</v>
      </c>
      <c r="B30" s="99" t="s">
        <v>519</v>
      </c>
      <c r="C30" s="99">
        <v>0</v>
      </c>
      <c r="D30" s="99">
        <v>0</v>
      </c>
      <c r="E30" s="99">
        <v>0</v>
      </c>
      <c r="F30" s="102">
        <v>0</v>
      </c>
      <c r="G30" s="102">
        <v>0</v>
      </c>
      <c r="H30" s="99" t="s">
        <v>230</v>
      </c>
      <c r="I30" s="102">
        <v>0</v>
      </c>
      <c r="J30" s="102">
        <v>0</v>
      </c>
      <c r="K30" s="99"/>
      <c r="L30" s="99"/>
      <c r="M30" s="99"/>
      <c r="N30" s="99"/>
      <c r="O30" s="99"/>
      <c r="P30" s="99"/>
      <c r="Q30" s="99"/>
      <c r="R30" s="99"/>
      <c r="S30" s="99"/>
      <c r="T30" s="99"/>
      <c r="U30" s="99"/>
      <c r="V30" s="99"/>
      <c r="W30" s="99"/>
      <c r="X30" s="99"/>
      <c r="Y30" s="99"/>
      <c r="Z30" s="99"/>
    </row>
    <row r="31" spans="1:28" x14ac:dyDescent="0.25">
      <c r="A31" s="99">
        <v>2014</v>
      </c>
      <c r="B31" s="99" t="s">
        <v>520</v>
      </c>
      <c r="C31" s="99">
        <v>0</v>
      </c>
      <c r="D31" s="99">
        <v>0</v>
      </c>
      <c r="E31" s="99">
        <v>0</v>
      </c>
      <c r="F31" s="102">
        <v>0</v>
      </c>
      <c r="G31" s="102">
        <v>0</v>
      </c>
      <c r="H31" s="99" t="s">
        <v>230</v>
      </c>
      <c r="I31" s="102">
        <v>0</v>
      </c>
      <c r="J31" s="102">
        <v>0</v>
      </c>
      <c r="K31" s="99"/>
      <c r="L31" s="99"/>
      <c r="M31" s="99"/>
      <c r="N31" s="99"/>
      <c r="O31" s="99"/>
      <c r="P31" s="99"/>
      <c r="Q31" s="99"/>
      <c r="R31" s="99"/>
      <c r="S31" s="99"/>
      <c r="T31" s="99"/>
      <c r="U31" s="99"/>
      <c r="V31" s="99"/>
      <c r="W31" s="99"/>
      <c r="X31" s="99"/>
      <c r="Y31" s="99"/>
      <c r="Z31" s="99"/>
    </row>
    <row r="35" spans="1:1" x14ac:dyDescent="0.25">
      <c r="A35" s="11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K24" sqref="K2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339" t="str">
        <f>'1. паспорт местоположение'!A5:C5</f>
        <v>Год раскрытия информации: 2016 год</v>
      </c>
      <c r="B5" s="339"/>
      <c r="C5" s="339"/>
      <c r="D5" s="339"/>
      <c r="E5" s="339"/>
      <c r="F5" s="339"/>
      <c r="G5" s="339"/>
      <c r="H5" s="339"/>
      <c r="I5" s="339"/>
      <c r="J5" s="339"/>
      <c r="K5" s="339"/>
      <c r="L5" s="339"/>
      <c r="M5" s="339"/>
      <c r="N5" s="339"/>
      <c r="O5" s="339"/>
      <c r="P5" s="167"/>
      <c r="Q5" s="167"/>
      <c r="R5" s="167"/>
      <c r="S5" s="167"/>
      <c r="T5" s="167"/>
      <c r="U5" s="167"/>
      <c r="V5" s="167"/>
      <c r="W5" s="167"/>
      <c r="X5" s="167"/>
      <c r="Y5" s="167"/>
      <c r="Z5" s="167"/>
      <c r="AA5" s="167"/>
      <c r="AB5" s="167"/>
    </row>
    <row r="6" spans="1:28" s="12" customFormat="1" ht="18.75" x14ac:dyDescent="0.3">
      <c r="A6" s="17"/>
      <c r="B6" s="17"/>
      <c r="L6" s="15"/>
    </row>
    <row r="7" spans="1:28" s="12" customFormat="1" ht="18.75" x14ac:dyDescent="0.2">
      <c r="A7" s="332" t="s">
        <v>9</v>
      </c>
      <c r="B7" s="332"/>
      <c r="C7" s="332"/>
      <c r="D7" s="332"/>
      <c r="E7" s="332"/>
      <c r="F7" s="332"/>
      <c r="G7" s="332"/>
      <c r="H7" s="332"/>
      <c r="I7" s="332"/>
      <c r="J7" s="332"/>
      <c r="K7" s="332"/>
      <c r="L7" s="332"/>
      <c r="M7" s="332"/>
      <c r="N7" s="332"/>
      <c r="O7" s="332"/>
      <c r="P7" s="13"/>
      <c r="Q7" s="13"/>
      <c r="R7" s="13"/>
      <c r="S7" s="13"/>
      <c r="T7" s="13"/>
      <c r="U7" s="13"/>
      <c r="V7" s="13"/>
      <c r="W7" s="13"/>
      <c r="X7" s="13"/>
      <c r="Y7" s="13"/>
      <c r="Z7" s="13"/>
    </row>
    <row r="8" spans="1:28" s="12" customFormat="1" ht="18.75" x14ac:dyDescent="0.2">
      <c r="A8" s="332"/>
      <c r="B8" s="332"/>
      <c r="C8" s="332"/>
      <c r="D8" s="332"/>
      <c r="E8" s="332"/>
      <c r="F8" s="332"/>
      <c r="G8" s="332"/>
      <c r="H8" s="332"/>
      <c r="I8" s="332"/>
      <c r="J8" s="332"/>
      <c r="K8" s="332"/>
      <c r="L8" s="332"/>
      <c r="M8" s="332"/>
      <c r="N8" s="332"/>
      <c r="O8" s="332"/>
      <c r="P8" s="13"/>
      <c r="Q8" s="13"/>
      <c r="R8" s="13"/>
      <c r="S8" s="13"/>
      <c r="T8" s="13"/>
      <c r="U8" s="13"/>
      <c r="V8" s="13"/>
      <c r="W8" s="13"/>
      <c r="X8" s="13"/>
      <c r="Y8" s="13"/>
      <c r="Z8" s="13"/>
    </row>
    <row r="9" spans="1:28" s="12" customFormat="1" ht="18.75" x14ac:dyDescent="0.2">
      <c r="A9" s="335" t="str">
        <f>'1. паспорт местоположение'!A9:C9</f>
        <v>АО "Янтарьэнерго"</v>
      </c>
      <c r="B9" s="335"/>
      <c r="C9" s="335"/>
      <c r="D9" s="335"/>
      <c r="E9" s="335"/>
      <c r="F9" s="335"/>
      <c r="G9" s="335"/>
      <c r="H9" s="335"/>
      <c r="I9" s="335"/>
      <c r="J9" s="335"/>
      <c r="K9" s="335"/>
      <c r="L9" s="335"/>
      <c r="M9" s="335"/>
      <c r="N9" s="335"/>
      <c r="O9" s="335"/>
      <c r="P9" s="13"/>
      <c r="Q9" s="13"/>
      <c r="R9" s="13"/>
      <c r="S9" s="13"/>
      <c r="T9" s="13"/>
      <c r="U9" s="13"/>
      <c r="V9" s="13"/>
      <c r="W9" s="13"/>
      <c r="X9" s="13"/>
      <c r="Y9" s="13"/>
      <c r="Z9" s="13"/>
    </row>
    <row r="10" spans="1:28" s="12" customFormat="1" ht="18.75" x14ac:dyDescent="0.2">
      <c r="A10" s="329" t="s">
        <v>8</v>
      </c>
      <c r="B10" s="329"/>
      <c r="C10" s="329"/>
      <c r="D10" s="329"/>
      <c r="E10" s="329"/>
      <c r="F10" s="329"/>
      <c r="G10" s="329"/>
      <c r="H10" s="329"/>
      <c r="I10" s="329"/>
      <c r="J10" s="329"/>
      <c r="K10" s="329"/>
      <c r="L10" s="329"/>
      <c r="M10" s="329"/>
      <c r="N10" s="329"/>
      <c r="O10" s="329"/>
      <c r="P10" s="13"/>
      <c r="Q10" s="13"/>
      <c r="R10" s="13"/>
      <c r="S10" s="13"/>
      <c r="T10" s="13"/>
      <c r="U10" s="13"/>
      <c r="V10" s="13"/>
      <c r="W10" s="13"/>
      <c r="X10" s="13"/>
      <c r="Y10" s="13"/>
      <c r="Z10" s="13"/>
    </row>
    <row r="11" spans="1:28" s="12" customFormat="1" ht="18.75" x14ac:dyDescent="0.2">
      <c r="A11" s="332"/>
      <c r="B11" s="332"/>
      <c r="C11" s="332"/>
      <c r="D11" s="332"/>
      <c r="E11" s="332"/>
      <c r="F11" s="332"/>
      <c r="G11" s="332"/>
      <c r="H11" s="332"/>
      <c r="I11" s="332"/>
      <c r="J11" s="332"/>
      <c r="K11" s="332"/>
      <c r="L11" s="332"/>
      <c r="M11" s="332"/>
      <c r="N11" s="332"/>
      <c r="O11" s="332"/>
      <c r="P11" s="13"/>
      <c r="Q11" s="13"/>
      <c r="R11" s="13"/>
      <c r="S11" s="13"/>
      <c r="T11" s="13"/>
      <c r="U11" s="13"/>
      <c r="V11" s="13"/>
      <c r="W11" s="13"/>
      <c r="X11" s="13"/>
      <c r="Y11" s="13"/>
      <c r="Z11" s="13"/>
    </row>
    <row r="12" spans="1:28" s="12" customFormat="1" ht="18.75" x14ac:dyDescent="0.2">
      <c r="A12" s="335" t="str">
        <f>'1. паспорт местоположение'!A12:C12</f>
        <v>E_prj_111001_47826</v>
      </c>
      <c r="B12" s="335"/>
      <c r="C12" s="335"/>
      <c r="D12" s="335"/>
      <c r="E12" s="335"/>
      <c r="F12" s="335"/>
      <c r="G12" s="335"/>
      <c r="H12" s="335"/>
      <c r="I12" s="335"/>
      <c r="J12" s="335"/>
      <c r="K12" s="335"/>
      <c r="L12" s="335"/>
      <c r="M12" s="335"/>
      <c r="N12" s="335"/>
      <c r="O12" s="335"/>
      <c r="P12" s="13"/>
      <c r="Q12" s="13"/>
      <c r="R12" s="13"/>
      <c r="S12" s="13"/>
      <c r="T12" s="13"/>
      <c r="U12" s="13"/>
      <c r="V12" s="13"/>
      <c r="W12" s="13"/>
      <c r="X12" s="13"/>
      <c r="Y12" s="13"/>
      <c r="Z12" s="13"/>
    </row>
    <row r="13" spans="1:28" s="12" customFormat="1" ht="18.75" x14ac:dyDescent="0.2">
      <c r="A13" s="329" t="s">
        <v>7</v>
      </c>
      <c r="B13" s="329"/>
      <c r="C13" s="329"/>
      <c r="D13" s="329"/>
      <c r="E13" s="329"/>
      <c r="F13" s="329"/>
      <c r="G13" s="329"/>
      <c r="H13" s="329"/>
      <c r="I13" s="329"/>
      <c r="J13" s="329"/>
      <c r="K13" s="329"/>
      <c r="L13" s="329"/>
      <c r="M13" s="329"/>
      <c r="N13" s="329"/>
      <c r="O13" s="329"/>
      <c r="P13" s="13"/>
      <c r="Q13" s="13"/>
      <c r="R13" s="13"/>
      <c r="S13" s="13"/>
      <c r="T13" s="13"/>
      <c r="U13" s="13"/>
      <c r="V13" s="13"/>
      <c r="W13" s="13"/>
      <c r="X13" s="13"/>
      <c r="Y13" s="13"/>
      <c r="Z13" s="13"/>
    </row>
    <row r="14" spans="1:28" s="9" customFormat="1" ht="15.75" customHeight="1" x14ac:dyDescent="0.2">
      <c r="A14" s="338"/>
      <c r="B14" s="338"/>
      <c r="C14" s="338"/>
      <c r="D14" s="338"/>
      <c r="E14" s="338"/>
      <c r="F14" s="338"/>
      <c r="G14" s="338"/>
      <c r="H14" s="338"/>
      <c r="I14" s="338"/>
      <c r="J14" s="338"/>
      <c r="K14" s="338"/>
      <c r="L14" s="338"/>
      <c r="M14" s="338"/>
      <c r="N14" s="338"/>
      <c r="O14" s="338"/>
      <c r="P14" s="10"/>
      <c r="Q14" s="10"/>
      <c r="R14" s="10"/>
      <c r="S14" s="10"/>
      <c r="T14" s="10"/>
      <c r="U14" s="10"/>
      <c r="V14" s="10"/>
      <c r="W14" s="10"/>
      <c r="X14" s="10"/>
      <c r="Y14" s="10"/>
      <c r="Z14" s="10"/>
    </row>
    <row r="15" spans="1:28" s="3" customFormat="1" ht="15.75" x14ac:dyDescent="0.2">
      <c r="A15" s="335"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335"/>
      <c r="C15" s="335"/>
      <c r="D15" s="335"/>
      <c r="E15" s="335"/>
      <c r="F15" s="335"/>
      <c r="G15" s="335"/>
      <c r="H15" s="335"/>
      <c r="I15" s="335"/>
      <c r="J15" s="335"/>
      <c r="K15" s="335"/>
      <c r="L15" s="335"/>
      <c r="M15" s="335"/>
      <c r="N15" s="335"/>
      <c r="O15" s="335"/>
      <c r="P15" s="8"/>
      <c r="Q15" s="8"/>
      <c r="R15" s="8"/>
      <c r="S15" s="8"/>
      <c r="T15" s="8"/>
      <c r="U15" s="8"/>
      <c r="V15" s="8"/>
      <c r="W15" s="8"/>
      <c r="X15" s="8"/>
      <c r="Y15" s="8"/>
      <c r="Z15" s="8"/>
    </row>
    <row r="16" spans="1:28" s="3" customFormat="1" ht="15" customHeight="1" x14ac:dyDescent="0.2">
      <c r="A16" s="329" t="s">
        <v>6</v>
      </c>
      <c r="B16" s="329"/>
      <c r="C16" s="329"/>
      <c r="D16" s="329"/>
      <c r="E16" s="329"/>
      <c r="F16" s="329"/>
      <c r="G16" s="329"/>
      <c r="H16" s="329"/>
      <c r="I16" s="329"/>
      <c r="J16" s="329"/>
      <c r="K16" s="329"/>
      <c r="L16" s="329"/>
      <c r="M16" s="329"/>
      <c r="N16" s="329"/>
      <c r="O16" s="329"/>
      <c r="P16" s="6"/>
      <c r="Q16" s="6"/>
      <c r="R16" s="6"/>
      <c r="S16" s="6"/>
      <c r="T16" s="6"/>
      <c r="U16" s="6"/>
      <c r="V16" s="6"/>
      <c r="W16" s="6"/>
      <c r="X16" s="6"/>
      <c r="Y16" s="6"/>
      <c r="Z16" s="6"/>
    </row>
    <row r="17" spans="1:26" s="3" customFormat="1" ht="15" customHeight="1" x14ac:dyDescent="0.2">
      <c r="A17" s="336"/>
      <c r="B17" s="336"/>
      <c r="C17" s="336"/>
      <c r="D17" s="336"/>
      <c r="E17" s="336"/>
      <c r="F17" s="336"/>
      <c r="G17" s="336"/>
      <c r="H17" s="336"/>
      <c r="I17" s="336"/>
      <c r="J17" s="336"/>
      <c r="K17" s="336"/>
      <c r="L17" s="336"/>
      <c r="M17" s="336"/>
      <c r="N17" s="336"/>
      <c r="O17" s="336"/>
      <c r="P17" s="4"/>
      <c r="Q17" s="4"/>
      <c r="R17" s="4"/>
      <c r="S17" s="4"/>
      <c r="T17" s="4"/>
      <c r="U17" s="4"/>
      <c r="V17" s="4"/>
      <c r="W17" s="4"/>
    </row>
    <row r="18" spans="1:26" s="3" customFormat="1" ht="91.5" customHeight="1" x14ac:dyDescent="0.2">
      <c r="A18" s="375" t="s">
        <v>414</v>
      </c>
      <c r="B18" s="375"/>
      <c r="C18" s="375"/>
      <c r="D18" s="375"/>
      <c r="E18" s="375"/>
      <c r="F18" s="375"/>
      <c r="G18" s="375"/>
      <c r="H18" s="375"/>
      <c r="I18" s="375"/>
      <c r="J18" s="375"/>
      <c r="K18" s="375"/>
      <c r="L18" s="375"/>
      <c r="M18" s="375"/>
      <c r="N18" s="375"/>
      <c r="O18" s="375"/>
      <c r="P18" s="7"/>
      <c r="Q18" s="7"/>
      <c r="R18" s="7"/>
      <c r="S18" s="7"/>
      <c r="T18" s="7"/>
      <c r="U18" s="7"/>
      <c r="V18" s="7"/>
      <c r="W18" s="7"/>
      <c r="X18" s="7"/>
      <c r="Y18" s="7"/>
      <c r="Z18" s="7"/>
    </row>
    <row r="19" spans="1:26" s="3" customFormat="1" ht="78" customHeight="1" x14ac:dyDescent="0.2">
      <c r="A19" s="340" t="s">
        <v>5</v>
      </c>
      <c r="B19" s="340" t="s">
        <v>88</v>
      </c>
      <c r="C19" s="340" t="s">
        <v>87</v>
      </c>
      <c r="D19" s="340" t="s">
        <v>76</v>
      </c>
      <c r="E19" s="376" t="s">
        <v>86</v>
      </c>
      <c r="F19" s="377"/>
      <c r="G19" s="377"/>
      <c r="H19" s="377"/>
      <c r="I19" s="378"/>
      <c r="J19" s="340" t="s">
        <v>85</v>
      </c>
      <c r="K19" s="340"/>
      <c r="L19" s="340"/>
      <c r="M19" s="340"/>
      <c r="N19" s="340"/>
      <c r="O19" s="340"/>
      <c r="P19" s="4"/>
      <c r="Q19" s="4"/>
      <c r="R19" s="4"/>
      <c r="S19" s="4"/>
      <c r="T19" s="4"/>
      <c r="U19" s="4"/>
      <c r="V19" s="4"/>
      <c r="W19" s="4"/>
    </row>
    <row r="20" spans="1:26" s="3" customFormat="1" ht="51" customHeight="1" x14ac:dyDescent="0.2">
      <c r="A20" s="340"/>
      <c r="B20" s="340"/>
      <c r="C20" s="340"/>
      <c r="D20" s="340"/>
      <c r="E20" s="42" t="s">
        <v>84</v>
      </c>
      <c r="F20" s="42" t="s">
        <v>83</v>
      </c>
      <c r="G20" s="42" t="s">
        <v>82</v>
      </c>
      <c r="H20" s="42" t="s">
        <v>81</v>
      </c>
      <c r="I20" s="42" t="s">
        <v>80</v>
      </c>
      <c r="J20" s="42" t="s">
        <v>79</v>
      </c>
      <c r="K20" s="42" t="s">
        <v>4</v>
      </c>
      <c r="L20" s="49" t="s">
        <v>3</v>
      </c>
      <c r="M20" s="48" t="s">
        <v>226</v>
      </c>
      <c r="N20" s="48" t="s">
        <v>78</v>
      </c>
      <c r="O20" s="48" t="s">
        <v>77</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47.25" x14ac:dyDescent="0.2">
      <c r="A22" s="249" t="s">
        <v>65</v>
      </c>
      <c r="B22" s="47" t="s">
        <v>514</v>
      </c>
      <c r="C22" s="30" t="s">
        <v>517</v>
      </c>
      <c r="D22" s="30" t="s">
        <v>518</v>
      </c>
      <c r="E22" s="30"/>
      <c r="F22" s="30"/>
      <c r="G22" s="30"/>
      <c r="H22" s="30"/>
      <c r="I22" s="30"/>
      <c r="J22" s="248">
        <v>149.97999999999999</v>
      </c>
      <c r="K22" s="248">
        <v>220.2783</v>
      </c>
      <c r="L22" s="248">
        <v>36.79898</v>
      </c>
      <c r="M22" s="248"/>
      <c r="N22" s="248"/>
      <c r="O22" s="248"/>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7"/>
  <sheetViews>
    <sheetView topLeftCell="A49" zoomScale="90" zoomScaleNormal="90" workbookViewId="0">
      <selection activeCell="B21" sqref="B21"/>
    </sheetView>
  </sheetViews>
  <sheetFormatPr defaultRowHeight="15.75" x14ac:dyDescent="0.2"/>
  <cols>
    <col min="1" max="1" width="61.7109375" style="186" customWidth="1"/>
    <col min="2" max="2" width="18.5703125" style="186" customWidth="1"/>
    <col min="3" max="28" width="16.85546875" style="186" customWidth="1"/>
    <col min="29" max="29" width="16.7109375" style="186" customWidth="1"/>
    <col min="30" max="45" width="16.7109375" style="189" customWidth="1"/>
    <col min="46" max="46" width="13.28515625" style="190" bestFit="1" customWidth="1"/>
    <col min="47" max="48" width="9.140625" style="190"/>
    <col min="49" max="256" width="9.140625" style="189"/>
    <col min="257" max="257" width="61.7109375" style="189" customWidth="1"/>
    <col min="258" max="258" width="18.5703125" style="189" customWidth="1"/>
    <col min="259" max="284" width="16.85546875" style="189" customWidth="1"/>
    <col min="285" max="301" width="16.7109375" style="189" customWidth="1"/>
    <col min="302" max="302" width="13.28515625" style="189" bestFit="1" customWidth="1"/>
    <col min="303" max="512" width="9.140625" style="189"/>
    <col min="513" max="513" width="61.7109375" style="189" customWidth="1"/>
    <col min="514" max="514" width="18.5703125" style="189" customWidth="1"/>
    <col min="515" max="540" width="16.85546875" style="189" customWidth="1"/>
    <col min="541" max="557" width="16.7109375" style="189" customWidth="1"/>
    <col min="558" max="558" width="13.28515625" style="189" bestFit="1" customWidth="1"/>
    <col min="559" max="768" width="9.140625" style="189"/>
    <col min="769" max="769" width="61.7109375" style="189" customWidth="1"/>
    <col min="770" max="770" width="18.5703125" style="189" customWidth="1"/>
    <col min="771" max="796" width="16.85546875" style="189" customWidth="1"/>
    <col min="797" max="813" width="16.7109375" style="189" customWidth="1"/>
    <col min="814" max="814" width="13.28515625" style="189" bestFit="1" customWidth="1"/>
    <col min="815" max="1024" width="9.140625" style="189"/>
    <col min="1025" max="1025" width="61.7109375" style="189" customWidth="1"/>
    <col min="1026" max="1026" width="18.5703125" style="189" customWidth="1"/>
    <col min="1027" max="1052" width="16.85546875" style="189" customWidth="1"/>
    <col min="1053" max="1069" width="16.7109375" style="189" customWidth="1"/>
    <col min="1070" max="1070" width="13.28515625" style="189" bestFit="1" customWidth="1"/>
    <col min="1071" max="1280" width="9.140625" style="189"/>
    <col min="1281" max="1281" width="61.7109375" style="189" customWidth="1"/>
    <col min="1282" max="1282" width="18.5703125" style="189" customWidth="1"/>
    <col min="1283" max="1308" width="16.85546875" style="189" customWidth="1"/>
    <col min="1309" max="1325" width="16.7109375" style="189" customWidth="1"/>
    <col min="1326" max="1326" width="13.28515625" style="189" bestFit="1" customWidth="1"/>
    <col min="1327" max="1536" width="9.140625" style="189"/>
    <col min="1537" max="1537" width="61.7109375" style="189" customWidth="1"/>
    <col min="1538" max="1538" width="18.5703125" style="189" customWidth="1"/>
    <col min="1539" max="1564" width="16.85546875" style="189" customWidth="1"/>
    <col min="1565" max="1581" width="16.7109375" style="189" customWidth="1"/>
    <col min="1582" max="1582" width="13.28515625" style="189" bestFit="1" customWidth="1"/>
    <col min="1583" max="1792" width="9.140625" style="189"/>
    <col min="1793" max="1793" width="61.7109375" style="189" customWidth="1"/>
    <col min="1794" max="1794" width="18.5703125" style="189" customWidth="1"/>
    <col min="1795" max="1820" width="16.85546875" style="189" customWidth="1"/>
    <col min="1821" max="1837" width="16.7109375" style="189" customWidth="1"/>
    <col min="1838" max="1838" width="13.28515625" style="189" bestFit="1" customWidth="1"/>
    <col min="1839" max="2048" width="9.140625" style="189"/>
    <col min="2049" max="2049" width="61.7109375" style="189" customWidth="1"/>
    <col min="2050" max="2050" width="18.5703125" style="189" customWidth="1"/>
    <col min="2051" max="2076" width="16.85546875" style="189" customWidth="1"/>
    <col min="2077" max="2093" width="16.7109375" style="189" customWidth="1"/>
    <col min="2094" max="2094" width="13.28515625" style="189" bestFit="1" customWidth="1"/>
    <col min="2095" max="2304" width="9.140625" style="189"/>
    <col min="2305" max="2305" width="61.7109375" style="189" customWidth="1"/>
    <col min="2306" max="2306" width="18.5703125" style="189" customWidth="1"/>
    <col min="2307" max="2332" width="16.85546875" style="189" customWidth="1"/>
    <col min="2333" max="2349" width="16.7109375" style="189" customWidth="1"/>
    <col min="2350" max="2350" width="13.28515625" style="189" bestFit="1" customWidth="1"/>
    <col min="2351" max="2560" width="9.140625" style="189"/>
    <col min="2561" max="2561" width="61.7109375" style="189" customWidth="1"/>
    <col min="2562" max="2562" width="18.5703125" style="189" customWidth="1"/>
    <col min="2563" max="2588" width="16.85546875" style="189" customWidth="1"/>
    <col min="2589" max="2605" width="16.7109375" style="189" customWidth="1"/>
    <col min="2606" max="2606" width="13.28515625" style="189" bestFit="1" customWidth="1"/>
    <col min="2607" max="2816" width="9.140625" style="189"/>
    <col min="2817" max="2817" width="61.7109375" style="189" customWidth="1"/>
    <col min="2818" max="2818" width="18.5703125" style="189" customWidth="1"/>
    <col min="2819" max="2844" width="16.85546875" style="189" customWidth="1"/>
    <col min="2845" max="2861" width="16.7109375" style="189" customWidth="1"/>
    <col min="2862" max="2862" width="13.28515625" style="189" bestFit="1" customWidth="1"/>
    <col min="2863" max="3072" width="9.140625" style="189"/>
    <col min="3073" max="3073" width="61.7109375" style="189" customWidth="1"/>
    <col min="3074" max="3074" width="18.5703125" style="189" customWidth="1"/>
    <col min="3075" max="3100" width="16.85546875" style="189" customWidth="1"/>
    <col min="3101" max="3117" width="16.7109375" style="189" customWidth="1"/>
    <col min="3118" max="3118" width="13.28515625" style="189" bestFit="1" customWidth="1"/>
    <col min="3119" max="3328" width="9.140625" style="189"/>
    <col min="3329" max="3329" width="61.7109375" style="189" customWidth="1"/>
    <col min="3330" max="3330" width="18.5703125" style="189" customWidth="1"/>
    <col min="3331" max="3356" width="16.85546875" style="189" customWidth="1"/>
    <col min="3357" max="3373" width="16.7109375" style="189" customWidth="1"/>
    <col min="3374" max="3374" width="13.28515625" style="189" bestFit="1" customWidth="1"/>
    <col min="3375" max="3584" width="9.140625" style="189"/>
    <col min="3585" max="3585" width="61.7109375" style="189" customWidth="1"/>
    <col min="3586" max="3586" width="18.5703125" style="189" customWidth="1"/>
    <col min="3587" max="3612" width="16.85546875" style="189" customWidth="1"/>
    <col min="3613" max="3629" width="16.7109375" style="189" customWidth="1"/>
    <col min="3630" max="3630" width="13.28515625" style="189" bestFit="1" customWidth="1"/>
    <col min="3631" max="3840" width="9.140625" style="189"/>
    <col min="3841" max="3841" width="61.7109375" style="189" customWidth="1"/>
    <col min="3842" max="3842" width="18.5703125" style="189" customWidth="1"/>
    <col min="3843" max="3868" width="16.85546875" style="189" customWidth="1"/>
    <col min="3869" max="3885" width="16.7109375" style="189" customWidth="1"/>
    <col min="3886" max="3886" width="13.28515625" style="189" bestFit="1" customWidth="1"/>
    <col min="3887" max="4096" width="9.140625" style="189"/>
    <col min="4097" max="4097" width="61.7109375" style="189" customWidth="1"/>
    <col min="4098" max="4098" width="18.5703125" style="189" customWidth="1"/>
    <col min="4099" max="4124" width="16.85546875" style="189" customWidth="1"/>
    <col min="4125" max="4141" width="16.7109375" style="189" customWidth="1"/>
    <col min="4142" max="4142" width="13.28515625" style="189" bestFit="1" customWidth="1"/>
    <col min="4143" max="4352" width="9.140625" style="189"/>
    <col min="4353" max="4353" width="61.7109375" style="189" customWidth="1"/>
    <col min="4354" max="4354" width="18.5703125" style="189" customWidth="1"/>
    <col min="4355" max="4380" width="16.85546875" style="189" customWidth="1"/>
    <col min="4381" max="4397" width="16.7109375" style="189" customWidth="1"/>
    <col min="4398" max="4398" width="13.28515625" style="189" bestFit="1" customWidth="1"/>
    <col min="4399" max="4608" width="9.140625" style="189"/>
    <col min="4609" max="4609" width="61.7109375" style="189" customWidth="1"/>
    <col min="4610" max="4610" width="18.5703125" style="189" customWidth="1"/>
    <col min="4611" max="4636" width="16.85546875" style="189" customWidth="1"/>
    <col min="4637" max="4653" width="16.7109375" style="189" customWidth="1"/>
    <col min="4654" max="4654" width="13.28515625" style="189" bestFit="1" customWidth="1"/>
    <col min="4655" max="4864" width="9.140625" style="189"/>
    <col min="4865" max="4865" width="61.7109375" style="189" customWidth="1"/>
    <col min="4866" max="4866" width="18.5703125" style="189" customWidth="1"/>
    <col min="4867" max="4892" width="16.85546875" style="189" customWidth="1"/>
    <col min="4893" max="4909" width="16.7109375" style="189" customWidth="1"/>
    <col min="4910" max="4910" width="13.28515625" style="189" bestFit="1" customWidth="1"/>
    <col min="4911" max="5120" width="9.140625" style="189"/>
    <col min="5121" max="5121" width="61.7109375" style="189" customWidth="1"/>
    <col min="5122" max="5122" width="18.5703125" style="189" customWidth="1"/>
    <col min="5123" max="5148" width="16.85546875" style="189" customWidth="1"/>
    <col min="5149" max="5165" width="16.7109375" style="189" customWidth="1"/>
    <col min="5166" max="5166" width="13.28515625" style="189" bestFit="1" customWidth="1"/>
    <col min="5167" max="5376" width="9.140625" style="189"/>
    <col min="5377" max="5377" width="61.7109375" style="189" customWidth="1"/>
    <col min="5378" max="5378" width="18.5703125" style="189" customWidth="1"/>
    <col min="5379" max="5404" width="16.85546875" style="189" customWidth="1"/>
    <col min="5405" max="5421" width="16.7109375" style="189" customWidth="1"/>
    <col min="5422" max="5422" width="13.28515625" style="189" bestFit="1" customWidth="1"/>
    <col min="5423" max="5632" width="9.140625" style="189"/>
    <col min="5633" max="5633" width="61.7109375" style="189" customWidth="1"/>
    <col min="5634" max="5634" width="18.5703125" style="189" customWidth="1"/>
    <col min="5635" max="5660" width="16.85546875" style="189" customWidth="1"/>
    <col min="5661" max="5677" width="16.7109375" style="189" customWidth="1"/>
    <col min="5678" max="5678" width="13.28515625" style="189" bestFit="1" customWidth="1"/>
    <col min="5679" max="5888" width="9.140625" style="189"/>
    <col min="5889" max="5889" width="61.7109375" style="189" customWidth="1"/>
    <col min="5890" max="5890" width="18.5703125" style="189" customWidth="1"/>
    <col min="5891" max="5916" width="16.85546875" style="189" customWidth="1"/>
    <col min="5917" max="5933" width="16.7109375" style="189" customWidth="1"/>
    <col min="5934" max="5934" width="13.28515625" style="189" bestFit="1" customWidth="1"/>
    <col min="5935" max="6144" width="9.140625" style="189"/>
    <col min="6145" max="6145" width="61.7109375" style="189" customWidth="1"/>
    <col min="6146" max="6146" width="18.5703125" style="189" customWidth="1"/>
    <col min="6147" max="6172" width="16.85546875" style="189" customWidth="1"/>
    <col min="6173" max="6189" width="16.7109375" style="189" customWidth="1"/>
    <col min="6190" max="6190" width="13.28515625" style="189" bestFit="1" customWidth="1"/>
    <col min="6191" max="6400" width="9.140625" style="189"/>
    <col min="6401" max="6401" width="61.7109375" style="189" customWidth="1"/>
    <col min="6402" max="6402" width="18.5703125" style="189" customWidth="1"/>
    <col min="6403" max="6428" width="16.85546875" style="189" customWidth="1"/>
    <col min="6429" max="6445" width="16.7109375" style="189" customWidth="1"/>
    <col min="6446" max="6446" width="13.28515625" style="189" bestFit="1" customWidth="1"/>
    <col min="6447" max="6656" width="9.140625" style="189"/>
    <col min="6657" max="6657" width="61.7109375" style="189" customWidth="1"/>
    <col min="6658" max="6658" width="18.5703125" style="189" customWidth="1"/>
    <col min="6659" max="6684" width="16.85546875" style="189" customWidth="1"/>
    <col min="6685" max="6701" width="16.7109375" style="189" customWidth="1"/>
    <col min="6702" max="6702" width="13.28515625" style="189" bestFit="1" customWidth="1"/>
    <col min="6703" max="6912" width="9.140625" style="189"/>
    <col min="6913" max="6913" width="61.7109375" style="189" customWidth="1"/>
    <col min="6914" max="6914" width="18.5703125" style="189" customWidth="1"/>
    <col min="6915" max="6940" width="16.85546875" style="189" customWidth="1"/>
    <col min="6941" max="6957" width="16.7109375" style="189" customWidth="1"/>
    <col min="6958" max="6958" width="13.28515625" style="189" bestFit="1" customWidth="1"/>
    <col min="6959" max="7168" width="9.140625" style="189"/>
    <col min="7169" max="7169" width="61.7109375" style="189" customWidth="1"/>
    <col min="7170" max="7170" width="18.5703125" style="189" customWidth="1"/>
    <col min="7171" max="7196" width="16.85546875" style="189" customWidth="1"/>
    <col min="7197" max="7213" width="16.7109375" style="189" customWidth="1"/>
    <col min="7214" max="7214" width="13.28515625" style="189" bestFit="1" customWidth="1"/>
    <col min="7215" max="7424" width="9.140625" style="189"/>
    <col min="7425" max="7425" width="61.7109375" style="189" customWidth="1"/>
    <col min="7426" max="7426" width="18.5703125" style="189" customWidth="1"/>
    <col min="7427" max="7452" width="16.85546875" style="189" customWidth="1"/>
    <col min="7453" max="7469" width="16.7109375" style="189" customWidth="1"/>
    <col min="7470" max="7470" width="13.28515625" style="189" bestFit="1" customWidth="1"/>
    <col min="7471" max="7680" width="9.140625" style="189"/>
    <col min="7681" max="7681" width="61.7109375" style="189" customWidth="1"/>
    <col min="7682" max="7682" width="18.5703125" style="189" customWidth="1"/>
    <col min="7683" max="7708" width="16.85546875" style="189" customWidth="1"/>
    <col min="7709" max="7725" width="16.7109375" style="189" customWidth="1"/>
    <col min="7726" max="7726" width="13.28515625" style="189" bestFit="1" customWidth="1"/>
    <col min="7727" max="7936" width="9.140625" style="189"/>
    <col min="7937" max="7937" width="61.7109375" style="189" customWidth="1"/>
    <col min="7938" max="7938" width="18.5703125" style="189" customWidth="1"/>
    <col min="7939" max="7964" width="16.85546875" style="189" customWidth="1"/>
    <col min="7965" max="7981" width="16.7109375" style="189" customWidth="1"/>
    <col min="7982" max="7982" width="13.28515625" style="189" bestFit="1" customWidth="1"/>
    <col min="7983" max="8192" width="9.140625" style="189"/>
    <col min="8193" max="8193" width="61.7109375" style="189" customWidth="1"/>
    <col min="8194" max="8194" width="18.5703125" style="189" customWidth="1"/>
    <col min="8195" max="8220" width="16.85546875" style="189" customWidth="1"/>
    <col min="8221" max="8237" width="16.7109375" style="189" customWidth="1"/>
    <col min="8238" max="8238" width="13.28515625" style="189" bestFit="1" customWidth="1"/>
    <col min="8239" max="8448" width="9.140625" style="189"/>
    <col min="8449" max="8449" width="61.7109375" style="189" customWidth="1"/>
    <col min="8450" max="8450" width="18.5703125" style="189" customWidth="1"/>
    <col min="8451" max="8476" width="16.85546875" style="189" customWidth="1"/>
    <col min="8477" max="8493" width="16.7109375" style="189" customWidth="1"/>
    <col min="8494" max="8494" width="13.28515625" style="189" bestFit="1" customWidth="1"/>
    <col min="8495" max="8704" width="9.140625" style="189"/>
    <col min="8705" max="8705" width="61.7109375" style="189" customWidth="1"/>
    <col min="8706" max="8706" width="18.5703125" style="189" customWidth="1"/>
    <col min="8707" max="8732" width="16.85546875" style="189" customWidth="1"/>
    <col min="8733" max="8749" width="16.7109375" style="189" customWidth="1"/>
    <col min="8750" max="8750" width="13.28515625" style="189" bestFit="1" customWidth="1"/>
    <col min="8751" max="8960" width="9.140625" style="189"/>
    <col min="8961" max="8961" width="61.7109375" style="189" customWidth="1"/>
    <col min="8962" max="8962" width="18.5703125" style="189" customWidth="1"/>
    <col min="8963" max="8988" width="16.85546875" style="189" customWidth="1"/>
    <col min="8989" max="9005" width="16.7109375" style="189" customWidth="1"/>
    <col min="9006" max="9006" width="13.28515625" style="189" bestFit="1" customWidth="1"/>
    <col min="9007" max="9216" width="9.140625" style="189"/>
    <col min="9217" max="9217" width="61.7109375" style="189" customWidth="1"/>
    <col min="9218" max="9218" width="18.5703125" style="189" customWidth="1"/>
    <col min="9219" max="9244" width="16.85546875" style="189" customWidth="1"/>
    <col min="9245" max="9261" width="16.7109375" style="189" customWidth="1"/>
    <col min="9262" max="9262" width="13.28515625" style="189" bestFit="1" customWidth="1"/>
    <col min="9263" max="9472" width="9.140625" style="189"/>
    <col min="9473" max="9473" width="61.7109375" style="189" customWidth="1"/>
    <col min="9474" max="9474" width="18.5703125" style="189" customWidth="1"/>
    <col min="9475" max="9500" width="16.85546875" style="189" customWidth="1"/>
    <col min="9501" max="9517" width="16.7109375" style="189" customWidth="1"/>
    <col min="9518" max="9518" width="13.28515625" style="189" bestFit="1" customWidth="1"/>
    <col min="9519" max="9728" width="9.140625" style="189"/>
    <col min="9729" max="9729" width="61.7109375" style="189" customWidth="1"/>
    <col min="9730" max="9730" width="18.5703125" style="189" customWidth="1"/>
    <col min="9731" max="9756" width="16.85546875" style="189" customWidth="1"/>
    <col min="9757" max="9773" width="16.7109375" style="189" customWidth="1"/>
    <col min="9774" max="9774" width="13.28515625" style="189" bestFit="1" customWidth="1"/>
    <col min="9775" max="9984" width="9.140625" style="189"/>
    <col min="9985" max="9985" width="61.7109375" style="189" customWidth="1"/>
    <col min="9986" max="9986" width="18.5703125" style="189" customWidth="1"/>
    <col min="9987" max="10012" width="16.85546875" style="189" customWidth="1"/>
    <col min="10013" max="10029" width="16.7109375" style="189" customWidth="1"/>
    <col min="10030" max="10030" width="13.28515625" style="189" bestFit="1" customWidth="1"/>
    <col min="10031" max="10240" width="9.140625" style="189"/>
    <col min="10241" max="10241" width="61.7109375" style="189" customWidth="1"/>
    <col min="10242" max="10242" width="18.5703125" style="189" customWidth="1"/>
    <col min="10243" max="10268" width="16.85546875" style="189" customWidth="1"/>
    <col min="10269" max="10285" width="16.7109375" style="189" customWidth="1"/>
    <col min="10286" max="10286" width="13.28515625" style="189" bestFit="1" customWidth="1"/>
    <col min="10287" max="10496" width="9.140625" style="189"/>
    <col min="10497" max="10497" width="61.7109375" style="189" customWidth="1"/>
    <col min="10498" max="10498" width="18.5703125" style="189" customWidth="1"/>
    <col min="10499" max="10524" width="16.85546875" style="189" customWidth="1"/>
    <col min="10525" max="10541" width="16.7109375" style="189" customWidth="1"/>
    <col min="10542" max="10542" width="13.28515625" style="189" bestFit="1" customWidth="1"/>
    <col min="10543" max="10752" width="9.140625" style="189"/>
    <col min="10753" max="10753" width="61.7109375" style="189" customWidth="1"/>
    <col min="10754" max="10754" width="18.5703125" style="189" customWidth="1"/>
    <col min="10755" max="10780" width="16.85546875" style="189" customWidth="1"/>
    <col min="10781" max="10797" width="16.7109375" style="189" customWidth="1"/>
    <col min="10798" max="10798" width="13.28515625" style="189" bestFit="1" customWidth="1"/>
    <col min="10799" max="11008" width="9.140625" style="189"/>
    <col min="11009" max="11009" width="61.7109375" style="189" customWidth="1"/>
    <col min="11010" max="11010" width="18.5703125" style="189" customWidth="1"/>
    <col min="11011" max="11036" width="16.85546875" style="189" customWidth="1"/>
    <col min="11037" max="11053" width="16.7109375" style="189" customWidth="1"/>
    <col min="11054" max="11054" width="13.28515625" style="189" bestFit="1" customWidth="1"/>
    <col min="11055" max="11264" width="9.140625" style="189"/>
    <col min="11265" max="11265" width="61.7109375" style="189" customWidth="1"/>
    <col min="11266" max="11266" width="18.5703125" style="189" customWidth="1"/>
    <col min="11267" max="11292" width="16.85546875" style="189" customWidth="1"/>
    <col min="11293" max="11309" width="16.7109375" style="189" customWidth="1"/>
    <col min="11310" max="11310" width="13.28515625" style="189" bestFit="1" customWidth="1"/>
    <col min="11311" max="11520" width="9.140625" style="189"/>
    <col min="11521" max="11521" width="61.7109375" style="189" customWidth="1"/>
    <col min="11522" max="11522" width="18.5703125" style="189" customWidth="1"/>
    <col min="11523" max="11548" width="16.85546875" style="189" customWidth="1"/>
    <col min="11549" max="11565" width="16.7109375" style="189" customWidth="1"/>
    <col min="11566" max="11566" width="13.28515625" style="189" bestFit="1" customWidth="1"/>
    <col min="11567" max="11776" width="9.140625" style="189"/>
    <col min="11777" max="11777" width="61.7109375" style="189" customWidth="1"/>
    <col min="11778" max="11778" width="18.5703125" style="189" customWidth="1"/>
    <col min="11779" max="11804" width="16.85546875" style="189" customWidth="1"/>
    <col min="11805" max="11821" width="16.7109375" style="189" customWidth="1"/>
    <col min="11822" max="11822" width="13.28515625" style="189" bestFit="1" customWidth="1"/>
    <col min="11823" max="12032" width="9.140625" style="189"/>
    <col min="12033" max="12033" width="61.7109375" style="189" customWidth="1"/>
    <col min="12034" max="12034" width="18.5703125" style="189" customWidth="1"/>
    <col min="12035" max="12060" width="16.85546875" style="189" customWidth="1"/>
    <col min="12061" max="12077" width="16.7109375" style="189" customWidth="1"/>
    <col min="12078" max="12078" width="13.28515625" style="189" bestFit="1" customWidth="1"/>
    <col min="12079" max="12288" width="9.140625" style="189"/>
    <col min="12289" max="12289" width="61.7109375" style="189" customWidth="1"/>
    <col min="12290" max="12290" width="18.5703125" style="189" customWidth="1"/>
    <col min="12291" max="12316" width="16.85546875" style="189" customWidth="1"/>
    <col min="12317" max="12333" width="16.7109375" style="189" customWidth="1"/>
    <col min="12334" max="12334" width="13.28515625" style="189" bestFit="1" customWidth="1"/>
    <col min="12335" max="12544" width="9.140625" style="189"/>
    <col min="12545" max="12545" width="61.7109375" style="189" customWidth="1"/>
    <col min="12546" max="12546" width="18.5703125" style="189" customWidth="1"/>
    <col min="12547" max="12572" width="16.85546875" style="189" customWidth="1"/>
    <col min="12573" max="12589" width="16.7109375" style="189" customWidth="1"/>
    <col min="12590" max="12590" width="13.28515625" style="189" bestFit="1" customWidth="1"/>
    <col min="12591" max="12800" width="9.140625" style="189"/>
    <col min="12801" max="12801" width="61.7109375" style="189" customWidth="1"/>
    <col min="12802" max="12802" width="18.5703125" style="189" customWidth="1"/>
    <col min="12803" max="12828" width="16.85546875" style="189" customWidth="1"/>
    <col min="12829" max="12845" width="16.7109375" style="189" customWidth="1"/>
    <col min="12846" max="12846" width="13.28515625" style="189" bestFit="1" customWidth="1"/>
    <col min="12847" max="13056" width="9.140625" style="189"/>
    <col min="13057" max="13057" width="61.7109375" style="189" customWidth="1"/>
    <col min="13058" max="13058" width="18.5703125" style="189" customWidth="1"/>
    <col min="13059" max="13084" width="16.85546875" style="189" customWidth="1"/>
    <col min="13085" max="13101" width="16.7109375" style="189" customWidth="1"/>
    <col min="13102" max="13102" width="13.28515625" style="189" bestFit="1" customWidth="1"/>
    <col min="13103" max="13312" width="9.140625" style="189"/>
    <col min="13313" max="13313" width="61.7109375" style="189" customWidth="1"/>
    <col min="13314" max="13314" width="18.5703125" style="189" customWidth="1"/>
    <col min="13315" max="13340" width="16.85546875" style="189" customWidth="1"/>
    <col min="13341" max="13357" width="16.7109375" style="189" customWidth="1"/>
    <col min="13358" max="13358" width="13.28515625" style="189" bestFit="1" customWidth="1"/>
    <col min="13359" max="13568" width="9.140625" style="189"/>
    <col min="13569" max="13569" width="61.7109375" style="189" customWidth="1"/>
    <col min="13570" max="13570" width="18.5703125" style="189" customWidth="1"/>
    <col min="13571" max="13596" width="16.85546875" style="189" customWidth="1"/>
    <col min="13597" max="13613" width="16.7109375" style="189" customWidth="1"/>
    <col min="13614" max="13614" width="13.28515625" style="189" bestFit="1" customWidth="1"/>
    <col min="13615" max="13824" width="9.140625" style="189"/>
    <col min="13825" max="13825" width="61.7109375" style="189" customWidth="1"/>
    <col min="13826" max="13826" width="18.5703125" style="189" customWidth="1"/>
    <col min="13827" max="13852" width="16.85546875" style="189" customWidth="1"/>
    <col min="13853" max="13869" width="16.7109375" style="189" customWidth="1"/>
    <col min="13870" max="13870" width="13.28515625" style="189" bestFit="1" customWidth="1"/>
    <col min="13871" max="14080" width="9.140625" style="189"/>
    <col min="14081" max="14081" width="61.7109375" style="189" customWidth="1"/>
    <col min="14082" max="14082" width="18.5703125" style="189" customWidth="1"/>
    <col min="14083" max="14108" width="16.85546875" style="189" customWidth="1"/>
    <col min="14109" max="14125" width="16.7109375" style="189" customWidth="1"/>
    <col min="14126" max="14126" width="13.28515625" style="189" bestFit="1" customWidth="1"/>
    <col min="14127" max="14336" width="9.140625" style="189"/>
    <col min="14337" max="14337" width="61.7109375" style="189" customWidth="1"/>
    <col min="14338" max="14338" width="18.5703125" style="189" customWidth="1"/>
    <col min="14339" max="14364" width="16.85546875" style="189" customWidth="1"/>
    <col min="14365" max="14381" width="16.7109375" style="189" customWidth="1"/>
    <col min="14382" max="14382" width="13.28515625" style="189" bestFit="1" customWidth="1"/>
    <col min="14383" max="14592" width="9.140625" style="189"/>
    <col min="14593" max="14593" width="61.7109375" style="189" customWidth="1"/>
    <col min="14594" max="14594" width="18.5703125" style="189" customWidth="1"/>
    <col min="14595" max="14620" width="16.85546875" style="189" customWidth="1"/>
    <col min="14621" max="14637" width="16.7109375" style="189" customWidth="1"/>
    <col min="14638" max="14638" width="13.28515625" style="189" bestFit="1" customWidth="1"/>
    <col min="14639" max="14848" width="9.140625" style="189"/>
    <col min="14849" max="14849" width="61.7109375" style="189" customWidth="1"/>
    <col min="14850" max="14850" width="18.5703125" style="189" customWidth="1"/>
    <col min="14851" max="14876" width="16.85546875" style="189" customWidth="1"/>
    <col min="14877" max="14893" width="16.7109375" style="189" customWidth="1"/>
    <col min="14894" max="14894" width="13.28515625" style="189" bestFit="1" customWidth="1"/>
    <col min="14895" max="15104" width="9.140625" style="189"/>
    <col min="15105" max="15105" width="61.7109375" style="189" customWidth="1"/>
    <col min="15106" max="15106" width="18.5703125" style="189" customWidth="1"/>
    <col min="15107" max="15132" width="16.85546875" style="189" customWidth="1"/>
    <col min="15133" max="15149" width="16.7109375" style="189" customWidth="1"/>
    <col min="15150" max="15150" width="13.28515625" style="189" bestFit="1" customWidth="1"/>
    <col min="15151" max="15360" width="9.140625" style="189"/>
    <col min="15361" max="15361" width="61.7109375" style="189" customWidth="1"/>
    <col min="15362" max="15362" width="18.5703125" style="189" customWidth="1"/>
    <col min="15363" max="15388" width="16.85546875" style="189" customWidth="1"/>
    <col min="15389" max="15405" width="16.7109375" style="189" customWidth="1"/>
    <col min="15406" max="15406" width="13.28515625" style="189" bestFit="1" customWidth="1"/>
    <col min="15407" max="15616" width="9.140625" style="189"/>
    <col min="15617" max="15617" width="61.7109375" style="189" customWidth="1"/>
    <col min="15618" max="15618" width="18.5703125" style="189" customWidth="1"/>
    <col min="15619" max="15644" width="16.85546875" style="189" customWidth="1"/>
    <col min="15645" max="15661" width="16.7109375" style="189" customWidth="1"/>
    <col min="15662" max="15662" width="13.28515625" style="189" bestFit="1" customWidth="1"/>
    <col min="15663" max="15872" width="9.140625" style="189"/>
    <col min="15873" max="15873" width="61.7109375" style="189" customWidth="1"/>
    <col min="15874" max="15874" width="18.5703125" style="189" customWidth="1"/>
    <col min="15875" max="15900" width="16.85546875" style="189" customWidth="1"/>
    <col min="15901" max="15917" width="16.7109375" style="189" customWidth="1"/>
    <col min="15918" max="15918" width="13.28515625" style="189" bestFit="1" customWidth="1"/>
    <col min="15919" max="16128" width="9.140625" style="189"/>
    <col min="16129" max="16129" width="61.7109375" style="189" customWidth="1"/>
    <col min="16130" max="16130" width="18.5703125" style="189" customWidth="1"/>
    <col min="16131" max="16156" width="16.85546875" style="189" customWidth="1"/>
    <col min="16157" max="16173" width="16.7109375" style="189" customWidth="1"/>
    <col min="16174" max="16174" width="13.28515625" style="189" bestFit="1" customWidth="1"/>
    <col min="16175" max="16384" width="9.140625" style="189"/>
  </cols>
  <sheetData>
    <row r="1" spans="1:44" s="12" customFormat="1" ht="18.75" customHeight="1" x14ac:dyDescent="0.2">
      <c r="A1" s="18"/>
      <c r="I1" s="16"/>
      <c r="J1" s="16"/>
      <c r="AR1" s="39" t="s">
        <v>69</v>
      </c>
    </row>
    <row r="2" spans="1:44" s="12" customFormat="1" ht="18.75" customHeight="1" x14ac:dyDescent="0.3">
      <c r="A2" s="18"/>
      <c r="I2" s="16"/>
      <c r="J2" s="16"/>
      <c r="AR2" s="15" t="s">
        <v>10</v>
      </c>
    </row>
    <row r="3" spans="1:44" s="12" customFormat="1" ht="18.75" x14ac:dyDescent="0.3">
      <c r="A3" s="17"/>
      <c r="I3" s="16"/>
      <c r="J3" s="16"/>
      <c r="AR3" s="15" t="s">
        <v>68</v>
      </c>
    </row>
    <row r="4" spans="1:44" s="12" customFormat="1" ht="18.75" x14ac:dyDescent="0.3">
      <c r="A4" s="17"/>
      <c r="I4" s="16"/>
      <c r="J4" s="16"/>
      <c r="K4" s="15"/>
    </row>
    <row r="5" spans="1:44" s="12" customFormat="1" ht="18.75" customHeight="1" x14ac:dyDescent="0.2">
      <c r="A5" s="339" t="str">
        <f>'1. паспорт местоположение'!A5:C5</f>
        <v>Год раскрытия информации: 2016 год</v>
      </c>
      <c r="B5" s="339"/>
      <c r="C5" s="339"/>
      <c r="D5" s="339"/>
      <c r="E5" s="339"/>
      <c r="F5" s="339"/>
      <c r="G5" s="339"/>
      <c r="H5" s="339"/>
      <c r="I5" s="339"/>
      <c r="J5" s="339"/>
      <c r="K5" s="339"/>
      <c r="L5" s="339"/>
      <c r="M5" s="339"/>
      <c r="N5" s="339"/>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39"/>
      <c r="AO5" s="339"/>
      <c r="AP5" s="339"/>
      <c r="AQ5" s="339"/>
      <c r="AR5" s="339"/>
    </row>
    <row r="6" spans="1:44" s="12" customFormat="1" ht="18.75" x14ac:dyDescent="0.3">
      <c r="A6" s="17"/>
      <c r="I6" s="16"/>
      <c r="J6" s="16"/>
      <c r="K6" s="15"/>
    </row>
    <row r="7" spans="1:44" s="12" customFormat="1" ht="18.75" x14ac:dyDescent="0.2">
      <c r="A7" s="332" t="s">
        <v>9</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row>
    <row r="8" spans="1:44" s="12" customFormat="1" ht="18.75" x14ac:dyDescent="0.2">
      <c r="A8" s="172"/>
      <c r="B8" s="172"/>
      <c r="C8" s="172"/>
      <c r="D8" s="172"/>
      <c r="E8" s="172"/>
      <c r="F8" s="172"/>
      <c r="G8" s="172"/>
      <c r="H8" s="172"/>
      <c r="I8" s="172"/>
      <c r="J8" s="172"/>
      <c r="K8" s="172"/>
      <c r="L8" s="158"/>
      <c r="M8" s="158"/>
      <c r="N8" s="158"/>
      <c r="O8" s="158"/>
      <c r="P8" s="158"/>
      <c r="Q8" s="158"/>
      <c r="R8" s="158"/>
      <c r="S8" s="158"/>
      <c r="T8" s="158"/>
      <c r="U8" s="158"/>
      <c r="V8" s="158"/>
      <c r="W8" s="158"/>
      <c r="X8" s="158"/>
      <c r="Y8" s="158"/>
    </row>
    <row r="9" spans="1:44" s="12" customFormat="1" ht="18.75" customHeight="1" x14ac:dyDescent="0.2">
      <c r="A9" s="335" t="str">
        <f>'1. паспорт местоположение'!A9:C9</f>
        <v>АО "Янтарьэнерго"</v>
      </c>
      <c r="B9" s="335"/>
      <c r="C9" s="335"/>
      <c r="D9" s="335"/>
      <c r="E9" s="335"/>
      <c r="F9" s="335"/>
      <c r="G9" s="335"/>
      <c r="H9" s="335"/>
      <c r="I9" s="335"/>
      <c r="J9" s="335"/>
      <c r="K9" s="335"/>
      <c r="L9" s="335"/>
      <c r="M9" s="335"/>
      <c r="N9" s="335"/>
      <c r="O9" s="335"/>
      <c r="P9" s="335"/>
      <c r="Q9" s="335"/>
      <c r="R9" s="335"/>
      <c r="S9" s="335"/>
      <c r="T9" s="335"/>
      <c r="U9" s="335"/>
      <c r="V9" s="335"/>
      <c r="W9" s="335"/>
      <c r="X9" s="335"/>
      <c r="Y9" s="335"/>
      <c r="Z9" s="335"/>
      <c r="AA9" s="335"/>
      <c r="AB9" s="335"/>
      <c r="AC9" s="335"/>
      <c r="AD9" s="335"/>
      <c r="AE9" s="335"/>
      <c r="AF9" s="335"/>
      <c r="AG9" s="335"/>
      <c r="AH9" s="335"/>
      <c r="AI9" s="335"/>
      <c r="AJ9" s="335"/>
      <c r="AK9" s="335"/>
      <c r="AL9" s="335"/>
      <c r="AM9" s="335"/>
      <c r="AN9" s="335"/>
      <c r="AO9" s="335"/>
      <c r="AP9" s="335"/>
      <c r="AQ9" s="335"/>
      <c r="AR9" s="335"/>
    </row>
    <row r="10" spans="1:44" s="12" customFormat="1" ht="18.75" customHeight="1" x14ac:dyDescent="0.2">
      <c r="A10" s="329" t="s">
        <v>8</v>
      </c>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329"/>
      <c r="AB10" s="329"/>
      <c r="AC10" s="329"/>
      <c r="AD10" s="329"/>
      <c r="AE10" s="329"/>
      <c r="AF10" s="329"/>
      <c r="AG10" s="329"/>
      <c r="AH10" s="329"/>
      <c r="AI10" s="329"/>
      <c r="AJ10" s="329"/>
      <c r="AK10" s="329"/>
      <c r="AL10" s="329"/>
      <c r="AM10" s="329"/>
      <c r="AN10" s="329"/>
      <c r="AO10" s="329"/>
      <c r="AP10" s="329"/>
      <c r="AQ10" s="329"/>
      <c r="AR10" s="329"/>
    </row>
    <row r="11" spans="1:44" s="12" customFormat="1" ht="18.75" x14ac:dyDescent="0.2">
      <c r="A11" s="172"/>
      <c r="B11" s="172"/>
      <c r="C11" s="172"/>
      <c r="D11" s="172"/>
      <c r="E11" s="172"/>
      <c r="F11" s="172"/>
      <c r="G11" s="172"/>
      <c r="H11" s="172"/>
      <c r="I11" s="172"/>
      <c r="J11" s="172"/>
      <c r="K11" s="172"/>
      <c r="L11" s="158"/>
      <c r="M11" s="158"/>
      <c r="N11" s="158"/>
      <c r="O11" s="158"/>
      <c r="P11" s="158"/>
      <c r="Q11" s="158"/>
      <c r="R11" s="158"/>
      <c r="S11" s="158"/>
      <c r="T11" s="158"/>
      <c r="U11" s="158"/>
      <c r="V11" s="158"/>
      <c r="W11" s="158"/>
      <c r="X11" s="158"/>
      <c r="Y11" s="158"/>
    </row>
    <row r="12" spans="1:44" s="12" customFormat="1" ht="18.75" customHeight="1" x14ac:dyDescent="0.2">
      <c r="A12" s="335" t="str">
        <f>'1. паспорт местоположение'!A12:C12</f>
        <v>E_prj_111001_47826</v>
      </c>
      <c r="B12" s="335"/>
      <c r="C12" s="335"/>
      <c r="D12" s="335"/>
      <c r="E12" s="335"/>
      <c r="F12" s="335"/>
      <c r="G12" s="335"/>
      <c r="H12" s="335"/>
      <c r="I12" s="335"/>
      <c r="J12" s="335"/>
      <c r="K12" s="335"/>
      <c r="L12" s="335"/>
      <c r="M12" s="335"/>
      <c r="N12" s="335"/>
      <c r="O12" s="335"/>
      <c r="P12" s="335"/>
      <c r="Q12" s="335"/>
      <c r="R12" s="335"/>
      <c r="S12" s="335"/>
      <c r="T12" s="335"/>
      <c r="U12" s="335"/>
      <c r="V12" s="335"/>
      <c r="W12" s="335"/>
      <c r="X12" s="335"/>
      <c r="Y12" s="335"/>
      <c r="Z12" s="335"/>
      <c r="AA12" s="335"/>
      <c r="AB12" s="335"/>
      <c r="AC12" s="335"/>
      <c r="AD12" s="335"/>
      <c r="AE12" s="335"/>
      <c r="AF12" s="335"/>
      <c r="AG12" s="335"/>
      <c r="AH12" s="335"/>
      <c r="AI12" s="335"/>
      <c r="AJ12" s="335"/>
      <c r="AK12" s="335"/>
      <c r="AL12" s="335"/>
      <c r="AM12" s="335"/>
      <c r="AN12" s="335"/>
      <c r="AO12" s="335"/>
      <c r="AP12" s="335"/>
      <c r="AQ12" s="335"/>
      <c r="AR12" s="335"/>
    </row>
    <row r="13" spans="1:44" s="12" customFormat="1" ht="18.75" customHeight="1" x14ac:dyDescent="0.2">
      <c r="A13" s="329" t="s">
        <v>7</v>
      </c>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329"/>
      <c r="AH13" s="329"/>
      <c r="AI13" s="329"/>
      <c r="AJ13" s="329"/>
      <c r="AK13" s="329"/>
      <c r="AL13" s="329"/>
      <c r="AM13" s="329"/>
      <c r="AN13" s="329"/>
      <c r="AO13" s="329"/>
      <c r="AP13" s="329"/>
      <c r="AQ13" s="329"/>
      <c r="AR13" s="329"/>
    </row>
    <row r="14" spans="1:44" s="9" customFormat="1" ht="15.75" customHeight="1" x14ac:dyDescent="0.2">
      <c r="A14" s="174"/>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row>
    <row r="15" spans="1:44" s="3" customFormat="1" ht="71.25" customHeight="1" x14ac:dyDescent="0.2">
      <c r="A15" s="367"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7"/>
      <c r="AF15" s="367"/>
      <c r="AG15" s="367"/>
      <c r="AH15" s="367"/>
      <c r="AI15" s="367"/>
      <c r="AJ15" s="367"/>
      <c r="AK15" s="367"/>
      <c r="AL15" s="367"/>
      <c r="AM15" s="367"/>
      <c r="AN15" s="367"/>
      <c r="AO15" s="367"/>
      <c r="AP15" s="367"/>
      <c r="AQ15" s="367"/>
      <c r="AR15" s="367"/>
    </row>
    <row r="16" spans="1:44" s="3" customFormat="1" ht="15" customHeight="1" x14ac:dyDescent="0.2">
      <c r="A16" s="329" t="s">
        <v>6</v>
      </c>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c r="AL16" s="329"/>
      <c r="AM16" s="329"/>
      <c r="AN16" s="329"/>
      <c r="AO16" s="329"/>
      <c r="AP16" s="329"/>
      <c r="AQ16" s="329"/>
      <c r="AR16" s="329"/>
    </row>
    <row r="17" spans="1:44" s="3" customFormat="1" ht="15" customHeight="1" x14ac:dyDescent="0.2">
      <c r="A17" s="173"/>
      <c r="B17" s="173"/>
      <c r="C17" s="173"/>
      <c r="D17" s="173"/>
      <c r="E17" s="173"/>
      <c r="F17" s="173"/>
      <c r="G17" s="173"/>
      <c r="H17" s="173"/>
      <c r="I17" s="173"/>
      <c r="J17" s="173"/>
      <c r="K17" s="173"/>
      <c r="L17" s="173"/>
      <c r="M17" s="173"/>
      <c r="N17" s="173"/>
      <c r="O17" s="173"/>
      <c r="P17" s="173"/>
      <c r="Q17" s="173"/>
      <c r="R17" s="173"/>
      <c r="S17" s="173"/>
      <c r="T17" s="173"/>
      <c r="U17" s="173"/>
      <c r="V17" s="173"/>
    </row>
    <row r="18" spans="1:44" s="3" customFormat="1" ht="15" customHeight="1" x14ac:dyDescent="0.2">
      <c r="A18" s="331" t="s">
        <v>415</v>
      </c>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row>
    <row r="19" spans="1:44" x14ac:dyDescent="0.2">
      <c r="D19" s="195" t="s">
        <v>485</v>
      </c>
      <c r="Q19" s="241" t="s">
        <v>503</v>
      </c>
    </row>
    <row r="20" spans="1:44" ht="16.5" thickBot="1" x14ac:dyDescent="0.25">
      <c r="A20" s="185" t="s">
        <v>290</v>
      </c>
      <c r="B20" s="185" t="s">
        <v>1</v>
      </c>
      <c r="D20" s="187"/>
      <c r="E20" s="188"/>
      <c r="F20" s="188"/>
      <c r="G20" s="188"/>
      <c r="H20" s="188"/>
    </row>
    <row r="21" spans="1:44" x14ac:dyDescent="0.2">
      <c r="A21" s="191" t="s">
        <v>480</v>
      </c>
      <c r="B21" s="192">
        <v>383619864.40677971</v>
      </c>
    </row>
    <row r="22" spans="1:44" x14ac:dyDescent="0.2">
      <c r="A22" s="193" t="s">
        <v>288</v>
      </c>
      <c r="B22" s="194">
        <v>0</v>
      </c>
    </row>
    <row r="23" spans="1:44" x14ac:dyDescent="0.2">
      <c r="A23" s="193" t="s">
        <v>286</v>
      </c>
      <c r="B23" s="194">
        <v>40</v>
      </c>
      <c r="D23" s="195" t="s">
        <v>289</v>
      </c>
    </row>
    <row r="24" spans="1:44" ht="16.5" thickBot="1" x14ac:dyDescent="0.25">
      <c r="A24" s="196" t="s">
        <v>284</v>
      </c>
      <c r="B24" s="197">
        <v>1</v>
      </c>
      <c r="D24" s="380" t="s">
        <v>287</v>
      </c>
      <c r="E24" s="380"/>
      <c r="F24" s="198"/>
      <c r="G24" s="199">
        <f>SUM(B86:AS86)</f>
        <v>0</v>
      </c>
    </row>
    <row r="25" spans="1:44" x14ac:dyDescent="0.2">
      <c r="A25" s="191" t="s">
        <v>283</v>
      </c>
      <c r="B25" s="192">
        <v>400000</v>
      </c>
      <c r="D25" s="380" t="s">
        <v>285</v>
      </c>
      <c r="E25" s="380"/>
      <c r="F25" s="198"/>
      <c r="G25" s="199" t="str">
        <f>IF(SUM(B87:AS87)=0,"не окупается",SUM(B87:AS87))</f>
        <v>не окупается</v>
      </c>
    </row>
    <row r="26" spans="1:44" x14ac:dyDescent="0.2">
      <c r="A26" s="193" t="s">
        <v>481</v>
      </c>
      <c r="B26" s="194">
        <v>3</v>
      </c>
      <c r="D26" s="380" t="s">
        <v>482</v>
      </c>
      <c r="E26" s="380"/>
      <c r="F26" s="198"/>
      <c r="G26" s="200">
        <f>AS84</f>
        <v>-122230372.33040987</v>
      </c>
    </row>
    <row r="27" spans="1:44" x14ac:dyDescent="0.2">
      <c r="A27" s="193" t="s">
        <v>282</v>
      </c>
      <c r="B27" s="194">
        <v>3</v>
      </c>
      <c r="D27" s="380" t="s">
        <v>483</v>
      </c>
      <c r="E27" s="380"/>
      <c r="F27" s="198"/>
      <c r="G27" s="201" t="str">
        <f>IF(G26&gt;0,"да","нет")</f>
        <v>нет</v>
      </c>
    </row>
    <row r="28" spans="1:44" x14ac:dyDescent="0.2">
      <c r="A28" s="193" t="s">
        <v>261</v>
      </c>
      <c r="B28" s="194">
        <v>100000</v>
      </c>
    </row>
    <row r="29" spans="1:44" x14ac:dyDescent="0.2">
      <c r="A29" s="193" t="s">
        <v>281</v>
      </c>
      <c r="B29" s="194">
        <v>1</v>
      </c>
    </row>
    <row r="30" spans="1:44" x14ac:dyDescent="0.2">
      <c r="A30" s="193" t="s">
        <v>280</v>
      </c>
      <c r="B30" s="194">
        <v>1</v>
      </c>
    </row>
    <row r="31" spans="1:44" x14ac:dyDescent="0.2">
      <c r="A31" s="202" t="s">
        <v>484</v>
      </c>
      <c r="B31" s="203"/>
    </row>
    <row r="32" spans="1:44" ht="16.5" thickBot="1" x14ac:dyDescent="0.25">
      <c r="A32" s="196" t="s">
        <v>255</v>
      </c>
      <c r="B32" s="204">
        <v>0.2</v>
      </c>
    </row>
    <row r="33" spans="1:45" x14ac:dyDescent="0.2">
      <c r="A33" s="191" t="s">
        <v>485</v>
      </c>
      <c r="B33" s="192">
        <v>0</v>
      </c>
    </row>
    <row r="34" spans="1:45" x14ac:dyDescent="0.2">
      <c r="A34" s="193" t="s">
        <v>279</v>
      </c>
      <c r="B34" s="194"/>
    </row>
    <row r="35" spans="1:45" ht="16.5" thickBot="1" x14ac:dyDescent="0.25">
      <c r="A35" s="202" t="s">
        <v>278</v>
      </c>
      <c r="B35" s="205">
        <v>0.09</v>
      </c>
    </row>
    <row r="36" spans="1:45" x14ac:dyDescent="0.2">
      <c r="A36" s="206" t="s">
        <v>486</v>
      </c>
      <c r="B36" s="207">
        <v>1</v>
      </c>
    </row>
    <row r="37" spans="1:45" x14ac:dyDescent="0.2">
      <c r="A37" s="208" t="s">
        <v>277</v>
      </c>
      <c r="B37" s="209">
        <v>0.1</v>
      </c>
    </row>
    <row r="38" spans="1:45" x14ac:dyDescent="0.2">
      <c r="A38" s="208" t="s">
        <v>276</v>
      </c>
      <c r="B38" s="210">
        <v>0.1</v>
      </c>
    </row>
    <row r="39" spans="1:45" x14ac:dyDescent="0.2">
      <c r="A39" s="208" t="s">
        <v>275</v>
      </c>
      <c r="B39" s="210">
        <v>0</v>
      </c>
    </row>
    <row r="40" spans="1:45" x14ac:dyDescent="0.2">
      <c r="A40" s="208" t="s">
        <v>274</v>
      </c>
      <c r="B40" s="210">
        <v>0.20499999999999999</v>
      </c>
    </row>
    <row r="41" spans="1:45" x14ac:dyDescent="0.2">
      <c r="A41" s="208" t="s">
        <v>273</v>
      </c>
      <c r="B41" s="210">
        <f>1-B39</f>
        <v>1</v>
      </c>
    </row>
    <row r="42" spans="1:45" ht="16.5" thickBot="1" x14ac:dyDescent="0.25">
      <c r="A42" s="211" t="s">
        <v>487</v>
      </c>
      <c r="B42" s="212">
        <f>B41*B40+B39*B38*(1-B32)</f>
        <v>0.20499999999999999</v>
      </c>
    </row>
    <row r="43" spans="1:45" x14ac:dyDescent="0.2">
      <c r="A43" s="213" t="s">
        <v>272</v>
      </c>
      <c r="B43" s="214">
        <f>B54</f>
        <v>1</v>
      </c>
      <c r="C43" s="214">
        <f t="shared" ref="C43:AQ43" si="0">C54</f>
        <v>2</v>
      </c>
      <c r="D43" s="214">
        <f t="shared" si="0"/>
        <v>3</v>
      </c>
      <c r="E43" s="214">
        <f t="shared" si="0"/>
        <v>4</v>
      </c>
      <c r="F43" s="214">
        <f t="shared" si="0"/>
        <v>5</v>
      </c>
      <c r="G43" s="214">
        <f t="shared" si="0"/>
        <v>6</v>
      </c>
      <c r="H43" s="214">
        <f t="shared" si="0"/>
        <v>7</v>
      </c>
      <c r="I43" s="214">
        <f t="shared" si="0"/>
        <v>8</v>
      </c>
      <c r="J43" s="214">
        <f t="shared" si="0"/>
        <v>9</v>
      </c>
      <c r="K43" s="214">
        <f t="shared" si="0"/>
        <v>10</v>
      </c>
      <c r="L43" s="214">
        <f t="shared" si="0"/>
        <v>11</v>
      </c>
      <c r="M43" s="214">
        <f t="shared" si="0"/>
        <v>12</v>
      </c>
      <c r="N43" s="214">
        <f t="shared" si="0"/>
        <v>13</v>
      </c>
      <c r="O43" s="214">
        <f t="shared" si="0"/>
        <v>14</v>
      </c>
      <c r="P43" s="214">
        <f t="shared" si="0"/>
        <v>15</v>
      </c>
      <c r="Q43" s="214">
        <f t="shared" si="0"/>
        <v>16</v>
      </c>
      <c r="R43" s="214">
        <f t="shared" si="0"/>
        <v>17</v>
      </c>
      <c r="S43" s="214">
        <f t="shared" si="0"/>
        <v>18</v>
      </c>
      <c r="T43" s="214">
        <f t="shared" si="0"/>
        <v>19</v>
      </c>
      <c r="U43" s="214">
        <f t="shared" si="0"/>
        <v>20</v>
      </c>
      <c r="V43" s="214">
        <f t="shared" si="0"/>
        <v>21</v>
      </c>
      <c r="W43" s="214">
        <f t="shared" si="0"/>
        <v>22</v>
      </c>
      <c r="X43" s="214">
        <f t="shared" si="0"/>
        <v>23</v>
      </c>
      <c r="Y43" s="214">
        <f t="shared" si="0"/>
        <v>24</v>
      </c>
      <c r="Z43" s="214">
        <f t="shared" si="0"/>
        <v>25</v>
      </c>
      <c r="AA43" s="214">
        <f t="shared" si="0"/>
        <v>26</v>
      </c>
      <c r="AB43" s="214">
        <f t="shared" si="0"/>
        <v>27</v>
      </c>
      <c r="AC43" s="214">
        <f t="shared" si="0"/>
        <v>28</v>
      </c>
      <c r="AD43" s="214">
        <f t="shared" si="0"/>
        <v>29</v>
      </c>
      <c r="AE43" s="214">
        <f t="shared" si="0"/>
        <v>30</v>
      </c>
      <c r="AF43" s="214">
        <f t="shared" si="0"/>
        <v>31</v>
      </c>
      <c r="AG43" s="214">
        <f t="shared" si="0"/>
        <v>32</v>
      </c>
      <c r="AH43" s="214">
        <f t="shared" si="0"/>
        <v>33</v>
      </c>
      <c r="AI43" s="214">
        <f t="shared" si="0"/>
        <v>34</v>
      </c>
      <c r="AJ43" s="214">
        <f t="shared" si="0"/>
        <v>35</v>
      </c>
      <c r="AK43" s="214">
        <f t="shared" si="0"/>
        <v>36</v>
      </c>
      <c r="AL43" s="214">
        <f t="shared" si="0"/>
        <v>37</v>
      </c>
      <c r="AM43" s="214">
        <f t="shared" si="0"/>
        <v>38</v>
      </c>
      <c r="AN43" s="214">
        <f t="shared" si="0"/>
        <v>39</v>
      </c>
      <c r="AO43" s="214">
        <f t="shared" si="0"/>
        <v>40</v>
      </c>
      <c r="AP43" s="214">
        <f t="shared" si="0"/>
        <v>41</v>
      </c>
      <c r="AQ43" s="214">
        <f t="shared" si="0"/>
        <v>42</v>
      </c>
      <c r="AR43" s="214">
        <f>AR54</f>
        <v>43</v>
      </c>
      <c r="AS43" s="214">
        <f>AS54</f>
        <v>44</v>
      </c>
    </row>
    <row r="44" spans="1:45" x14ac:dyDescent="0.2">
      <c r="A44" s="215" t="s">
        <v>271</v>
      </c>
      <c r="B44" s="216">
        <v>7.3999999999999996E-2</v>
      </c>
      <c r="C44" s="216">
        <v>6.7000000000000004E-2</v>
      </c>
      <c r="D44" s="216">
        <v>4.3999999999999997E-2</v>
      </c>
      <c r="E44" s="216">
        <v>4.2999999999999997E-2</v>
      </c>
      <c r="F44" s="216">
        <v>4.1000000000000002E-2</v>
      </c>
      <c r="G44" s="216">
        <v>3.5999999999999997E-2</v>
      </c>
      <c r="H44" s="216">
        <v>3.2000000000000001E-2</v>
      </c>
      <c r="I44" s="216">
        <v>2.8000000000000001E-2</v>
      </c>
      <c r="J44" s="216">
        <v>2.7E-2</v>
      </c>
      <c r="K44" s="216">
        <v>2.7E-2</v>
      </c>
      <c r="L44" s="216">
        <v>2.5000000000000001E-2</v>
      </c>
      <c r="M44" s="216">
        <v>2.3E-2</v>
      </c>
      <c r="N44" s="216">
        <v>2.1999999999999999E-2</v>
      </c>
      <c r="O44" s="216">
        <v>0.02</v>
      </c>
      <c r="P44" s="216">
        <v>0.02</v>
      </c>
      <c r="Q44" s="216">
        <v>0.02</v>
      </c>
      <c r="R44" s="216">
        <v>0.02</v>
      </c>
      <c r="S44" s="216">
        <v>0.02</v>
      </c>
      <c r="T44" s="216">
        <f t="shared" ref="T44:AQ44" si="1">S44</f>
        <v>0.02</v>
      </c>
      <c r="U44" s="216">
        <f t="shared" si="1"/>
        <v>0.02</v>
      </c>
      <c r="V44" s="216">
        <f t="shared" si="1"/>
        <v>0.02</v>
      </c>
      <c r="W44" s="216">
        <f t="shared" si="1"/>
        <v>0.02</v>
      </c>
      <c r="X44" s="216">
        <f t="shared" si="1"/>
        <v>0.02</v>
      </c>
      <c r="Y44" s="216">
        <f t="shared" si="1"/>
        <v>0.02</v>
      </c>
      <c r="Z44" s="216">
        <f t="shared" si="1"/>
        <v>0.02</v>
      </c>
      <c r="AA44" s="216">
        <f t="shared" si="1"/>
        <v>0.02</v>
      </c>
      <c r="AB44" s="216">
        <f t="shared" si="1"/>
        <v>0.02</v>
      </c>
      <c r="AC44" s="216">
        <f t="shared" si="1"/>
        <v>0.02</v>
      </c>
      <c r="AD44" s="216">
        <f t="shared" si="1"/>
        <v>0.02</v>
      </c>
      <c r="AE44" s="216">
        <f t="shared" si="1"/>
        <v>0.02</v>
      </c>
      <c r="AF44" s="216">
        <f t="shared" si="1"/>
        <v>0.02</v>
      </c>
      <c r="AG44" s="216">
        <f t="shared" si="1"/>
        <v>0.02</v>
      </c>
      <c r="AH44" s="216">
        <f t="shared" si="1"/>
        <v>0.02</v>
      </c>
      <c r="AI44" s="216">
        <f t="shared" si="1"/>
        <v>0.02</v>
      </c>
      <c r="AJ44" s="216">
        <f t="shared" si="1"/>
        <v>0.02</v>
      </c>
      <c r="AK44" s="216">
        <f t="shared" si="1"/>
        <v>0.02</v>
      </c>
      <c r="AL44" s="216">
        <f t="shared" si="1"/>
        <v>0.02</v>
      </c>
      <c r="AM44" s="216">
        <f t="shared" si="1"/>
        <v>0.02</v>
      </c>
      <c r="AN44" s="216">
        <f t="shared" si="1"/>
        <v>0.02</v>
      </c>
      <c r="AO44" s="216">
        <f t="shared" si="1"/>
        <v>0.02</v>
      </c>
      <c r="AP44" s="216">
        <f t="shared" si="1"/>
        <v>0.02</v>
      </c>
      <c r="AQ44" s="216">
        <f t="shared" si="1"/>
        <v>0.02</v>
      </c>
      <c r="AR44" s="216">
        <f>AQ44</f>
        <v>0.02</v>
      </c>
      <c r="AS44" s="216">
        <f>AR44</f>
        <v>0.02</v>
      </c>
    </row>
    <row r="45" spans="1:45" x14ac:dyDescent="0.2">
      <c r="A45" s="215" t="s">
        <v>270</v>
      </c>
      <c r="B45" s="216"/>
      <c r="C45" s="216">
        <f>(1+B45)*(1+C44)-1</f>
        <v>6.6999999999999948E-2</v>
      </c>
      <c r="D45" s="216">
        <f t="shared" ref="D45:W45" si="2">(1+C45)*(1+D44)-1</f>
        <v>0.11394799999999994</v>
      </c>
      <c r="E45" s="216">
        <f t="shared" si="2"/>
        <v>0.16184776399999978</v>
      </c>
      <c r="F45" s="216">
        <f t="shared" si="2"/>
        <v>0.20948352232399969</v>
      </c>
      <c r="G45" s="216">
        <f t="shared" si="2"/>
        <v>0.25302492912766361</v>
      </c>
      <c r="H45" s="216">
        <f t="shared" si="2"/>
        <v>0.2931217268597488</v>
      </c>
      <c r="I45" s="216">
        <f t="shared" si="2"/>
        <v>0.32932913521182172</v>
      </c>
      <c r="J45" s="216">
        <f t="shared" si="2"/>
        <v>0.36522102186254068</v>
      </c>
      <c r="K45" s="216">
        <f t="shared" si="2"/>
        <v>0.40208198945282914</v>
      </c>
      <c r="L45" s="216">
        <f t="shared" si="2"/>
        <v>0.43713403918914984</v>
      </c>
      <c r="M45" s="216">
        <f t="shared" si="2"/>
        <v>0.4701881220905002</v>
      </c>
      <c r="N45" s="216">
        <f t="shared" si="2"/>
        <v>0.50253226077649127</v>
      </c>
      <c r="O45" s="216">
        <f t="shared" si="2"/>
        <v>0.53258290599202107</v>
      </c>
      <c r="P45" s="216">
        <f t="shared" si="2"/>
        <v>0.56323456411186146</v>
      </c>
      <c r="Q45" s="216">
        <f t="shared" si="2"/>
        <v>0.59449925539409865</v>
      </c>
      <c r="R45" s="216">
        <f t="shared" si="2"/>
        <v>0.62638924050198064</v>
      </c>
      <c r="S45" s="216">
        <f t="shared" si="2"/>
        <v>0.65891702531202023</v>
      </c>
      <c r="T45" s="216">
        <f t="shared" si="2"/>
        <v>0.6920953658182607</v>
      </c>
      <c r="U45" s="216">
        <f t="shared" si="2"/>
        <v>0.72593727313462586</v>
      </c>
      <c r="V45" s="216">
        <f t="shared" si="2"/>
        <v>0.76045601859731837</v>
      </c>
      <c r="W45" s="216">
        <f t="shared" si="2"/>
        <v>0.79566513896926483</v>
      </c>
      <c r="X45" s="216">
        <f>(1+W45)*(1+X44)-1</f>
        <v>0.83157844174865025</v>
      </c>
      <c r="Y45" s="216">
        <f t="shared" ref="Y45:AQ45" si="3">(1+X45)*(1+Y44)-1</f>
        <v>0.86821001058362324</v>
      </c>
      <c r="Z45" s="216">
        <f t="shared" si="3"/>
        <v>0.90557421079529576</v>
      </c>
      <c r="AA45" s="216">
        <f t="shared" si="3"/>
        <v>0.94368569501120181</v>
      </c>
      <c r="AB45" s="216">
        <f t="shared" si="3"/>
        <v>0.98255940891142579</v>
      </c>
      <c r="AC45" s="216">
        <f t="shared" si="3"/>
        <v>1.0222105970896544</v>
      </c>
      <c r="AD45" s="216">
        <f t="shared" si="3"/>
        <v>1.0626548090314474</v>
      </c>
      <c r="AE45" s="216">
        <f t="shared" si="3"/>
        <v>1.1039079052120764</v>
      </c>
      <c r="AF45" s="216">
        <f t="shared" si="3"/>
        <v>1.1459860633163181</v>
      </c>
      <c r="AG45" s="216">
        <f t="shared" si="3"/>
        <v>1.1889057845826447</v>
      </c>
      <c r="AH45" s="216">
        <f t="shared" si="3"/>
        <v>1.2326839002742975</v>
      </c>
      <c r="AI45" s="216">
        <f t="shared" si="3"/>
        <v>1.2773375782797833</v>
      </c>
      <c r="AJ45" s="216">
        <f t="shared" si="3"/>
        <v>1.3228843298453792</v>
      </c>
      <c r="AK45" s="216">
        <f t="shared" si="3"/>
        <v>1.3693420164422867</v>
      </c>
      <c r="AL45" s="216">
        <f t="shared" si="3"/>
        <v>1.4167288567711327</v>
      </c>
      <c r="AM45" s="216">
        <f t="shared" si="3"/>
        <v>1.4650634339065554</v>
      </c>
      <c r="AN45" s="216">
        <f t="shared" si="3"/>
        <v>1.5143647025846865</v>
      </c>
      <c r="AO45" s="216">
        <f t="shared" si="3"/>
        <v>1.5646519966363801</v>
      </c>
      <c r="AP45" s="216">
        <f t="shared" si="3"/>
        <v>1.6159450365691077</v>
      </c>
      <c r="AQ45" s="216">
        <f t="shared" si="3"/>
        <v>1.6682639373004897</v>
      </c>
      <c r="AR45" s="216">
        <f>(1+AQ45)*(1+AR44)-1</f>
        <v>1.7216292160464994</v>
      </c>
      <c r="AS45" s="216">
        <f>(1+AR45)*(1+AS44)-1</f>
        <v>1.7760618003674296</v>
      </c>
    </row>
    <row r="46" spans="1:45" ht="16.5" thickBot="1" x14ac:dyDescent="0.25">
      <c r="A46" s="217" t="s">
        <v>488</v>
      </c>
      <c r="B46" s="218"/>
      <c r="C46" s="218">
        <v>-0.05</v>
      </c>
      <c r="D46" s="218">
        <v>370258299.95000005</v>
      </c>
      <c r="E46" s="218">
        <v>36798979.950000003</v>
      </c>
      <c r="F46" s="218"/>
      <c r="G46" s="218"/>
      <c r="H46" s="218"/>
      <c r="I46" s="218"/>
      <c r="J46" s="218"/>
      <c r="K46" s="218"/>
      <c r="L46" s="218"/>
      <c r="M46" s="218"/>
      <c r="N46" s="218"/>
      <c r="O46" s="218"/>
      <c r="P46" s="218"/>
      <c r="Q46" s="218"/>
      <c r="R46" s="218"/>
      <c r="S46" s="219"/>
      <c r="T46" s="218"/>
      <c r="U46" s="218"/>
      <c r="V46" s="218"/>
      <c r="W46" s="218"/>
      <c r="X46" s="218"/>
      <c r="Y46" s="218"/>
      <c r="Z46" s="218"/>
      <c r="AA46" s="218"/>
      <c r="AB46" s="218"/>
      <c r="AC46" s="218"/>
      <c r="AD46" s="218"/>
      <c r="AE46" s="218"/>
      <c r="AF46" s="218"/>
      <c r="AG46" s="218"/>
      <c r="AH46" s="218"/>
      <c r="AI46" s="218"/>
      <c r="AJ46" s="218"/>
      <c r="AK46" s="218"/>
      <c r="AL46" s="218"/>
      <c r="AM46" s="218"/>
      <c r="AN46" s="218"/>
      <c r="AO46" s="218"/>
      <c r="AP46" s="218"/>
      <c r="AQ46" s="218"/>
      <c r="AR46" s="218"/>
      <c r="AS46" s="218"/>
    </row>
    <row r="47" spans="1:45" ht="16.5" thickBot="1" x14ac:dyDescent="0.25">
      <c r="AD47" s="186"/>
      <c r="AE47" s="186"/>
      <c r="AF47" s="186"/>
      <c r="AG47" s="186"/>
      <c r="AH47" s="186"/>
      <c r="AI47" s="186"/>
      <c r="AJ47" s="186"/>
      <c r="AK47" s="186"/>
      <c r="AL47" s="186"/>
      <c r="AM47" s="186"/>
      <c r="AN47" s="186"/>
      <c r="AO47" s="186"/>
      <c r="AP47" s="186"/>
      <c r="AQ47" s="186"/>
      <c r="AR47" s="186"/>
      <c r="AS47" s="186"/>
    </row>
    <row r="48" spans="1:45" x14ac:dyDescent="0.2">
      <c r="A48" s="220" t="s">
        <v>269</v>
      </c>
      <c r="B48" s="214">
        <f>B54</f>
        <v>1</v>
      </c>
      <c r="C48" s="214">
        <f t="shared" ref="C48:AQ48" si="4">C54</f>
        <v>2</v>
      </c>
      <c r="D48" s="214">
        <f t="shared" si="4"/>
        <v>3</v>
      </c>
      <c r="E48" s="214">
        <f t="shared" si="4"/>
        <v>4</v>
      </c>
      <c r="F48" s="214">
        <f t="shared" si="4"/>
        <v>5</v>
      </c>
      <c r="G48" s="214">
        <f t="shared" si="4"/>
        <v>6</v>
      </c>
      <c r="H48" s="214">
        <f t="shared" si="4"/>
        <v>7</v>
      </c>
      <c r="I48" s="214">
        <f t="shared" si="4"/>
        <v>8</v>
      </c>
      <c r="J48" s="214">
        <f t="shared" si="4"/>
        <v>9</v>
      </c>
      <c r="K48" s="214">
        <f t="shared" si="4"/>
        <v>10</v>
      </c>
      <c r="L48" s="214">
        <f t="shared" si="4"/>
        <v>11</v>
      </c>
      <c r="M48" s="214">
        <f t="shared" si="4"/>
        <v>12</v>
      </c>
      <c r="N48" s="214">
        <f t="shared" si="4"/>
        <v>13</v>
      </c>
      <c r="O48" s="214">
        <f t="shared" si="4"/>
        <v>14</v>
      </c>
      <c r="P48" s="214">
        <f t="shared" si="4"/>
        <v>15</v>
      </c>
      <c r="Q48" s="214">
        <f t="shared" si="4"/>
        <v>16</v>
      </c>
      <c r="R48" s="214">
        <f t="shared" si="4"/>
        <v>17</v>
      </c>
      <c r="S48" s="214">
        <f t="shared" si="4"/>
        <v>18</v>
      </c>
      <c r="T48" s="214">
        <f t="shared" si="4"/>
        <v>19</v>
      </c>
      <c r="U48" s="214">
        <f t="shared" si="4"/>
        <v>20</v>
      </c>
      <c r="V48" s="214">
        <f t="shared" si="4"/>
        <v>21</v>
      </c>
      <c r="W48" s="214">
        <f t="shared" si="4"/>
        <v>22</v>
      </c>
      <c r="X48" s="214">
        <f t="shared" si="4"/>
        <v>23</v>
      </c>
      <c r="Y48" s="214">
        <f t="shared" si="4"/>
        <v>24</v>
      </c>
      <c r="Z48" s="214">
        <f t="shared" si="4"/>
        <v>25</v>
      </c>
      <c r="AA48" s="214">
        <f t="shared" si="4"/>
        <v>26</v>
      </c>
      <c r="AB48" s="214">
        <f t="shared" si="4"/>
        <v>27</v>
      </c>
      <c r="AC48" s="214">
        <f t="shared" si="4"/>
        <v>28</v>
      </c>
      <c r="AD48" s="214">
        <f t="shared" si="4"/>
        <v>29</v>
      </c>
      <c r="AE48" s="214">
        <f t="shared" si="4"/>
        <v>30</v>
      </c>
      <c r="AF48" s="214">
        <f t="shared" si="4"/>
        <v>31</v>
      </c>
      <c r="AG48" s="214">
        <f t="shared" si="4"/>
        <v>32</v>
      </c>
      <c r="AH48" s="214">
        <f t="shared" si="4"/>
        <v>33</v>
      </c>
      <c r="AI48" s="214">
        <f t="shared" si="4"/>
        <v>34</v>
      </c>
      <c r="AJ48" s="214">
        <f t="shared" si="4"/>
        <v>35</v>
      </c>
      <c r="AK48" s="214">
        <f t="shared" si="4"/>
        <v>36</v>
      </c>
      <c r="AL48" s="214">
        <f t="shared" si="4"/>
        <v>37</v>
      </c>
      <c r="AM48" s="214">
        <f t="shared" si="4"/>
        <v>38</v>
      </c>
      <c r="AN48" s="214">
        <f t="shared" si="4"/>
        <v>39</v>
      </c>
      <c r="AO48" s="214">
        <f t="shared" si="4"/>
        <v>40</v>
      </c>
      <c r="AP48" s="214">
        <f t="shared" si="4"/>
        <v>41</v>
      </c>
      <c r="AQ48" s="214">
        <f t="shared" si="4"/>
        <v>42</v>
      </c>
      <c r="AR48" s="214">
        <f>AR54</f>
        <v>43</v>
      </c>
      <c r="AS48" s="214">
        <f>AS54</f>
        <v>44</v>
      </c>
    </row>
    <row r="49" spans="1:46" x14ac:dyDescent="0.2">
      <c r="A49" s="215" t="s">
        <v>268</v>
      </c>
      <c r="B49" s="221">
        <v>0</v>
      </c>
      <c r="C49" s="221">
        <f t="shared" ref="C49:AP49" si="5">B49+B50-B51</f>
        <v>0</v>
      </c>
      <c r="D49" s="221">
        <f t="shared" si="5"/>
        <v>0</v>
      </c>
      <c r="E49" s="221">
        <f t="shared" si="5"/>
        <v>0</v>
      </c>
      <c r="F49" s="221">
        <f t="shared" si="5"/>
        <v>0</v>
      </c>
      <c r="G49" s="221">
        <f t="shared" si="5"/>
        <v>0</v>
      </c>
      <c r="H49" s="221">
        <f t="shared" si="5"/>
        <v>0</v>
      </c>
      <c r="I49" s="221">
        <f t="shared" si="5"/>
        <v>0</v>
      </c>
      <c r="J49" s="221">
        <f t="shared" si="5"/>
        <v>0</v>
      </c>
      <c r="K49" s="221">
        <f t="shared" si="5"/>
        <v>0</v>
      </c>
      <c r="L49" s="221">
        <f t="shared" si="5"/>
        <v>0</v>
      </c>
      <c r="M49" s="221">
        <f t="shared" si="5"/>
        <v>0</v>
      </c>
      <c r="N49" s="221">
        <f t="shared" si="5"/>
        <v>0</v>
      </c>
      <c r="O49" s="221">
        <f t="shared" si="5"/>
        <v>0</v>
      </c>
      <c r="P49" s="221">
        <f t="shared" si="5"/>
        <v>0</v>
      </c>
      <c r="Q49" s="221">
        <f t="shared" si="5"/>
        <v>0</v>
      </c>
      <c r="R49" s="221">
        <f t="shared" si="5"/>
        <v>0</v>
      </c>
      <c r="S49" s="221">
        <f t="shared" si="5"/>
        <v>0</v>
      </c>
      <c r="T49" s="221">
        <f t="shared" si="5"/>
        <v>0</v>
      </c>
      <c r="U49" s="221">
        <f t="shared" si="5"/>
        <v>0</v>
      </c>
      <c r="V49" s="221">
        <f t="shared" si="5"/>
        <v>0</v>
      </c>
      <c r="W49" s="221">
        <f t="shared" si="5"/>
        <v>0</v>
      </c>
      <c r="X49" s="221">
        <f t="shared" si="5"/>
        <v>0</v>
      </c>
      <c r="Y49" s="221">
        <f t="shared" si="5"/>
        <v>0</v>
      </c>
      <c r="Z49" s="221">
        <f t="shared" si="5"/>
        <v>0</v>
      </c>
      <c r="AA49" s="221">
        <f t="shared" si="5"/>
        <v>0</v>
      </c>
      <c r="AB49" s="221">
        <f t="shared" si="5"/>
        <v>0</v>
      </c>
      <c r="AC49" s="221">
        <f t="shared" si="5"/>
        <v>0</v>
      </c>
      <c r="AD49" s="221">
        <f t="shared" si="5"/>
        <v>0</v>
      </c>
      <c r="AE49" s="221">
        <f t="shared" si="5"/>
        <v>0</v>
      </c>
      <c r="AF49" s="221">
        <f t="shared" si="5"/>
        <v>0</v>
      </c>
      <c r="AG49" s="221">
        <f t="shared" si="5"/>
        <v>0</v>
      </c>
      <c r="AH49" s="221">
        <f t="shared" si="5"/>
        <v>0</v>
      </c>
      <c r="AI49" s="221">
        <f t="shared" si="5"/>
        <v>0</v>
      </c>
      <c r="AJ49" s="221">
        <f t="shared" si="5"/>
        <v>0</v>
      </c>
      <c r="AK49" s="221">
        <f t="shared" si="5"/>
        <v>0</v>
      </c>
      <c r="AL49" s="221">
        <f t="shared" si="5"/>
        <v>0</v>
      </c>
      <c r="AM49" s="221">
        <f t="shared" si="5"/>
        <v>0</v>
      </c>
      <c r="AN49" s="221">
        <f t="shared" si="5"/>
        <v>0</v>
      </c>
      <c r="AO49" s="221">
        <f t="shared" si="5"/>
        <v>0</v>
      </c>
      <c r="AP49" s="221">
        <f t="shared" si="5"/>
        <v>0</v>
      </c>
      <c r="AQ49" s="221">
        <f>AP49+AP50-AP51</f>
        <v>0</v>
      </c>
      <c r="AR49" s="221">
        <f>AQ49+AQ50-AQ51</f>
        <v>0</v>
      </c>
      <c r="AS49" s="221">
        <f>AR49+AR50-AR51</f>
        <v>0</v>
      </c>
    </row>
    <row r="50" spans="1:46" x14ac:dyDescent="0.2">
      <c r="A50" s="215" t="s">
        <v>267</v>
      </c>
      <c r="B50" s="221">
        <f>B21*B24*B39*1.18</f>
        <v>0</v>
      </c>
      <c r="C50" s="221">
        <v>0</v>
      </c>
      <c r="D50" s="221">
        <v>0</v>
      </c>
      <c r="E50" s="221">
        <v>0</v>
      </c>
      <c r="F50" s="221">
        <v>0</v>
      </c>
      <c r="G50" s="221">
        <v>0</v>
      </c>
      <c r="H50" s="221">
        <v>0</v>
      </c>
      <c r="I50" s="221">
        <v>0</v>
      </c>
      <c r="J50" s="221">
        <v>0</v>
      </c>
      <c r="K50" s="221">
        <v>0</v>
      </c>
      <c r="L50" s="221">
        <v>0</v>
      </c>
      <c r="M50" s="221">
        <v>0</v>
      </c>
      <c r="N50" s="221">
        <v>0</v>
      </c>
      <c r="O50" s="221">
        <v>0</v>
      </c>
      <c r="P50" s="221">
        <v>0</v>
      </c>
      <c r="Q50" s="221">
        <v>0</v>
      </c>
      <c r="R50" s="221">
        <v>0</v>
      </c>
      <c r="S50" s="221">
        <v>0</v>
      </c>
      <c r="T50" s="221">
        <v>0</v>
      </c>
      <c r="U50" s="221">
        <v>0</v>
      </c>
      <c r="V50" s="221">
        <v>0</v>
      </c>
      <c r="W50" s="221">
        <v>0</v>
      </c>
      <c r="X50" s="221">
        <v>0</v>
      </c>
      <c r="Y50" s="221">
        <v>0</v>
      </c>
      <c r="Z50" s="221">
        <v>0</v>
      </c>
      <c r="AA50" s="221">
        <v>0</v>
      </c>
      <c r="AB50" s="221">
        <v>0</v>
      </c>
      <c r="AC50" s="221">
        <v>0</v>
      </c>
      <c r="AD50" s="221">
        <v>0</v>
      </c>
      <c r="AE50" s="221">
        <v>0</v>
      </c>
      <c r="AF50" s="221">
        <v>0</v>
      </c>
      <c r="AG50" s="221">
        <v>0</v>
      </c>
      <c r="AH50" s="221">
        <v>0</v>
      </c>
      <c r="AI50" s="221">
        <v>0</v>
      </c>
      <c r="AJ50" s="221">
        <v>0</v>
      </c>
      <c r="AK50" s="221">
        <v>0</v>
      </c>
      <c r="AL50" s="221">
        <v>0</v>
      </c>
      <c r="AM50" s="221">
        <v>0</v>
      </c>
      <c r="AN50" s="221">
        <v>0</v>
      </c>
      <c r="AO50" s="221">
        <v>0</v>
      </c>
      <c r="AP50" s="221">
        <v>0</v>
      </c>
      <c r="AQ50" s="221">
        <v>0</v>
      </c>
      <c r="AR50" s="221">
        <v>0</v>
      </c>
      <c r="AS50" s="221">
        <v>0</v>
      </c>
    </row>
    <row r="51" spans="1:46" x14ac:dyDescent="0.2">
      <c r="A51" s="215" t="s">
        <v>266</v>
      </c>
      <c r="B51" s="221">
        <f>$B$50/$B$36</f>
        <v>0</v>
      </c>
      <c r="C51" s="221">
        <f t="shared" ref="C51:AP51" si="6">IF(ROUND(C49,1)=0,0,B51+C50/$B$36)</f>
        <v>0</v>
      </c>
      <c r="D51" s="221">
        <f t="shared" si="6"/>
        <v>0</v>
      </c>
      <c r="E51" s="221">
        <f t="shared" si="6"/>
        <v>0</v>
      </c>
      <c r="F51" s="221">
        <f t="shared" si="6"/>
        <v>0</v>
      </c>
      <c r="G51" s="221">
        <f t="shared" si="6"/>
        <v>0</v>
      </c>
      <c r="H51" s="221">
        <f t="shared" si="6"/>
        <v>0</v>
      </c>
      <c r="I51" s="221">
        <f t="shared" si="6"/>
        <v>0</v>
      </c>
      <c r="J51" s="221">
        <f t="shared" si="6"/>
        <v>0</v>
      </c>
      <c r="K51" s="221">
        <f t="shared" si="6"/>
        <v>0</v>
      </c>
      <c r="L51" s="221">
        <f t="shared" si="6"/>
        <v>0</v>
      </c>
      <c r="M51" s="221">
        <f t="shared" si="6"/>
        <v>0</v>
      </c>
      <c r="N51" s="221">
        <f t="shared" si="6"/>
        <v>0</v>
      </c>
      <c r="O51" s="221">
        <f t="shared" si="6"/>
        <v>0</v>
      </c>
      <c r="P51" s="221">
        <f t="shared" si="6"/>
        <v>0</v>
      </c>
      <c r="Q51" s="221">
        <f t="shared" si="6"/>
        <v>0</v>
      </c>
      <c r="R51" s="221">
        <f t="shared" si="6"/>
        <v>0</v>
      </c>
      <c r="S51" s="221">
        <f t="shared" si="6"/>
        <v>0</v>
      </c>
      <c r="T51" s="221">
        <f t="shared" si="6"/>
        <v>0</v>
      </c>
      <c r="U51" s="221">
        <f t="shared" si="6"/>
        <v>0</v>
      </c>
      <c r="V51" s="221">
        <f t="shared" si="6"/>
        <v>0</v>
      </c>
      <c r="W51" s="221">
        <f t="shared" si="6"/>
        <v>0</v>
      </c>
      <c r="X51" s="221">
        <f t="shared" si="6"/>
        <v>0</v>
      </c>
      <c r="Y51" s="221">
        <f t="shared" si="6"/>
        <v>0</v>
      </c>
      <c r="Z51" s="221">
        <f t="shared" si="6"/>
        <v>0</v>
      </c>
      <c r="AA51" s="221">
        <f t="shared" si="6"/>
        <v>0</v>
      </c>
      <c r="AB51" s="221">
        <f t="shared" si="6"/>
        <v>0</v>
      </c>
      <c r="AC51" s="221">
        <f t="shared" si="6"/>
        <v>0</v>
      </c>
      <c r="AD51" s="221">
        <f t="shared" si="6"/>
        <v>0</v>
      </c>
      <c r="AE51" s="221">
        <f t="shared" si="6"/>
        <v>0</v>
      </c>
      <c r="AF51" s="221">
        <f t="shared" si="6"/>
        <v>0</v>
      </c>
      <c r="AG51" s="221">
        <f t="shared" si="6"/>
        <v>0</v>
      </c>
      <c r="AH51" s="221">
        <f t="shared" si="6"/>
        <v>0</v>
      </c>
      <c r="AI51" s="221">
        <f t="shared" si="6"/>
        <v>0</v>
      </c>
      <c r="AJ51" s="221">
        <f t="shared" si="6"/>
        <v>0</v>
      </c>
      <c r="AK51" s="221">
        <f t="shared" si="6"/>
        <v>0</v>
      </c>
      <c r="AL51" s="221">
        <f t="shared" si="6"/>
        <v>0</v>
      </c>
      <c r="AM51" s="221">
        <f t="shared" si="6"/>
        <v>0</v>
      </c>
      <c r="AN51" s="221">
        <f t="shared" si="6"/>
        <v>0</v>
      </c>
      <c r="AO51" s="221">
        <f t="shared" si="6"/>
        <v>0</v>
      </c>
      <c r="AP51" s="221">
        <f t="shared" si="6"/>
        <v>0</v>
      </c>
      <c r="AQ51" s="221">
        <f>IF(ROUND(AQ49,1)=0,0,AP51+AQ50/$B$36)</f>
        <v>0</v>
      </c>
      <c r="AR51" s="221">
        <f>IF(ROUND(AR49,1)=0,0,AQ51+AR50/$B$36)</f>
        <v>0</v>
      </c>
      <c r="AS51" s="221">
        <f>IF(ROUND(AS49,1)=0,0,AR51+AS50/$B$36)</f>
        <v>0</v>
      </c>
    </row>
    <row r="52" spans="1:46" ht="16.5" thickBot="1" x14ac:dyDescent="0.25">
      <c r="A52" s="217" t="s">
        <v>265</v>
      </c>
      <c r="B52" s="218">
        <f t="shared" ref="B52:AP52" si="7">AVERAGE(SUM(B49:B50),(SUM(B49:B50)-B51))*$B$38</f>
        <v>0</v>
      </c>
      <c r="C52" s="218">
        <f t="shared" si="7"/>
        <v>0</v>
      </c>
      <c r="D52" s="218">
        <f t="shared" si="7"/>
        <v>0</v>
      </c>
      <c r="E52" s="218">
        <f t="shared" si="7"/>
        <v>0</v>
      </c>
      <c r="F52" s="218">
        <f t="shared" si="7"/>
        <v>0</v>
      </c>
      <c r="G52" s="218">
        <f t="shared" si="7"/>
        <v>0</v>
      </c>
      <c r="H52" s="218">
        <f t="shared" si="7"/>
        <v>0</v>
      </c>
      <c r="I52" s="218">
        <f t="shared" si="7"/>
        <v>0</v>
      </c>
      <c r="J52" s="218">
        <f t="shared" si="7"/>
        <v>0</v>
      </c>
      <c r="K52" s="218">
        <f t="shared" si="7"/>
        <v>0</v>
      </c>
      <c r="L52" s="218">
        <f t="shared" si="7"/>
        <v>0</v>
      </c>
      <c r="M52" s="218">
        <f t="shared" si="7"/>
        <v>0</v>
      </c>
      <c r="N52" s="218">
        <f t="shared" si="7"/>
        <v>0</v>
      </c>
      <c r="O52" s="218">
        <f t="shared" si="7"/>
        <v>0</v>
      </c>
      <c r="P52" s="218">
        <f t="shared" si="7"/>
        <v>0</v>
      </c>
      <c r="Q52" s="218">
        <f t="shared" si="7"/>
        <v>0</v>
      </c>
      <c r="R52" s="218">
        <f t="shared" si="7"/>
        <v>0</v>
      </c>
      <c r="S52" s="218">
        <f t="shared" si="7"/>
        <v>0</v>
      </c>
      <c r="T52" s="218">
        <f t="shared" si="7"/>
        <v>0</v>
      </c>
      <c r="U52" s="218">
        <f t="shared" si="7"/>
        <v>0</v>
      </c>
      <c r="V52" s="218">
        <f t="shared" si="7"/>
        <v>0</v>
      </c>
      <c r="W52" s="218">
        <f t="shared" si="7"/>
        <v>0</v>
      </c>
      <c r="X52" s="218">
        <f t="shared" si="7"/>
        <v>0</v>
      </c>
      <c r="Y52" s="218">
        <f t="shared" si="7"/>
        <v>0</v>
      </c>
      <c r="Z52" s="218">
        <f t="shared" si="7"/>
        <v>0</v>
      </c>
      <c r="AA52" s="218">
        <f t="shared" si="7"/>
        <v>0</v>
      </c>
      <c r="AB52" s="218">
        <f t="shared" si="7"/>
        <v>0</v>
      </c>
      <c r="AC52" s="218">
        <f t="shared" si="7"/>
        <v>0</v>
      </c>
      <c r="AD52" s="218">
        <f t="shared" si="7"/>
        <v>0</v>
      </c>
      <c r="AE52" s="218">
        <f t="shared" si="7"/>
        <v>0</v>
      </c>
      <c r="AF52" s="218">
        <f t="shared" si="7"/>
        <v>0</v>
      </c>
      <c r="AG52" s="218">
        <f t="shared" si="7"/>
        <v>0</v>
      </c>
      <c r="AH52" s="218">
        <f t="shared" si="7"/>
        <v>0</v>
      </c>
      <c r="AI52" s="218">
        <f t="shared" si="7"/>
        <v>0</v>
      </c>
      <c r="AJ52" s="218">
        <f t="shared" si="7"/>
        <v>0</v>
      </c>
      <c r="AK52" s="218">
        <f t="shared" si="7"/>
        <v>0</v>
      </c>
      <c r="AL52" s="218">
        <f t="shared" si="7"/>
        <v>0</v>
      </c>
      <c r="AM52" s="218">
        <f t="shared" si="7"/>
        <v>0</v>
      </c>
      <c r="AN52" s="218">
        <f t="shared" si="7"/>
        <v>0</v>
      </c>
      <c r="AO52" s="218">
        <f t="shared" si="7"/>
        <v>0</v>
      </c>
      <c r="AP52" s="218">
        <f t="shared" si="7"/>
        <v>0</v>
      </c>
      <c r="AQ52" s="218">
        <f>AVERAGE(SUM(AQ49:AQ50),(SUM(AQ49:AQ50)-AQ51))*$B$38</f>
        <v>0</v>
      </c>
      <c r="AR52" s="218">
        <f>AVERAGE(SUM(AR49:AR50),(SUM(AR49:AR50)-AR51))*$B$38</f>
        <v>0</v>
      </c>
      <c r="AS52" s="218">
        <f>AVERAGE(SUM(AS49:AS50),(SUM(AS49:AS50)-AS51))*$B$38</f>
        <v>0</v>
      </c>
    </row>
    <row r="53" spans="1:46" ht="16.5" thickBot="1" x14ac:dyDescent="0.25">
      <c r="A53" s="222"/>
      <c r="B53" s="223"/>
      <c r="C53" s="223"/>
      <c r="D53" s="223"/>
      <c r="E53" s="223"/>
      <c r="F53" s="223"/>
      <c r="G53" s="223"/>
      <c r="H53" s="224">
        <v>1</v>
      </c>
      <c r="I53" s="224">
        <f>H53+1</f>
        <v>2</v>
      </c>
      <c r="J53" s="224">
        <f t="shared" ref="J53:Y54" si="8">I53+1</f>
        <v>3</v>
      </c>
      <c r="K53" s="224">
        <f t="shared" si="8"/>
        <v>4</v>
      </c>
      <c r="L53" s="224">
        <f t="shared" si="8"/>
        <v>5</v>
      </c>
      <c r="M53" s="224">
        <f t="shared" si="8"/>
        <v>6</v>
      </c>
      <c r="N53" s="224">
        <f t="shared" si="8"/>
        <v>7</v>
      </c>
      <c r="O53" s="224">
        <f t="shared" si="8"/>
        <v>8</v>
      </c>
      <c r="P53" s="224">
        <f t="shared" si="8"/>
        <v>9</v>
      </c>
      <c r="Q53" s="224">
        <f t="shared" si="8"/>
        <v>10</v>
      </c>
      <c r="R53" s="224">
        <f t="shared" si="8"/>
        <v>11</v>
      </c>
      <c r="S53" s="224">
        <f t="shared" si="8"/>
        <v>12</v>
      </c>
      <c r="T53" s="224">
        <f t="shared" si="8"/>
        <v>13</v>
      </c>
      <c r="U53" s="224">
        <f t="shared" si="8"/>
        <v>14</v>
      </c>
      <c r="V53" s="224">
        <f t="shared" si="8"/>
        <v>15</v>
      </c>
      <c r="W53" s="224">
        <f t="shared" si="8"/>
        <v>16</v>
      </c>
      <c r="X53" s="224">
        <f t="shared" si="8"/>
        <v>17</v>
      </c>
      <c r="Y53" s="224">
        <f t="shared" si="8"/>
        <v>18</v>
      </c>
      <c r="Z53" s="224">
        <f t="shared" ref="Z53:AO54" si="9">Y53+1</f>
        <v>19</v>
      </c>
      <c r="AA53" s="224">
        <f t="shared" si="9"/>
        <v>20</v>
      </c>
      <c r="AB53" s="224">
        <f t="shared" si="9"/>
        <v>21</v>
      </c>
      <c r="AC53" s="224">
        <f t="shared" si="9"/>
        <v>22</v>
      </c>
      <c r="AD53" s="224">
        <f t="shared" si="9"/>
        <v>23</v>
      </c>
      <c r="AE53" s="224">
        <f t="shared" si="9"/>
        <v>24</v>
      </c>
      <c r="AF53" s="224">
        <f t="shared" si="9"/>
        <v>25</v>
      </c>
      <c r="AG53" s="224">
        <f t="shared" si="9"/>
        <v>26</v>
      </c>
      <c r="AH53" s="224">
        <f t="shared" si="9"/>
        <v>27</v>
      </c>
      <c r="AI53" s="224">
        <f t="shared" si="9"/>
        <v>28</v>
      </c>
      <c r="AJ53" s="224">
        <f t="shared" si="9"/>
        <v>29</v>
      </c>
      <c r="AK53" s="224">
        <f t="shared" si="9"/>
        <v>30</v>
      </c>
      <c r="AL53" s="224">
        <f t="shared" si="9"/>
        <v>31</v>
      </c>
      <c r="AM53" s="224">
        <f t="shared" si="9"/>
        <v>32</v>
      </c>
      <c r="AN53" s="224">
        <f t="shared" si="9"/>
        <v>33</v>
      </c>
      <c r="AO53" s="224">
        <f t="shared" si="9"/>
        <v>34</v>
      </c>
      <c r="AP53" s="224">
        <f t="shared" ref="AP53:AQ54" si="10">AO53+1</f>
        <v>35</v>
      </c>
      <c r="AQ53" s="224">
        <f t="shared" si="10"/>
        <v>36</v>
      </c>
      <c r="AR53" s="224">
        <f>AQ53+1</f>
        <v>37</v>
      </c>
      <c r="AS53" s="224">
        <f>AR53+1</f>
        <v>38</v>
      </c>
    </row>
    <row r="54" spans="1:46" x14ac:dyDescent="0.2">
      <c r="A54" s="220" t="s">
        <v>489</v>
      </c>
      <c r="B54" s="214">
        <v>1</v>
      </c>
      <c r="C54" s="214">
        <f t="shared" ref="C54:H54" si="11">B54+1</f>
        <v>2</v>
      </c>
      <c r="D54" s="214">
        <f t="shared" si="11"/>
        <v>3</v>
      </c>
      <c r="E54" s="214">
        <f t="shared" si="11"/>
        <v>4</v>
      </c>
      <c r="F54" s="214">
        <f t="shared" si="11"/>
        <v>5</v>
      </c>
      <c r="G54" s="214">
        <f t="shared" si="11"/>
        <v>6</v>
      </c>
      <c r="H54" s="214">
        <f t="shared" si="11"/>
        <v>7</v>
      </c>
      <c r="I54" s="214">
        <f>H54+1</f>
        <v>8</v>
      </c>
      <c r="J54" s="214">
        <f t="shared" si="8"/>
        <v>9</v>
      </c>
      <c r="K54" s="214">
        <f t="shared" si="8"/>
        <v>10</v>
      </c>
      <c r="L54" s="214">
        <f t="shared" si="8"/>
        <v>11</v>
      </c>
      <c r="M54" s="214">
        <f t="shared" si="8"/>
        <v>12</v>
      </c>
      <c r="N54" s="214">
        <f t="shared" si="8"/>
        <v>13</v>
      </c>
      <c r="O54" s="214">
        <f t="shared" si="8"/>
        <v>14</v>
      </c>
      <c r="P54" s="214">
        <f t="shared" si="8"/>
        <v>15</v>
      </c>
      <c r="Q54" s="214">
        <f t="shared" si="8"/>
        <v>16</v>
      </c>
      <c r="R54" s="214">
        <f t="shared" si="8"/>
        <v>17</v>
      </c>
      <c r="S54" s="214">
        <f t="shared" si="8"/>
        <v>18</v>
      </c>
      <c r="T54" s="214">
        <f t="shared" si="8"/>
        <v>19</v>
      </c>
      <c r="U54" s="214">
        <f t="shared" si="8"/>
        <v>20</v>
      </c>
      <c r="V54" s="214">
        <f t="shared" si="8"/>
        <v>21</v>
      </c>
      <c r="W54" s="214">
        <f t="shared" si="8"/>
        <v>22</v>
      </c>
      <c r="X54" s="214">
        <f t="shared" si="8"/>
        <v>23</v>
      </c>
      <c r="Y54" s="214">
        <f t="shared" si="8"/>
        <v>24</v>
      </c>
      <c r="Z54" s="214">
        <f t="shared" si="9"/>
        <v>25</v>
      </c>
      <c r="AA54" s="214">
        <f t="shared" si="9"/>
        <v>26</v>
      </c>
      <c r="AB54" s="214">
        <f t="shared" si="9"/>
        <v>27</v>
      </c>
      <c r="AC54" s="214">
        <f t="shared" si="9"/>
        <v>28</v>
      </c>
      <c r="AD54" s="214">
        <f t="shared" si="9"/>
        <v>29</v>
      </c>
      <c r="AE54" s="214">
        <f t="shared" si="9"/>
        <v>30</v>
      </c>
      <c r="AF54" s="214">
        <f t="shared" si="9"/>
        <v>31</v>
      </c>
      <c r="AG54" s="214">
        <f t="shared" si="9"/>
        <v>32</v>
      </c>
      <c r="AH54" s="214">
        <f t="shared" si="9"/>
        <v>33</v>
      </c>
      <c r="AI54" s="214">
        <f t="shared" si="9"/>
        <v>34</v>
      </c>
      <c r="AJ54" s="214">
        <f t="shared" si="9"/>
        <v>35</v>
      </c>
      <c r="AK54" s="214">
        <f t="shared" si="9"/>
        <v>36</v>
      </c>
      <c r="AL54" s="214">
        <f t="shared" si="9"/>
        <v>37</v>
      </c>
      <c r="AM54" s="214">
        <f t="shared" si="9"/>
        <v>38</v>
      </c>
      <c r="AN54" s="214">
        <f t="shared" si="9"/>
        <v>39</v>
      </c>
      <c r="AO54" s="214">
        <f t="shared" si="9"/>
        <v>40</v>
      </c>
      <c r="AP54" s="214">
        <f t="shared" si="10"/>
        <v>41</v>
      </c>
      <c r="AQ54" s="214">
        <f t="shared" si="10"/>
        <v>42</v>
      </c>
      <c r="AR54" s="214">
        <f>AQ54+1</f>
        <v>43</v>
      </c>
      <c r="AS54" s="214">
        <f>AR54+1</f>
        <v>44</v>
      </c>
    </row>
    <row r="55" spans="1:46" ht="14.25" x14ac:dyDescent="0.2">
      <c r="A55" s="225" t="s">
        <v>264</v>
      </c>
      <c r="B55" s="226">
        <f t="shared" ref="B55:AP55" si="12">B46*$B$24</f>
        <v>0</v>
      </c>
      <c r="C55" s="226">
        <f t="shared" si="12"/>
        <v>-0.05</v>
      </c>
      <c r="D55" s="226">
        <f>D46*$B$24</f>
        <v>370258299.95000005</v>
      </c>
      <c r="E55" s="226">
        <f t="shared" si="12"/>
        <v>36798979.950000003</v>
      </c>
      <c r="F55" s="226">
        <f t="shared" si="12"/>
        <v>0</v>
      </c>
      <c r="G55" s="226">
        <f t="shared" si="12"/>
        <v>0</v>
      </c>
      <c r="H55" s="226">
        <f t="shared" si="12"/>
        <v>0</v>
      </c>
      <c r="I55" s="226">
        <f t="shared" si="12"/>
        <v>0</v>
      </c>
      <c r="J55" s="226">
        <f t="shared" si="12"/>
        <v>0</v>
      </c>
      <c r="K55" s="226">
        <f t="shared" si="12"/>
        <v>0</v>
      </c>
      <c r="L55" s="226">
        <f t="shared" si="12"/>
        <v>0</v>
      </c>
      <c r="M55" s="226">
        <f t="shared" si="12"/>
        <v>0</v>
      </c>
      <c r="N55" s="226">
        <f t="shared" si="12"/>
        <v>0</v>
      </c>
      <c r="O55" s="226">
        <f t="shared" si="12"/>
        <v>0</v>
      </c>
      <c r="P55" s="226">
        <f t="shared" si="12"/>
        <v>0</v>
      </c>
      <c r="Q55" s="226">
        <f t="shared" si="12"/>
        <v>0</v>
      </c>
      <c r="R55" s="226">
        <f t="shared" si="12"/>
        <v>0</v>
      </c>
      <c r="S55" s="226">
        <f t="shared" si="12"/>
        <v>0</v>
      </c>
      <c r="T55" s="226">
        <f t="shared" si="12"/>
        <v>0</v>
      </c>
      <c r="U55" s="226">
        <f t="shared" si="12"/>
        <v>0</v>
      </c>
      <c r="V55" s="226">
        <f t="shared" si="12"/>
        <v>0</v>
      </c>
      <c r="W55" s="226">
        <f t="shared" si="12"/>
        <v>0</v>
      </c>
      <c r="X55" s="226">
        <f t="shared" si="12"/>
        <v>0</v>
      </c>
      <c r="Y55" s="226">
        <f t="shared" si="12"/>
        <v>0</v>
      </c>
      <c r="Z55" s="226">
        <f t="shared" si="12"/>
        <v>0</v>
      </c>
      <c r="AA55" s="226">
        <f t="shared" si="12"/>
        <v>0</v>
      </c>
      <c r="AB55" s="226">
        <f t="shared" si="12"/>
        <v>0</v>
      </c>
      <c r="AC55" s="226">
        <f t="shared" si="12"/>
        <v>0</v>
      </c>
      <c r="AD55" s="226">
        <f t="shared" si="12"/>
        <v>0</v>
      </c>
      <c r="AE55" s="226">
        <f t="shared" si="12"/>
        <v>0</v>
      </c>
      <c r="AF55" s="226">
        <f t="shared" si="12"/>
        <v>0</v>
      </c>
      <c r="AG55" s="226">
        <f t="shared" si="12"/>
        <v>0</v>
      </c>
      <c r="AH55" s="226">
        <f t="shared" si="12"/>
        <v>0</v>
      </c>
      <c r="AI55" s="226">
        <f t="shared" si="12"/>
        <v>0</v>
      </c>
      <c r="AJ55" s="226">
        <f t="shared" si="12"/>
        <v>0</v>
      </c>
      <c r="AK55" s="226">
        <f t="shared" si="12"/>
        <v>0</v>
      </c>
      <c r="AL55" s="226">
        <f t="shared" si="12"/>
        <v>0</v>
      </c>
      <c r="AM55" s="226">
        <f t="shared" si="12"/>
        <v>0</v>
      </c>
      <c r="AN55" s="226">
        <f t="shared" si="12"/>
        <v>0</v>
      </c>
      <c r="AO55" s="226">
        <f t="shared" si="12"/>
        <v>0</v>
      </c>
      <c r="AP55" s="226">
        <f t="shared" si="12"/>
        <v>0</v>
      </c>
      <c r="AQ55" s="226">
        <f>AQ46*$B$24</f>
        <v>0</v>
      </c>
      <c r="AR55" s="226">
        <f>AR46*$B$24</f>
        <v>0</v>
      </c>
      <c r="AS55" s="226">
        <f>AS46*$B$24</f>
        <v>0</v>
      </c>
    </row>
    <row r="56" spans="1:46" x14ac:dyDescent="0.2">
      <c r="A56" s="215" t="s">
        <v>263</v>
      </c>
      <c r="B56" s="221">
        <f>SUM(B57:B62)</f>
        <v>0</v>
      </c>
      <c r="C56" s="221">
        <f>SUM(C57:C62)</f>
        <v>0</v>
      </c>
      <c r="D56" s="221">
        <f>SUM(D57:D62)</f>
        <v>0</v>
      </c>
      <c r="E56" s="221">
        <f>SUM(E57:E62)</f>
        <v>0</v>
      </c>
      <c r="F56" s="221">
        <f t="shared" ref="F56:Q56" si="13">SUM(F57:F62)</f>
        <v>-120948.35223239996</v>
      </c>
      <c r="G56" s="221">
        <f t="shared" si="13"/>
        <v>-125302.49291276636</v>
      </c>
      <c r="H56" s="221">
        <f t="shared" si="13"/>
        <v>-646560.86342987441</v>
      </c>
      <c r="I56" s="221">
        <f t="shared" si="13"/>
        <v>-132932.91352118217</v>
      </c>
      <c r="J56" s="221">
        <f t="shared" si="13"/>
        <v>-136522.10218625408</v>
      </c>
      <c r="K56" s="221">
        <f t="shared" si="13"/>
        <v>-701040.99472641456</v>
      </c>
      <c r="L56" s="221">
        <f t="shared" si="13"/>
        <v>-143713.40391891499</v>
      </c>
      <c r="M56" s="221">
        <f t="shared" si="13"/>
        <v>-147018.81220905003</v>
      </c>
      <c r="N56" s="221">
        <f t="shared" si="13"/>
        <v>-751266.13038824569</v>
      </c>
      <c r="O56" s="221">
        <f t="shared" si="13"/>
        <v>-153258.2905992021</v>
      </c>
      <c r="P56" s="221">
        <f t="shared" si="13"/>
        <v>-156323.45641118614</v>
      </c>
      <c r="Q56" s="221">
        <f t="shared" si="13"/>
        <v>-797249.62769704929</v>
      </c>
      <c r="R56" s="221">
        <f t="shared" ref="R56:AS56" si="14">SUM(R57:R62)</f>
        <v>-162638.92405019805</v>
      </c>
      <c r="S56" s="221">
        <f t="shared" si="14"/>
        <v>-165891.70253120203</v>
      </c>
      <c r="T56" s="221">
        <f t="shared" si="14"/>
        <v>-846047.68290913035</v>
      </c>
      <c r="U56" s="221">
        <f t="shared" si="14"/>
        <v>-172593.72731346259</v>
      </c>
      <c r="V56" s="221">
        <f t="shared" si="14"/>
        <v>-176045.60185973183</v>
      </c>
      <c r="W56" s="221">
        <f t="shared" si="14"/>
        <v>-897832.56948463246</v>
      </c>
      <c r="X56" s="221">
        <f t="shared" si="14"/>
        <v>-183157.84417486502</v>
      </c>
      <c r="Y56" s="221">
        <f t="shared" si="14"/>
        <v>-186821.00105836234</v>
      </c>
      <c r="Z56" s="221">
        <f t="shared" si="14"/>
        <v>-952787.10539764783</v>
      </c>
      <c r="AA56" s="221">
        <f t="shared" si="14"/>
        <v>-194368.56950112019</v>
      </c>
      <c r="AB56" s="221">
        <f t="shared" si="14"/>
        <v>-198255.94089114259</v>
      </c>
      <c r="AC56" s="221">
        <f t="shared" si="14"/>
        <v>-1011105.2985448273</v>
      </c>
      <c r="AD56" s="221">
        <f t="shared" si="14"/>
        <v>-206265.48090314475</v>
      </c>
      <c r="AE56" s="221">
        <f t="shared" si="14"/>
        <v>-210390.79052120764</v>
      </c>
      <c r="AF56" s="221">
        <f t="shared" si="14"/>
        <v>-1072993.0316581591</v>
      </c>
      <c r="AG56" s="221">
        <f t="shared" si="14"/>
        <v>-218890.57845826447</v>
      </c>
      <c r="AH56" s="221">
        <f t="shared" si="14"/>
        <v>-223268.39002742976</v>
      </c>
      <c r="AI56" s="221">
        <f t="shared" si="14"/>
        <v>-1138668.7891398915</v>
      </c>
      <c r="AJ56" s="221">
        <f t="shared" si="14"/>
        <v>-232288.43298453791</v>
      </c>
      <c r="AK56" s="221">
        <f t="shared" si="14"/>
        <v>-236934.20164422868</v>
      </c>
      <c r="AL56" s="221">
        <f t="shared" si="14"/>
        <v>-1208364.4283855662</v>
      </c>
      <c r="AM56" s="221">
        <f t="shared" si="14"/>
        <v>-246506.34339065553</v>
      </c>
      <c r="AN56" s="221">
        <f t="shared" si="14"/>
        <v>-251436.47025846865</v>
      </c>
      <c r="AO56" s="221">
        <f t="shared" si="14"/>
        <v>-1282325.9983181902</v>
      </c>
      <c r="AP56" s="221">
        <f t="shared" si="14"/>
        <v>-261594.50365691076</v>
      </c>
      <c r="AQ56" s="221">
        <f t="shared" si="14"/>
        <v>-266826.39373004896</v>
      </c>
      <c r="AR56" s="221">
        <f t="shared" si="14"/>
        <v>-1360814.6080232495</v>
      </c>
      <c r="AS56" s="221">
        <f t="shared" si="14"/>
        <v>-277606.18003674294</v>
      </c>
    </row>
    <row r="57" spans="1:46" x14ac:dyDescent="0.2">
      <c r="A57" s="227" t="s">
        <v>262</v>
      </c>
      <c r="B57" s="221"/>
      <c r="C57" s="221"/>
      <c r="D57" s="221"/>
      <c r="E57" s="221"/>
      <c r="F57" s="221">
        <v>0</v>
      </c>
      <c r="G57" s="221">
        <v>0</v>
      </c>
      <c r="H57" s="221">
        <f>-IF(H$43&lt;=$B$26,0,$B$25*(1+H$45)*$B$24)</f>
        <v>-517248.6907438995</v>
      </c>
      <c r="I57" s="221">
        <v>0</v>
      </c>
      <c r="J57" s="221">
        <v>0</v>
      </c>
      <c r="K57" s="221">
        <f>-IF(K$43&lt;=$B$26,0,$B$25*(1+K$45)*$B$24)</f>
        <v>-560832.7957811316</v>
      </c>
      <c r="L57" s="221">
        <v>0</v>
      </c>
      <c r="M57" s="221">
        <v>0</v>
      </c>
      <c r="N57" s="221">
        <f>-IF(N$43&lt;=$B$26,0,$B$25*(1+N$45)*$B$24)</f>
        <v>-601012.90431059652</v>
      </c>
      <c r="O57" s="221">
        <v>0</v>
      </c>
      <c r="P57" s="221">
        <v>0</v>
      </c>
      <c r="Q57" s="221">
        <f>-IF(Q$43&lt;=$B$26,0,$B$25*(1+Q$45)*$B$24)</f>
        <v>-637799.70215763943</v>
      </c>
      <c r="R57" s="221">
        <v>0</v>
      </c>
      <c r="S57" s="221">
        <v>0</v>
      </c>
      <c r="T57" s="221">
        <f>-IF(T$43&lt;=$B$26,0,$B$25*(1+T$45)*$B$24)</f>
        <v>-676838.1463273043</v>
      </c>
      <c r="U57" s="221">
        <v>0</v>
      </c>
      <c r="V57" s="221">
        <v>0</v>
      </c>
      <c r="W57" s="221">
        <f>-IF(W$43&lt;=$B$26,0,$B$25*(1+W$45)*$B$24)</f>
        <v>-718266.05558770592</v>
      </c>
      <c r="X57" s="221">
        <v>0</v>
      </c>
      <c r="Y57" s="221">
        <v>0</v>
      </c>
      <c r="Z57" s="221">
        <f>-IF(Z$43&lt;=$B$26,0,$B$25*(1+Z$45)*$B$24)</f>
        <v>-762229.68431811826</v>
      </c>
      <c r="AA57" s="221">
        <v>0</v>
      </c>
      <c r="AB57" s="221">
        <v>0</v>
      </c>
      <c r="AC57" s="221">
        <f>-IF(AC$43&lt;=$B$26,0,$B$25*(1+AC$45)*$B$24)</f>
        <v>-808884.23883586179</v>
      </c>
      <c r="AD57" s="221">
        <v>0</v>
      </c>
      <c r="AE57" s="221">
        <v>0</v>
      </c>
      <c r="AF57" s="221">
        <f>-IF(AF$43&lt;=$B$26,0,$B$25*(1+AF$45)*$B$24)</f>
        <v>-858394.42532652721</v>
      </c>
      <c r="AG57" s="221">
        <v>0</v>
      </c>
      <c r="AH57" s="221">
        <v>0</v>
      </c>
      <c r="AI57" s="221">
        <f>-IF(AI$43&lt;=$B$26,0,$B$25*(1+AI$45)*$B$24)</f>
        <v>-910935.03131191328</v>
      </c>
      <c r="AJ57" s="221">
        <v>0</v>
      </c>
      <c r="AK57" s="221">
        <v>0</v>
      </c>
      <c r="AL57" s="221">
        <f>-IF(AL$43&lt;=$B$26,0,$B$25*(1+AL$45)*$B$24)</f>
        <v>-966691.54270845302</v>
      </c>
      <c r="AM57" s="221">
        <v>0</v>
      </c>
      <c r="AN57" s="221">
        <v>0</v>
      </c>
      <c r="AO57" s="221">
        <f>-IF(AO$43&lt;=$B$26,0,$B$25*(1+AO$45)*$B$24)</f>
        <v>-1025860.7986545521</v>
      </c>
      <c r="AP57" s="221">
        <v>0</v>
      </c>
      <c r="AQ57" s="221">
        <v>0</v>
      </c>
      <c r="AR57" s="221">
        <f>-IF(AR$43&lt;=$B$26,0,$B$25*(1+AR$45)*$B$24)</f>
        <v>-1088651.6864185997</v>
      </c>
      <c r="AS57" s="221">
        <v>0</v>
      </c>
    </row>
    <row r="58" spans="1:46" x14ac:dyDescent="0.2">
      <c r="A58" s="227" t="str">
        <f>A28</f>
        <v>Прочие расходы при эксплуатации объекта, руб. без НДС</v>
      </c>
      <c r="B58" s="221"/>
      <c r="C58" s="221"/>
      <c r="D58" s="221"/>
      <c r="E58" s="221"/>
      <c r="F58" s="221">
        <f>-IF(F$43&lt;=$B$29,0,$B$28*(1+F$45)*$B$24)</f>
        <v>-120948.35223239996</v>
      </c>
      <c r="G58" s="221">
        <f>-IF(G$43&lt;=$B$29,0,$B$28*(1+G$45)*$B$24)</f>
        <v>-125302.49291276636</v>
      </c>
      <c r="H58" s="221">
        <f>-IF(H$43&lt;=$B$29,0,$B$28*(1+H$45)*$B$24)</f>
        <v>-129312.17268597487</v>
      </c>
      <c r="I58" s="221">
        <f t="shared" ref="I58:AS58" si="15">-IF(I$43&lt;=$B$29,0,$B$28*(1+I$45)*$B$24)</f>
        <v>-132932.91352118217</v>
      </c>
      <c r="J58" s="221">
        <f>-IF(J$43&lt;=$B$29,0,$B$28*(1+J$45)*$B$24)</f>
        <v>-136522.10218625408</v>
      </c>
      <c r="K58" s="221">
        <f t="shared" si="15"/>
        <v>-140208.1989452829</v>
      </c>
      <c r="L58" s="221">
        <f t="shared" si="15"/>
        <v>-143713.40391891499</v>
      </c>
      <c r="M58" s="221">
        <f t="shared" si="15"/>
        <v>-147018.81220905003</v>
      </c>
      <c r="N58" s="221">
        <f t="shared" si="15"/>
        <v>-150253.22607764913</v>
      </c>
      <c r="O58" s="221">
        <f t="shared" si="15"/>
        <v>-153258.2905992021</v>
      </c>
      <c r="P58" s="221">
        <f t="shared" si="15"/>
        <v>-156323.45641118614</v>
      </c>
      <c r="Q58" s="221">
        <f t="shared" si="15"/>
        <v>-159449.92553940986</v>
      </c>
      <c r="R58" s="221">
        <f t="shared" si="15"/>
        <v>-162638.92405019805</v>
      </c>
      <c r="S58" s="221">
        <f t="shared" si="15"/>
        <v>-165891.70253120203</v>
      </c>
      <c r="T58" s="221">
        <f t="shared" si="15"/>
        <v>-169209.53658182608</v>
      </c>
      <c r="U58" s="221">
        <f t="shared" si="15"/>
        <v>-172593.72731346259</v>
      </c>
      <c r="V58" s="221">
        <f t="shared" si="15"/>
        <v>-176045.60185973183</v>
      </c>
      <c r="W58" s="221">
        <f t="shared" si="15"/>
        <v>-179566.51389692648</v>
      </c>
      <c r="X58" s="221">
        <f t="shared" si="15"/>
        <v>-183157.84417486502</v>
      </c>
      <c r="Y58" s="221">
        <f t="shared" si="15"/>
        <v>-186821.00105836234</v>
      </c>
      <c r="Z58" s="221">
        <f t="shared" si="15"/>
        <v>-190557.42107952957</v>
      </c>
      <c r="AA58" s="221">
        <f t="shared" si="15"/>
        <v>-194368.56950112019</v>
      </c>
      <c r="AB58" s="221">
        <f t="shared" si="15"/>
        <v>-198255.94089114259</v>
      </c>
      <c r="AC58" s="221">
        <f t="shared" si="15"/>
        <v>-202221.05970896545</v>
      </c>
      <c r="AD58" s="221">
        <f t="shared" si="15"/>
        <v>-206265.48090314475</v>
      </c>
      <c r="AE58" s="221">
        <f t="shared" si="15"/>
        <v>-210390.79052120764</v>
      </c>
      <c r="AF58" s="221">
        <f t="shared" si="15"/>
        <v>-214598.6063316318</v>
      </c>
      <c r="AG58" s="221">
        <f t="shared" si="15"/>
        <v>-218890.57845826447</v>
      </c>
      <c r="AH58" s="221">
        <f t="shared" si="15"/>
        <v>-223268.39002742976</v>
      </c>
      <c r="AI58" s="221">
        <f t="shared" si="15"/>
        <v>-227733.75782797832</v>
      </c>
      <c r="AJ58" s="221">
        <f t="shared" si="15"/>
        <v>-232288.43298453791</v>
      </c>
      <c r="AK58" s="221">
        <f t="shared" si="15"/>
        <v>-236934.20164422868</v>
      </c>
      <c r="AL58" s="221">
        <f t="shared" si="15"/>
        <v>-241672.88567711326</v>
      </c>
      <c r="AM58" s="221">
        <f t="shared" si="15"/>
        <v>-246506.34339065553</v>
      </c>
      <c r="AN58" s="221">
        <f t="shared" si="15"/>
        <v>-251436.47025846865</v>
      </c>
      <c r="AO58" s="221">
        <f t="shared" si="15"/>
        <v>-256465.19966363802</v>
      </c>
      <c r="AP58" s="221">
        <f t="shared" si="15"/>
        <v>-261594.50365691076</v>
      </c>
      <c r="AQ58" s="221">
        <f t="shared" si="15"/>
        <v>-266826.39373004896</v>
      </c>
      <c r="AR58" s="221">
        <f t="shared" si="15"/>
        <v>-272162.92160464992</v>
      </c>
      <c r="AS58" s="221">
        <f t="shared" si="15"/>
        <v>-277606.18003674294</v>
      </c>
    </row>
    <row r="59" spans="1:46" x14ac:dyDescent="0.2">
      <c r="A59" s="227" t="s">
        <v>484</v>
      </c>
      <c r="B59" s="221"/>
      <c r="C59" s="221"/>
      <c r="D59" s="221"/>
      <c r="E59" s="221"/>
      <c r="F59" s="221"/>
      <c r="G59" s="221"/>
      <c r="H59" s="221"/>
      <c r="I59" s="221"/>
      <c r="J59" s="221"/>
      <c r="K59" s="221">
        <v>0</v>
      </c>
      <c r="L59" s="221">
        <v>0</v>
      </c>
      <c r="M59" s="221">
        <v>0</v>
      </c>
      <c r="N59" s="221">
        <v>0</v>
      </c>
      <c r="O59" s="221">
        <v>0</v>
      </c>
      <c r="P59" s="221">
        <v>0</v>
      </c>
      <c r="Q59" s="221">
        <v>0</v>
      </c>
      <c r="R59" s="221">
        <f>-IF(R$43&lt;=$B$26,0,$B$31*(1+R$44)*$B$24)</f>
        <v>0</v>
      </c>
      <c r="S59" s="221">
        <v>0</v>
      </c>
      <c r="T59" s="221">
        <v>0</v>
      </c>
      <c r="U59" s="221">
        <v>0</v>
      </c>
      <c r="V59" s="221">
        <v>0</v>
      </c>
      <c r="W59" s="221">
        <v>0</v>
      </c>
      <c r="X59" s="221">
        <v>0</v>
      </c>
      <c r="Y59" s="221">
        <v>0</v>
      </c>
      <c r="Z59" s="221">
        <v>0</v>
      </c>
      <c r="AA59" s="221">
        <v>0</v>
      </c>
      <c r="AB59" s="221">
        <v>0</v>
      </c>
      <c r="AC59" s="221">
        <v>0</v>
      </c>
      <c r="AD59" s="221">
        <v>0</v>
      </c>
      <c r="AE59" s="221">
        <v>0</v>
      </c>
      <c r="AF59" s="221">
        <v>0</v>
      </c>
      <c r="AG59" s="221">
        <v>0</v>
      </c>
      <c r="AH59" s="221">
        <v>0</v>
      </c>
      <c r="AI59" s="221">
        <v>0</v>
      </c>
      <c r="AJ59" s="221">
        <v>0</v>
      </c>
      <c r="AK59" s="221">
        <v>0</v>
      </c>
      <c r="AL59" s="221">
        <v>0</v>
      </c>
      <c r="AM59" s="221">
        <v>0</v>
      </c>
      <c r="AN59" s="221">
        <v>0</v>
      </c>
      <c r="AO59" s="221">
        <v>0</v>
      </c>
      <c r="AP59" s="221">
        <v>0</v>
      </c>
      <c r="AQ59" s="221">
        <v>0</v>
      </c>
      <c r="AR59" s="221">
        <v>0</v>
      </c>
      <c r="AS59" s="221">
        <v>0</v>
      </c>
    </row>
    <row r="60" spans="1:46" x14ac:dyDescent="0.2">
      <c r="A60" s="227" t="s">
        <v>485</v>
      </c>
      <c r="B60" s="221">
        <f>-$B$33*(1+B$45)*$B$24*365</f>
        <v>0</v>
      </c>
      <c r="C60" s="221">
        <f t="shared" ref="C60:AS60" si="16">-$B$33*(1+C$45)*$B$24*365</f>
        <v>0</v>
      </c>
      <c r="D60" s="221">
        <f t="shared" si="16"/>
        <v>0</v>
      </c>
      <c r="E60" s="221">
        <f t="shared" si="16"/>
        <v>0</v>
      </c>
      <c r="F60" s="221">
        <f t="shared" si="16"/>
        <v>0</v>
      </c>
      <c r="G60" s="221">
        <f t="shared" si="16"/>
        <v>0</v>
      </c>
      <c r="H60" s="221">
        <f t="shared" si="16"/>
        <v>0</v>
      </c>
      <c r="I60" s="221">
        <f t="shared" si="16"/>
        <v>0</v>
      </c>
      <c r="J60" s="221">
        <f t="shared" si="16"/>
        <v>0</v>
      </c>
      <c r="K60" s="221">
        <f t="shared" si="16"/>
        <v>0</v>
      </c>
      <c r="L60" s="221">
        <f t="shared" si="16"/>
        <v>0</v>
      </c>
      <c r="M60" s="221">
        <f t="shared" si="16"/>
        <v>0</v>
      </c>
      <c r="N60" s="221">
        <f t="shared" si="16"/>
        <v>0</v>
      </c>
      <c r="O60" s="221">
        <f t="shared" si="16"/>
        <v>0</v>
      </c>
      <c r="P60" s="221">
        <f t="shared" si="16"/>
        <v>0</v>
      </c>
      <c r="Q60" s="221">
        <f t="shared" si="16"/>
        <v>0</v>
      </c>
      <c r="R60" s="221">
        <f t="shared" si="16"/>
        <v>0</v>
      </c>
      <c r="S60" s="221">
        <f t="shared" si="16"/>
        <v>0</v>
      </c>
      <c r="T60" s="221">
        <f t="shared" si="16"/>
        <v>0</v>
      </c>
      <c r="U60" s="221">
        <f t="shared" si="16"/>
        <v>0</v>
      </c>
      <c r="V60" s="221">
        <f t="shared" si="16"/>
        <v>0</v>
      </c>
      <c r="W60" s="221">
        <f t="shared" si="16"/>
        <v>0</v>
      </c>
      <c r="X60" s="221">
        <f t="shared" si="16"/>
        <v>0</v>
      </c>
      <c r="Y60" s="221">
        <f t="shared" si="16"/>
        <v>0</v>
      </c>
      <c r="Z60" s="221">
        <f t="shared" si="16"/>
        <v>0</v>
      </c>
      <c r="AA60" s="221">
        <f t="shared" si="16"/>
        <v>0</v>
      </c>
      <c r="AB60" s="221">
        <f t="shared" si="16"/>
        <v>0</v>
      </c>
      <c r="AC60" s="221">
        <f t="shared" si="16"/>
        <v>0</v>
      </c>
      <c r="AD60" s="221">
        <f t="shared" si="16"/>
        <v>0</v>
      </c>
      <c r="AE60" s="221">
        <f t="shared" si="16"/>
        <v>0</v>
      </c>
      <c r="AF60" s="221">
        <f t="shared" si="16"/>
        <v>0</v>
      </c>
      <c r="AG60" s="221">
        <f t="shared" si="16"/>
        <v>0</v>
      </c>
      <c r="AH60" s="221">
        <f t="shared" si="16"/>
        <v>0</v>
      </c>
      <c r="AI60" s="221">
        <f t="shared" si="16"/>
        <v>0</v>
      </c>
      <c r="AJ60" s="221">
        <f t="shared" si="16"/>
        <v>0</v>
      </c>
      <c r="AK60" s="221">
        <f t="shared" si="16"/>
        <v>0</v>
      </c>
      <c r="AL60" s="221">
        <f t="shared" si="16"/>
        <v>0</v>
      </c>
      <c r="AM60" s="221">
        <f t="shared" si="16"/>
        <v>0</v>
      </c>
      <c r="AN60" s="221">
        <f t="shared" si="16"/>
        <v>0</v>
      </c>
      <c r="AO60" s="221">
        <f t="shared" si="16"/>
        <v>0</v>
      </c>
      <c r="AP60" s="221">
        <f t="shared" si="16"/>
        <v>0</v>
      </c>
      <c r="AQ60" s="221">
        <f t="shared" si="16"/>
        <v>0</v>
      </c>
      <c r="AR60" s="221">
        <f t="shared" si="16"/>
        <v>0</v>
      </c>
      <c r="AS60" s="221">
        <f t="shared" si="16"/>
        <v>0</v>
      </c>
    </row>
    <row r="61" spans="1:46" x14ac:dyDescent="0.2">
      <c r="A61" s="227" t="s">
        <v>485</v>
      </c>
      <c r="B61" s="221">
        <f t="shared" ref="B61:AS61" si="17">-$B$34*(1+B$45)*12</f>
        <v>0</v>
      </c>
      <c r="C61" s="221">
        <f t="shared" si="17"/>
        <v>0</v>
      </c>
      <c r="D61" s="221">
        <f t="shared" si="17"/>
        <v>0</v>
      </c>
      <c r="E61" s="221">
        <f t="shared" si="17"/>
        <v>0</v>
      </c>
      <c r="F61" s="221">
        <f t="shared" si="17"/>
        <v>0</v>
      </c>
      <c r="G61" s="221">
        <f t="shared" si="17"/>
        <v>0</v>
      </c>
      <c r="H61" s="221">
        <f t="shared" si="17"/>
        <v>0</v>
      </c>
      <c r="I61" s="221">
        <f t="shared" si="17"/>
        <v>0</v>
      </c>
      <c r="J61" s="221">
        <f t="shared" si="17"/>
        <v>0</v>
      </c>
      <c r="K61" s="221">
        <f t="shared" si="17"/>
        <v>0</v>
      </c>
      <c r="L61" s="221">
        <f t="shared" si="17"/>
        <v>0</v>
      </c>
      <c r="M61" s="221">
        <f t="shared" si="17"/>
        <v>0</v>
      </c>
      <c r="N61" s="221">
        <f t="shared" si="17"/>
        <v>0</v>
      </c>
      <c r="O61" s="221">
        <f t="shared" si="17"/>
        <v>0</v>
      </c>
      <c r="P61" s="221">
        <f t="shared" si="17"/>
        <v>0</v>
      </c>
      <c r="Q61" s="221">
        <f t="shared" si="17"/>
        <v>0</v>
      </c>
      <c r="R61" s="221">
        <f t="shared" si="17"/>
        <v>0</v>
      </c>
      <c r="S61" s="221">
        <f t="shared" si="17"/>
        <v>0</v>
      </c>
      <c r="T61" s="221">
        <f t="shared" si="17"/>
        <v>0</v>
      </c>
      <c r="U61" s="221">
        <f t="shared" si="17"/>
        <v>0</v>
      </c>
      <c r="V61" s="221">
        <f t="shared" si="17"/>
        <v>0</v>
      </c>
      <c r="W61" s="221">
        <f t="shared" si="17"/>
        <v>0</v>
      </c>
      <c r="X61" s="221">
        <f t="shared" si="17"/>
        <v>0</v>
      </c>
      <c r="Y61" s="221">
        <f t="shared" si="17"/>
        <v>0</v>
      </c>
      <c r="Z61" s="221">
        <f t="shared" si="17"/>
        <v>0</v>
      </c>
      <c r="AA61" s="221">
        <f t="shared" si="17"/>
        <v>0</v>
      </c>
      <c r="AB61" s="221">
        <f t="shared" si="17"/>
        <v>0</v>
      </c>
      <c r="AC61" s="221">
        <f t="shared" si="17"/>
        <v>0</v>
      </c>
      <c r="AD61" s="221">
        <f t="shared" si="17"/>
        <v>0</v>
      </c>
      <c r="AE61" s="221">
        <f t="shared" si="17"/>
        <v>0</v>
      </c>
      <c r="AF61" s="221">
        <f t="shared" si="17"/>
        <v>0</v>
      </c>
      <c r="AG61" s="221">
        <f t="shared" si="17"/>
        <v>0</v>
      </c>
      <c r="AH61" s="221">
        <f t="shared" si="17"/>
        <v>0</v>
      </c>
      <c r="AI61" s="221">
        <f t="shared" si="17"/>
        <v>0</v>
      </c>
      <c r="AJ61" s="221">
        <f t="shared" si="17"/>
        <v>0</v>
      </c>
      <c r="AK61" s="221">
        <f t="shared" si="17"/>
        <v>0</v>
      </c>
      <c r="AL61" s="221">
        <f t="shared" si="17"/>
        <v>0</v>
      </c>
      <c r="AM61" s="221">
        <f t="shared" si="17"/>
        <v>0</v>
      </c>
      <c r="AN61" s="221">
        <f t="shared" si="17"/>
        <v>0</v>
      </c>
      <c r="AO61" s="221">
        <f t="shared" si="17"/>
        <v>0</v>
      </c>
      <c r="AP61" s="221">
        <f t="shared" si="17"/>
        <v>0</v>
      </c>
      <c r="AQ61" s="221">
        <f t="shared" si="17"/>
        <v>0</v>
      </c>
      <c r="AR61" s="221">
        <f t="shared" si="17"/>
        <v>0</v>
      </c>
      <c r="AS61" s="221">
        <f t="shared" si="17"/>
        <v>0</v>
      </c>
    </row>
    <row r="62" spans="1:46" x14ac:dyDescent="0.2">
      <c r="A62" s="227" t="s">
        <v>490</v>
      </c>
      <c r="B62" s="221">
        <v>0</v>
      </c>
      <c r="C62" s="221">
        <v>0</v>
      </c>
      <c r="D62" s="221">
        <v>0</v>
      </c>
      <c r="E62" s="221">
        <v>0</v>
      </c>
      <c r="F62" s="221">
        <v>0</v>
      </c>
      <c r="G62" s="221">
        <v>0</v>
      </c>
      <c r="H62" s="221">
        <v>0</v>
      </c>
      <c r="I62" s="221">
        <v>0</v>
      </c>
      <c r="J62" s="221">
        <v>0</v>
      </c>
      <c r="K62" s="221">
        <v>0</v>
      </c>
      <c r="L62" s="221">
        <v>0</v>
      </c>
      <c r="M62" s="221">
        <v>0</v>
      </c>
      <c r="N62" s="221">
        <v>0</v>
      </c>
      <c r="O62" s="221">
        <v>0</v>
      </c>
      <c r="P62" s="221">
        <v>0</v>
      </c>
      <c r="Q62" s="221">
        <v>0</v>
      </c>
      <c r="R62" s="221">
        <v>0</v>
      </c>
      <c r="S62" s="221">
        <v>0</v>
      </c>
      <c r="T62" s="221">
        <v>0</v>
      </c>
      <c r="U62" s="221">
        <v>0</v>
      </c>
      <c r="V62" s="221">
        <v>0</v>
      </c>
      <c r="W62" s="221">
        <v>0</v>
      </c>
      <c r="X62" s="221">
        <v>0</v>
      </c>
      <c r="Y62" s="221">
        <v>0</v>
      </c>
      <c r="Z62" s="221">
        <v>0</v>
      </c>
      <c r="AA62" s="221">
        <v>0</v>
      </c>
      <c r="AB62" s="221">
        <v>0</v>
      </c>
      <c r="AC62" s="221">
        <v>0</v>
      </c>
      <c r="AD62" s="221">
        <v>0</v>
      </c>
      <c r="AE62" s="221">
        <v>0</v>
      </c>
      <c r="AF62" s="221">
        <v>0</v>
      </c>
      <c r="AG62" s="221">
        <v>0</v>
      </c>
      <c r="AH62" s="221">
        <v>0</v>
      </c>
      <c r="AI62" s="221">
        <v>0</v>
      </c>
      <c r="AJ62" s="221">
        <v>0</v>
      </c>
      <c r="AK62" s="221">
        <v>0</v>
      </c>
      <c r="AL62" s="221">
        <v>0</v>
      </c>
      <c r="AM62" s="221">
        <v>0</v>
      </c>
      <c r="AN62" s="221">
        <v>0</v>
      </c>
      <c r="AO62" s="221">
        <v>0</v>
      </c>
      <c r="AP62" s="221">
        <v>0</v>
      </c>
      <c r="AQ62" s="221">
        <v>0</v>
      </c>
      <c r="AR62" s="221">
        <v>0</v>
      </c>
      <c r="AS62" s="221">
        <v>0</v>
      </c>
    </row>
    <row r="63" spans="1:46" ht="14.25" x14ac:dyDescent="0.2">
      <c r="A63" s="228" t="s">
        <v>491</v>
      </c>
      <c r="B63" s="226">
        <f t="shared" ref="B63:AP63" si="18">B55+B56</f>
        <v>0</v>
      </c>
      <c r="C63" s="226">
        <f t="shared" si="18"/>
        <v>-0.05</v>
      </c>
      <c r="D63" s="226">
        <f>D55+D56</f>
        <v>370258299.95000005</v>
      </c>
      <c r="E63" s="226">
        <f t="shared" si="18"/>
        <v>36798979.950000003</v>
      </c>
      <c r="F63" s="226">
        <f t="shared" si="18"/>
        <v>-120948.35223239996</v>
      </c>
      <c r="G63" s="226">
        <f t="shared" si="18"/>
        <v>-125302.49291276636</v>
      </c>
      <c r="H63" s="226">
        <f t="shared" si="18"/>
        <v>-646560.86342987441</v>
      </c>
      <c r="I63" s="226">
        <f t="shared" si="18"/>
        <v>-132932.91352118217</v>
      </c>
      <c r="J63" s="226">
        <f t="shared" si="18"/>
        <v>-136522.10218625408</v>
      </c>
      <c r="K63" s="226">
        <f t="shared" si="18"/>
        <v>-701040.99472641456</v>
      </c>
      <c r="L63" s="226">
        <f t="shared" si="18"/>
        <v>-143713.40391891499</v>
      </c>
      <c r="M63" s="226">
        <f t="shared" si="18"/>
        <v>-147018.81220905003</v>
      </c>
      <c r="N63" s="226">
        <f t="shared" si="18"/>
        <v>-751266.13038824569</v>
      </c>
      <c r="O63" s="226">
        <f t="shared" si="18"/>
        <v>-153258.2905992021</v>
      </c>
      <c r="P63" s="226">
        <f t="shared" si="18"/>
        <v>-156323.45641118614</v>
      </c>
      <c r="Q63" s="226">
        <f t="shared" si="18"/>
        <v>-797249.62769704929</v>
      </c>
      <c r="R63" s="226">
        <f t="shared" si="18"/>
        <v>-162638.92405019805</v>
      </c>
      <c r="S63" s="226">
        <f t="shared" si="18"/>
        <v>-165891.70253120203</v>
      </c>
      <c r="T63" s="226">
        <f t="shared" si="18"/>
        <v>-846047.68290913035</v>
      </c>
      <c r="U63" s="226">
        <f t="shared" si="18"/>
        <v>-172593.72731346259</v>
      </c>
      <c r="V63" s="226">
        <f t="shared" si="18"/>
        <v>-176045.60185973183</v>
      </c>
      <c r="W63" s="226">
        <f t="shared" si="18"/>
        <v>-897832.56948463246</v>
      </c>
      <c r="X63" s="226">
        <f t="shared" si="18"/>
        <v>-183157.84417486502</v>
      </c>
      <c r="Y63" s="226">
        <f t="shared" si="18"/>
        <v>-186821.00105836234</v>
      </c>
      <c r="Z63" s="226">
        <f t="shared" si="18"/>
        <v>-952787.10539764783</v>
      </c>
      <c r="AA63" s="226">
        <f t="shared" si="18"/>
        <v>-194368.56950112019</v>
      </c>
      <c r="AB63" s="226">
        <f t="shared" si="18"/>
        <v>-198255.94089114259</v>
      </c>
      <c r="AC63" s="226">
        <f t="shared" si="18"/>
        <v>-1011105.2985448273</v>
      </c>
      <c r="AD63" s="226">
        <f t="shared" si="18"/>
        <v>-206265.48090314475</v>
      </c>
      <c r="AE63" s="226">
        <f t="shared" si="18"/>
        <v>-210390.79052120764</v>
      </c>
      <c r="AF63" s="226">
        <f t="shared" si="18"/>
        <v>-1072993.0316581591</v>
      </c>
      <c r="AG63" s="226">
        <f t="shared" si="18"/>
        <v>-218890.57845826447</v>
      </c>
      <c r="AH63" s="226">
        <f t="shared" si="18"/>
        <v>-223268.39002742976</v>
      </c>
      <c r="AI63" s="226">
        <f t="shared" si="18"/>
        <v>-1138668.7891398915</v>
      </c>
      <c r="AJ63" s="226">
        <f t="shared" si="18"/>
        <v>-232288.43298453791</v>
      </c>
      <c r="AK63" s="226">
        <f t="shared" si="18"/>
        <v>-236934.20164422868</v>
      </c>
      <c r="AL63" s="226">
        <f t="shared" si="18"/>
        <v>-1208364.4283855662</v>
      </c>
      <c r="AM63" s="226">
        <f t="shared" si="18"/>
        <v>-246506.34339065553</v>
      </c>
      <c r="AN63" s="226">
        <f t="shared" si="18"/>
        <v>-251436.47025846865</v>
      </c>
      <c r="AO63" s="226">
        <f t="shared" si="18"/>
        <v>-1282325.9983181902</v>
      </c>
      <c r="AP63" s="226">
        <f t="shared" si="18"/>
        <v>-261594.50365691076</v>
      </c>
      <c r="AQ63" s="226">
        <f>AQ55+AQ56</f>
        <v>-266826.39373004896</v>
      </c>
      <c r="AR63" s="226">
        <f>AR55+AR56</f>
        <v>-1360814.6080232495</v>
      </c>
      <c r="AS63" s="226">
        <f>AS55+AS56</f>
        <v>-277606.18003674294</v>
      </c>
    </row>
    <row r="64" spans="1:46" x14ac:dyDescent="0.2">
      <c r="A64" s="227" t="s">
        <v>257</v>
      </c>
      <c r="C64" s="221"/>
      <c r="D64" s="221"/>
      <c r="E64" s="221"/>
      <c r="F64" s="221">
        <f>-(B21)*1.18*B24/B23</f>
        <v>-11316786</v>
      </c>
      <c r="G64" s="221">
        <f>F64</f>
        <v>-11316786</v>
      </c>
      <c r="H64" s="221">
        <f t="shared" ref="H64:AQ64" si="19">G64</f>
        <v>-11316786</v>
      </c>
      <c r="I64" s="221">
        <f t="shared" si="19"/>
        <v>-11316786</v>
      </c>
      <c r="J64" s="221">
        <f t="shared" si="19"/>
        <v>-11316786</v>
      </c>
      <c r="K64" s="221">
        <f t="shared" si="19"/>
        <v>-11316786</v>
      </c>
      <c r="L64" s="221">
        <f t="shared" si="19"/>
        <v>-11316786</v>
      </c>
      <c r="M64" s="221">
        <f t="shared" si="19"/>
        <v>-11316786</v>
      </c>
      <c r="N64" s="221">
        <f t="shared" si="19"/>
        <v>-11316786</v>
      </c>
      <c r="O64" s="221">
        <f t="shared" si="19"/>
        <v>-11316786</v>
      </c>
      <c r="P64" s="221">
        <f t="shared" si="19"/>
        <v>-11316786</v>
      </c>
      <c r="Q64" s="221">
        <f t="shared" si="19"/>
        <v>-11316786</v>
      </c>
      <c r="R64" s="221">
        <f t="shared" si="19"/>
        <v>-11316786</v>
      </c>
      <c r="S64" s="221">
        <f t="shared" si="19"/>
        <v>-11316786</v>
      </c>
      <c r="T64" s="221">
        <f t="shared" si="19"/>
        <v>-11316786</v>
      </c>
      <c r="U64" s="221">
        <f t="shared" si="19"/>
        <v>-11316786</v>
      </c>
      <c r="V64" s="221">
        <f t="shared" si="19"/>
        <v>-11316786</v>
      </c>
      <c r="W64" s="221">
        <f t="shared" si="19"/>
        <v>-11316786</v>
      </c>
      <c r="X64" s="221">
        <f t="shared" si="19"/>
        <v>-11316786</v>
      </c>
      <c r="Y64" s="221">
        <f t="shared" si="19"/>
        <v>-11316786</v>
      </c>
      <c r="Z64" s="221">
        <f t="shared" si="19"/>
        <v>-11316786</v>
      </c>
      <c r="AA64" s="221">
        <f t="shared" si="19"/>
        <v>-11316786</v>
      </c>
      <c r="AB64" s="221">
        <f t="shared" si="19"/>
        <v>-11316786</v>
      </c>
      <c r="AC64" s="221">
        <f t="shared" si="19"/>
        <v>-11316786</v>
      </c>
      <c r="AD64" s="221">
        <f t="shared" si="19"/>
        <v>-11316786</v>
      </c>
      <c r="AE64" s="221">
        <f t="shared" si="19"/>
        <v>-11316786</v>
      </c>
      <c r="AF64" s="221">
        <f t="shared" si="19"/>
        <v>-11316786</v>
      </c>
      <c r="AG64" s="221">
        <f t="shared" si="19"/>
        <v>-11316786</v>
      </c>
      <c r="AH64" s="221">
        <f t="shared" si="19"/>
        <v>-11316786</v>
      </c>
      <c r="AI64" s="221">
        <f t="shared" si="19"/>
        <v>-11316786</v>
      </c>
      <c r="AJ64" s="221">
        <f t="shared" si="19"/>
        <v>-11316786</v>
      </c>
      <c r="AK64" s="221">
        <f t="shared" si="19"/>
        <v>-11316786</v>
      </c>
      <c r="AL64" s="221">
        <f t="shared" si="19"/>
        <v>-11316786</v>
      </c>
      <c r="AM64" s="221">
        <f t="shared" si="19"/>
        <v>-11316786</v>
      </c>
      <c r="AN64" s="221">
        <f t="shared" si="19"/>
        <v>-11316786</v>
      </c>
      <c r="AO64" s="221">
        <f t="shared" si="19"/>
        <v>-11316786</v>
      </c>
      <c r="AP64" s="221">
        <f t="shared" si="19"/>
        <v>-11316786</v>
      </c>
      <c r="AQ64" s="221">
        <f t="shared" si="19"/>
        <v>-11316786</v>
      </c>
      <c r="AR64" s="221">
        <f>AQ64</f>
        <v>-11316786</v>
      </c>
      <c r="AS64" s="221">
        <f>AR64</f>
        <v>-11316786</v>
      </c>
      <c r="AT64" s="229">
        <f>SUM(B64:AS64)/1.18</f>
        <v>-383619864.40677971</v>
      </c>
    </row>
    <row r="65" spans="1:51" ht="14.25" x14ac:dyDescent="0.2">
      <c r="A65" s="228" t="s">
        <v>492</v>
      </c>
      <c r="B65" s="226">
        <f t="shared" ref="B65:I65" si="20">B63+B64</f>
        <v>0</v>
      </c>
      <c r="C65" s="226">
        <f t="shared" si="20"/>
        <v>-0.05</v>
      </c>
      <c r="D65" s="226">
        <f>D63+D64</f>
        <v>370258299.95000005</v>
      </c>
      <c r="E65" s="226">
        <f>E63+E64</f>
        <v>36798979.950000003</v>
      </c>
      <c r="F65" s="226">
        <f t="shared" si="20"/>
        <v>-11437734.3522324</v>
      </c>
      <c r="G65" s="226">
        <f>G63+G64</f>
        <v>-11442088.492912766</v>
      </c>
      <c r="H65" s="226">
        <f t="shared" si="20"/>
        <v>-11963346.863429874</v>
      </c>
      <c r="I65" s="226">
        <f t="shared" si="20"/>
        <v>-11449718.913521182</v>
      </c>
      <c r="J65" s="226">
        <f>J63+E64</f>
        <v>-136522.10218625408</v>
      </c>
      <c r="K65" s="226">
        <f>K63+K64</f>
        <v>-12017826.994726414</v>
      </c>
      <c r="L65" s="226">
        <f>L63+L64</f>
        <v>-11460499.403918914</v>
      </c>
      <c r="M65" s="226">
        <f t="shared" ref="M65:AP65" si="21">M63+M64</f>
        <v>-11463804.812209049</v>
      </c>
      <c r="N65" s="226">
        <f t="shared" si="21"/>
        <v>-12068052.130388245</v>
      </c>
      <c r="O65" s="226">
        <f t="shared" si="21"/>
        <v>-11470044.290599203</v>
      </c>
      <c r="P65" s="226">
        <f t="shared" si="21"/>
        <v>-11473109.456411187</v>
      </c>
      <c r="Q65" s="226">
        <f t="shared" si="21"/>
        <v>-12114035.627697049</v>
      </c>
      <c r="R65" s="226">
        <f t="shared" si="21"/>
        <v>-11479424.924050199</v>
      </c>
      <c r="S65" s="226">
        <f t="shared" si="21"/>
        <v>-11482677.702531202</v>
      </c>
      <c r="T65" s="226">
        <f t="shared" si="21"/>
        <v>-12162833.682909131</v>
      </c>
      <c r="U65" s="226">
        <f t="shared" si="21"/>
        <v>-11489379.727313463</v>
      </c>
      <c r="V65" s="226">
        <f t="shared" si="21"/>
        <v>-11492831.601859732</v>
      </c>
      <c r="W65" s="226">
        <f t="shared" si="21"/>
        <v>-12214618.569484632</v>
      </c>
      <c r="X65" s="226">
        <f t="shared" si="21"/>
        <v>-11499943.844174866</v>
      </c>
      <c r="Y65" s="226">
        <f t="shared" si="21"/>
        <v>-11503607.001058362</v>
      </c>
      <c r="Z65" s="226">
        <f t="shared" si="21"/>
        <v>-12269573.105397647</v>
      </c>
      <c r="AA65" s="226">
        <f t="shared" si="21"/>
        <v>-11511154.569501121</v>
      </c>
      <c r="AB65" s="226">
        <f t="shared" si="21"/>
        <v>-11515041.940891143</v>
      </c>
      <c r="AC65" s="226">
        <f t="shared" si="21"/>
        <v>-12327891.298544828</v>
      </c>
      <c r="AD65" s="226">
        <f t="shared" si="21"/>
        <v>-11523051.480903145</v>
      </c>
      <c r="AE65" s="226">
        <f t="shared" si="21"/>
        <v>-11527176.790521208</v>
      </c>
      <c r="AF65" s="226">
        <f t="shared" si="21"/>
        <v>-12389779.03165816</v>
      </c>
      <c r="AG65" s="226">
        <f t="shared" si="21"/>
        <v>-11535676.578458264</v>
      </c>
      <c r="AH65" s="226">
        <f t="shared" si="21"/>
        <v>-11540054.39002743</v>
      </c>
      <c r="AI65" s="226">
        <f t="shared" si="21"/>
        <v>-12455454.789139891</v>
      </c>
      <c r="AJ65" s="226">
        <f t="shared" si="21"/>
        <v>-11549074.432984538</v>
      </c>
      <c r="AK65" s="226">
        <f t="shared" si="21"/>
        <v>-11553720.201644229</v>
      </c>
      <c r="AL65" s="226">
        <f t="shared" si="21"/>
        <v>-12525150.428385567</v>
      </c>
      <c r="AM65" s="226">
        <f t="shared" si="21"/>
        <v>-11563292.343390655</v>
      </c>
      <c r="AN65" s="226">
        <f t="shared" si="21"/>
        <v>-11568222.470258469</v>
      </c>
      <c r="AO65" s="226">
        <f t="shared" si="21"/>
        <v>-12599111.99831819</v>
      </c>
      <c r="AP65" s="226">
        <f t="shared" si="21"/>
        <v>-11578380.503656911</v>
      </c>
      <c r="AQ65" s="226">
        <f>AQ63+AQ64</f>
        <v>-11583612.393730048</v>
      </c>
      <c r="AR65" s="226">
        <f>AR63+AR64</f>
        <v>-12677600.608023249</v>
      </c>
      <c r="AS65" s="226">
        <f>AS63+AS64</f>
        <v>-11594392.180036742</v>
      </c>
    </row>
    <row r="66" spans="1:51" x14ac:dyDescent="0.2">
      <c r="A66" s="227" t="s">
        <v>256</v>
      </c>
      <c r="B66" s="221">
        <f t="shared" ref="B66:AP66" si="22">-B52</f>
        <v>0</v>
      </c>
      <c r="C66" s="221">
        <f t="shared" si="22"/>
        <v>0</v>
      </c>
      <c r="D66" s="221">
        <f t="shared" si="22"/>
        <v>0</v>
      </c>
      <c r="E66" s="221">
        <f>-E52</f>
        <v>0</v>
      </c>
      <c r="F66" s="221">
        <f t="shared" si="22"/>
        <v>0</v>
      </c>
      <c r="G66" s="221">
        <f t="shared" si="22"/>
        <v>0</v>
      </c>
      <c r="H66" s="221">
        <f t="shared" si="22"/>
        <v>0</v>
      </c>
      <c r="I66" s="221">
        <f t="shared" si="22"/>
        <v>0</v>
      </c>
      <c r="J66" s="221">
        <f t="shared" si="22"/>
        <v>0</v>
      </c>
      <c r="K66" s="221">
        <f t="shared" si="22"/>
        <v>0</v>
      </c>
      <c r="L66" s="221">
        <f t="shared" si="22"/>
        <v>0</v>
      </c>
      <c r="M66" s="221">
        <f t="shared" si="22"/>
        <v>0</v>
      </c>
      <c r="N66" s="221">
        <f t="shared" si="22"/>
        <v>0</v>
      </c>
      <c r="O66" s="221">
        <f t="shared" si="22"/>
        <v>0</v>
      </c>
      <c r="P66" s="221">
        <f t="shared" si="22"/>
        <v>0</v>
      </c>
      <c r="Q66" s="221">
        <f t="shared" si="22"/>
        <v>0</v>
      </c>
      <c r="R66" s="221">
        <f t="shared" si="22"/>
        <v>0</v>
      </c>
      <c r="S66" s="221">
        <f t="shared" si="22"/>
        <v>0</v>
      </c>
      <c r="T66" s="221">
        <f t="shared" si="22"/>
        <v>0</v>
      </c>
      <c r="U66" s="221">
        <f t="shared" si="22"/>
        <v>0</v>
      </c>
      <c r="V66" s="221">
        <f t="shared" si="22"/>
        <v>0</v>
      </c>
      <c r="W66" s="221">
        <f t="shared" si="22"/>
        <v>0</v>
      </c>
      <c r="X66" s="221">
        <f t="shared" si="22"/>
        <v>0</v>
      </c>
      <c r="Y66" s="221">
        <f t="shared" si="22"/>
        <v>0</v>
      </c>
      <c r="Z66" s="221">
        <f t="shared" si="22"/>
        <v>0</v>
      </c>
      <c r="AA66" s="221">
        <f t="shared" si="22"/>
        <v>0</v>
      </c>
      <c r="AB66" s="221">
        <f t="shared" si="22"/>
        <v>0</v>
      </c>
      <c r="AC66" s="221">
        <f t="shared" si="22"/>
        <v>0</v>
      </c>
      <c r="AD66" s="221">
        <f t="shared" si="22"/>
        <v>0</v>
      </c>
      <c r="AE66" s="221">
        <f t="shared" si="22"/>
        <v>0</v>
      </c>
      <c r="AF66" s="221">
        <f t="shared" si="22"/>
        <v>0</v>
      </c>
      <c r="AG66" s="221">
        <f t="shared" si="22"/>
        <v>0</v>
      </c>
      <c r="AH66" s="221">
        <f t="shared" si="22"/>
        <v>0</v>
      </c>
      <c r="AI66" s="221">
        <f t="shared" si="22"/>
        <v>0</v>
      </c>
      <c r="AJ66" s="221">
        <f t="shared" si="22"/>
        <v>0</v>
      </c>
      <c r="AK66" s="221">
        <f t="shared" si="22"/>
        <v>0</v>
      </c>
      <c r="AL66" s="221">
        <f t="shared" si="22"/>
        <v>0</v>
      </c>
      <c r="AM66" s="221">
        <f t="shared" si="22"/>
        <v>0</v>
      </c>
      <c r="AN66" s="221">
        <f t="shared" si="22"/>
        <v>0</v>
      </c>
      <c r="AO66" s="221">
        <f t="shared" si="22"/>
        <v>0</v>
      </c>
      <c r="AP66" s="221">
        <f t="shared" si="22"/>
        <v>0</v>
      </c>
      <c r="AQ66" s="221">
        <f>-AQ52</f>
        <v>0</v>
      </c>
      <c r="AR66" s="221">
        <f>-AR52</f>
        <v>0</v>
      </c>
      <c r="AS66" s="221">
        <f>-AS52</f>
        <v>0</v>
      </c>
    </row>
    <row r="67" spans="1:51" ht="14.25" x14ac:dyDescent="0.2">
      <c r="A67" s="228" t="s">
        <v>260</v>
      </c>
      <c r="B67" s="226">
        <f t="shared" ref="B67:AP67" si="23">B65+B66</f>
        <v>0</v>
      </c>
      <c r="C67" s="226">
        <f t="shared" si="23"/>
        <v>-0.05</v>
      </c>
      <c r="D67" s="226">
        <f t="shared" si="23"/>
        <v>370258299.95000005</v>
      </c>
      <c r="E67" s="226">
        <f>E65+E66</f>
        <v>36798979.950000003</v>
      </c>
      <c r="F67" s="226">
        <f t="shared" si="23"/>
        <v>-11437734.3522324</v>
      </c>
      <c r="G67" s="226">
        <f t="shared" si="23"/>
        <v>-11442088.492912766</v>
      </c>
      <c r="H67" s="226">
        <f t="shared" si="23"/>
        <v>-11963346.863429874</v>
      </c>
      <c r="I67" s="226">
        <f t="shared" si="23"/>
        <v>-11449718.913521182</v>
      </c>
      <c r="J67" s="226">
        <f t="shared" si="23"/>
        <v>-136522.10218625408</v>
      </c>
      <c r="K67" s="226">
        <f t="shared" si="23"/>
        <v>-12017826.994726414</v>
      </c>
      <c r="L67" s="226">
        <f t="shared" si="23"/>
        <v>-11460499.403918914</v>
      </c>
      <c r="M67" s="226">
        <f t="shared" si="23"/>
        <v>-11463804.812209049</v>
      </c>
      <c r="N67" s="226">
        <f t="shared" si="23"/>
        <v>-12068052.130388245</v>
      </c>
      <c r="O67" s="226">
        <f t="shared" si="23"/>
        <v>-11470044.290599203</v>
      </c>
      <c r="P67" s="226">
        <f t="shared" si="23"/>
        <v>-11473109.456411187</v>
      </c>
      <c r="Q67" s="226">
        <f t="shared" si="23"/>
        <v>-12114035.627697049</v>
      </c>
      <c r="R67" s="226">
        <f t="shared" si="23"/>
        <v>-11479424.924050199</v>
      </c>
      <c r="S67" s="226">
        <f t="shared" si="23"/>
        <v>-11482677.702531202</v>
      </c>
      <c r="T67" s="226">
        <f t="shared" si="23"/>
        <v>-12162833.682909131</v>
      </c>
      <c r="U67" s="226">
        <f t="shared" si="23"/>
        <v>-11489379.727313463</v>
      </c>
      <c r="V67" s="226">
        <f t="shared" si="23"/>
        <v>-11492831.601859732</v>
      </c>
      <c r="W67" s="226">
        <f t="shared" si="23"/>
        <v>-12214618.569484632</v>
      </c>
      <c r="X67" s="226">
        <f t="shared" si="23"/>
        <v>-11499943.844174866</v>
      </c>
      <c r="Y67" s="226">
        <f t="shared" si="23"/>
        <v>-11503607.001058362</v>
      </c>
      <c r="Z67" s="226">
        <f t="shared" si="23"/>
        <v>-12269573.105397647</v>
      </c>
      <c r="AA67" s="226">
        <f t="shared" si="23"/>
        <v>-11511154.569501121</v>
      </c>
      <c r="AB67" s="226">
        <f t="shared" si="23"/>
        <v>-11515041.940891143</v>
      </c>
      <c r="AC67" s="226">
        <f t="shared" si="23"/>
        <v>-12327891.298544828</v>
      </c>
      <c r="AD67" s="226">
        <f t="shared" si="23"/>
        <v>-11523051.480903145</v>
      </c>
      <c r="AE67" s="226">
        <f t="shared" si="23"/>
        <v>-11527176.790521208</v>
      </c>
      <c r="AF67" s="226">
        <f t="shared" si="23"/>
        <v>-12389779.03165816</v>
      </c>
      <c r="AG67" s="226">
        <f t="shared" si="23"/>
        <v>-11535676.578458264</v>
      </c>
      <c r="AH67" s="226">
        <f t="shared" si="23"/>
        <v>-11540054.39002743</v>
      </c>
      <c r="AI67" s="226">
        <f t="shared" si="23"/>
        <v>-12455454.789139891</v>
      </c>
      <c r="AJ67" s="226">
        <f t="shared" si="23"/>
        <v>-11549074.432984538</v>
      </c>
      <c r="AK67" s="226">
        <f t="shared" si="23"/>
        <v>-11553720.201644229</v>
      </c>
      <c r="AL67" s="226">
        <f t="shared" si="23"/>
        <v>-12525150.428385567</v>
      </c>
      <c r="AM67" s="226">
        <f t="shared" si="23"/>
        <v>-11563292.343390655</v>
      </c>
      <c r="AN67" s="226">
        <f t="shared" si="23"/>
        <v>-11568222.470258469</v>
      </c>
      <c r="AO67" s="226">
        <f t="shared" si="23"/>
        <v>-12599111.99831819</v>
      </c>
      <c r="AP67" s="226">
        <f t="shared" si="23"/>
        <v>-11578380.503656911</v>
      </c>
      <c r="AQ67" s="226">
        <f>AQ65+AQ66</f>
        <v>-11583612.393730048</v>
      </c>
      <c r="AR67" s="226">
        <f>AR65+AR66</f>
        <v>-12677600.608023249</v>
      </c>
      <c r="AS67" s="226">
        <f>AS65+AS66</f>
        <v>-11594392.180036742</v>
      </c>
    </row>
    <row r="68" spans="1:51" x14ac:dyDescent="0.2">
      <c r="A68" s="227" t="s">
        <v>255</v>
      </c>
      <c r="B68" s="221">
        <f t="shared" ref="B68:AP68" si="24">-B67*$B$32</f>
        <v>0</v>
      </c>
      <c r="C68" s="221">
        <f t="shared" si="24"/>
        <v>1.0000000000000002E-2</v>
      </c>
      <c r="D68" s="221">
        <f t="shared" si="24"/>
        <v>-74051659.99000001</v>
      </c>
      <c r="E68" s="221">
        <f>-E67*$B$32</f>
        <v>-7359795.9900000012</v>
      </c>
      <c r="F68" s="221">
        <f t="shared" si="24"/>
        <v>2287546.8704464803</v>
      </c>
      <c r="G68" s="221">
        <f t="shared" si="24"/>
        <v>2288417.6985825533</v>
      </c>
      <c r="H68" s="221">
        <f t="shared" si="24"/>
        <v>2392669.3726859749</v>
      </c>
      <c r="I68" s="221">
        <f t="shared" si="24"/>
        <v>2289943.7827042365</v>
      </c>
      <c r="J68" s="221">
        <f t="shared" si="24"/>
        <v>27304.420437250817</v>
      </c>
      <c r="K68" s="221">
        <f t="shared" si="24"/>
        <v>2403565.3989452827</v>
      </c>
      <c r="L68" s="221">
        <f t="shared" si="24"/>
        <v>2292099.8807837828</v>
      </c>
      <c r="M68" s="221">
        <f t="shared" si="24"/>
        <v>2292760.9624418099</v>
      </c>
      <c r="N68" s="221">
        <f t="shared" si="24"/>
        <v>2413610.426077649</v>
      </c>
      <c r="O68" s="221">
        <f t="shared" si="24"/>
        <v>2294008.8581198407</v>
      </c>
      <c r="P68" s="221">
        <f t="shared" si="24"/>
        <v>2294621.8912822376</v>
      </c>
      <c r="Q68" s="221">
        <f t="shared" si="24"/>
        <v>2422807.1255394099</v>
      </c>
      <c r="R68" s="221">
        <f t="shared" si="24"/>
        <v>2295884.9848100399</v>
      </c>
      <c r="S68" s="221">
        <f t="shared" si="24"/>
        <v>2296535.5405062404</v>
      </c>
      <c r="T68" s="221">
        <f t="shared" si="24"/>
        <v>2432566.7365818261</v>
      </c>
      <c r="U68" s="221">
        <f t="shared" si="24"/>
        <v>2297875.9454626925</v>
      </c>
      <c r="V68" s="221">
        <f t="shared" si="24"/>
        <v>2298566.3203719463</v>
      </c>
      <c r="W68" s="221">
        <f t="shared" si="24"/>
        <v>2442923.7138969265</v>
      </c>
      <c r="X68" s="221">
        <f t="shared" si="24"/>
        <v>2299988.7688349732</v>
      </c>
      <c r="Y68" s="221">
        <f t="shared" si="24"/>
        <v>2300721.4002116728</v>
      </c>
      <c r="Z68" s="221">
        <f t="shared" si="24"/>
        <v>2453914.6210795296</v>
      </c>
      <c r="AA68" s="221">
        <f t="shared" si="24"/>
        <v>2302230.913900224</v>
      </c>
      <c r="AB68" s="221">
        <f t="shared" si="24"/>
        <v>2303008.3881782289</v>
      </c>
      <c r="AC68" s="221">
        <f t="shared" si="24"/>
        <v>2465578.2597089657</v>
      </c>
      <c r="AD68" s="221">
        <f t="shared" si="24"/>
        <v>2304610.2961806292</v>
      </c>
      <c r="AE68" s="221">
        <f t="shared" si="24"/>
        <v>2305435.3581042415</v>
      </c>
      <c r="AF68" s="221">
        <f t="shared" si="24"/>
        <v>2477955.8063316322</v>
      </c>
      <c r="AG68" s="221">
        <f t="shared" si="24"/>
        <v>2307135.3156916532</v>
      </c>
      <c r="AH68" s="221">
        <f t="shared" si="24"/>
        <v>2308010.878005486</v>
      </c>
      <c r="AI68" s="221">
        <f t="shared" si="24"/>
        <v>2491090.9578279783</v>
      </c>
      <c r="AJ68" s="221">
        <f t="shared" si="24"/>
        <v>2309814.8865969079</v>
      </c>
      <c r="AK68" s="221">
        <f t="shared" si="24"/>
        <v>2310744.0403288458</v>
      </c>
      <c r="AL68" s="221">
        <f t="shared" si="24"/>
        <v>2505030.0856771134</v>
      </c>
      <c r="AM68" s="221">
        <f t="shared" si="24"/>
        <v>2312658.4686781312</v>
      </c>
      <c r="AN68" s="221">
        <f t="shared" si="24"/>
        <v>2313644.4940516939</v>
      </c>
      <c r="AO68" s="221">
        <f t="shared" si="24"/>
        <v>2519822.3996636383</v>
      </c>
      <c r="AP68" s="221">
        <f t="shared" si="24"/>
        <v>2315676.1007313821</v>
      </c>
      <c r="AQ68" s="221">
        <f>-AQ67*$B$32</f>
        <v>2316722.4787460095</v>
      </c>
      <c r="AR68" s="221">
        <f>-AR67*$B$32</f>
        <v>2535520.1216046498</v>
      </c>
      <c r="AS68" s="221">
        <f>-AS67*$B$32</f>
        <v>2318878.4360073484</v>
      </c>
    </row>
    <row r="69" spans="1:51" ht="15" thickBot="1" x14ac:dyDescent="0.25">
      <c r="A69" s="230" t="s">
        <v>259</v>
      </c>
      <c r="B69" s="219">
        <f t="shared" ref="B69:AP69" si="25">B67+B68</f>
        <v>0</v>
      </c>
      <c r="C69" s="219">
        <f t="shared" si="25"/>
        <v>-0.04</v>
      </c>
      <c r="D69" s="219">
        <f t="shared" si="25"/>
        <v>296206639.96000004</v>
      </c>
      <c r="E69" s="219">
        <f>E67+E68</f>
        <v>29439183.960000001</v>
      </c>
      <c r="F69" s="219">
        <f t="shared" si="25"/>
        <v>-9150187.4817859195</v>
      </c>
      <c r="G69" s="219">
        <f t="shared" si="25"/>
        <v>-9153670.7943302132</v>
      </c>
      <c r="H69" s="219">
        <f t="shared" si="25"/>
        <v>-9570677.4907438997</v>
      </c>
      <c r="I69" s="219">
        <f t="shared" si="25"/>
        <v>-9159775.1308169458</v>
      </c>
      <c r="J69" s="219">
        <f t="shared" si="25"/>
        <v>-109217.68174900327</v>
      </c>
      <c r="K69" s="219">
        <f t="shared" si="25"/>
        <v>-9614261.5957811307</v>
      </c>
      <c r="L69" s="219">
        <f t="shared" si="25"/>
        <v>-9168399.5231351312</v>
      </c>
      <c r="M69" s="219">
        <f t="shared" si="25"/>
        <v>-9171043.8497672398</v>
      </c>
      <c r="N69" s="219">
        <f t="shared" si="25"/>
        <v>-9654441.704310596</v>
      </c>
      <c r="O69" s="219">
        <f t="shared" si="25"/>
        <v>-9176035.4324793629</v>
      </c>
      <c r="P69" s="219">
        <f t="shared" si="25"/>
        <v>-9178487.5651289485</v>
      </c>
      <c r="Q69" s="219">
        <f t="shared" si="25"/>
        <v>-9691228.5021576397</v>
      </c>
      <c r="R69" s="219">
        <f t="shared" si="25"/>
        <v>-9183539.9392401595</v>
      </c>
      <c r="S69" s="219">
        <f t="shared" si="25"/>
        <v>-9186142.1620249618</v>
      </c>
      <c r="T69" s="219">
        <f t="shared" si="25"/>
        <v>-9730266.9463273045</v>
      </c>
      <c r="U69" s="219">
        <f t="shared" si="25"/>
        <v>-9191503.7818507701</v>
      </c>
      <c r="V69" s="219">
        <f t="shared" si="25"/>
        <v>-9194265.2814877853</v>
      </c>
      <c r="W69" s="219">
        <f t="shared" si="25"/>
        <v>-9771694.855587706</v>
      </c>
      <c r="X69" s="219">
        <f t="shared" si="25"/>
        <v>-9199955.0753398929</v>
      </c>
      <c r="Y69" s="219">
        <f t="shared" si="25"/>
        <v>-9202885.6008466892</v>
      </c>
      <c r="Z69" s="219">
        <f t="shared" si="25"/>
        <v>-9815658.4843181185</v>
      </c>
      <c r="AA69" s="219">
        <f t="shared" si="25"/>
        <v>-9208923.6556008961</v>
      </c>
      <c r="AB69" s="219">
        <f t="shared" si="25"/>
        <v>-9212033.5527129136</v>
      </c>
      <c r="AC69" s="219">
        <f t="shared" si="25"/>
        <v>-9862313.0388358627</v>
      </c>
      <c r="AD69" s="219">
        <f t="shared" si="25"/>
        <v>-9218441.1847225167</v>
      </c>
      <c r="AE69" s="219">
        <f t="shared" si="25"/>
        <v>-9221741.4324169662</v>
      </c>
      <c r="AF69" s="219">
        <f t="shared" si="25"/>
        <v>-9911823.2253265269</v>
      </c>
      <c r="AG69" s="219">
        <f t="shared" si="25"/>
        <v>-9228541.2627666108</v>
      </c>
      <c r="AH69" s="219">
        <f t="shared" si="25"/>
        <v>-9232043.5120219439</v>
      </c>
      <c r="AI69" s="219">
        <f t="shared" si="25"/>
        <v>-9964363.8313119132</v>
      </c>
      <c r="AJ69" s="219">
        <f t="shared" si="25"/>
        <v>-9239259.5463876314</v>
      </c>
      <c r="AK69" s="219">
        <f t="shared" si="25"/>
        <v>-9242976.1613153834</v>
      </c>
      <c r="AL69" s="219">
        <f t="shared" si="25"/>
        <v>-10020120.342708454</v>
      </c>
      <c r="AM69" s="219">
        <f t="shared" si="25"/>
        <v>-9250633.8747125231</v>
      </c>
      <c r="AN69" s="219">
        <f t="shared" si="25"/>
        <v>-9254577.9762067758</v>
      </c>
      <c r="AO69" s="219">
        <f t="shared" si="25"/>
        <v>-10079289.598654551</v>
      </c>
      <c r="AP69" s="219">
        <f t="shared" si="25"/>
        <v>-9262704.4029255286</v>
      </c>
      <c r="AQ69" s="219">
        <f>AQ67+AQ68</f>
        <v>-9266889.9149840381</v>
      </c>
      <c r="AR69" s="219">
        <f>AR67+AR68</f>
        <v>-10142080.486418599</v>
      </c>
      <c r="AS69" s="219">
        <f>AS67+AS68</f>
        <v>-9275513.7440293934</v>
      </c>
    </row>
    <row r="70" spans="1:51" ht="16.5" thickBot="1" x14ac:dyDescent="0.25">
      <c r="A70" s="222"/>
      <c r="B70" s="231"/>
      <c r="C70" s="231"/>
      <c r="D70" s="231"/>
      <c r="E70" s="231"/>
      <c r="F70" s="231"/>
      <c r="G70" s="231"/>
      <c r="H70" s="231">
        <v>0.5</v>
      </c>
      <c r="I70" s="231">
        <f>AVERAGE(H53:I53)</f>
        <v>1.5</v>
      </c>
      <c r="J70" s="231">
        <f t="shared" ref="J70:AQ70" si="26">AVERAGE(I53:J53)</f>
        <v>2.5</v>
      </c>
      <c r="K70" s="231">
        <f t="shared" si="26"/>
        <v>3.5</v>
      </c>
      <c r="L70" s="231">
        <f>AVERAGE(K53:L53)</f>
        <v>4.5</v>
      </c>
      <c r="M70" s="231">
        <f t="shared" si="26"/>
        <v>5.5</v>
      </c>
      <c r="N70" s="231">
        <f t="shared" si="26"/>
        <v>6.5</v>
      </c>
      <c r="O70" s="231">
        <f t="shared" si="26"/>
        <v>7.5</v>
      </c>
      <c r="P70" s="231">
        <f t="shared" si="26"/>
        <v>8.5</v>
      </c>
      <c r="Q70" s="231">
        <f t="shared" si="26"/>
        <v>9.5</v>
      </c>
      <c r="R70" s="231">
        <f t="shared" si="26"/>
        <v>10.5</v>
      </c>
      <c r="S70" s="231">
        <f t="shared" si="26"/>
        <v>11.5</v>
      </c>
      <c r="T70" s="231">
        <f t="shared" si="26"/>
        <v>12.5</v>
      </c>
      <c r="U70" s="231">
        <f t="shared" si="26"/>
        <v>13.5</v>
      </c>
      <c r="V70" s="231">
        <f t="shared" si="26"/>
        <v>14.5</v>
      </c>
      <c r="W70" s="231">
        <f t="shared" si="26"/>
        <v>15.5</v>
      </c>
      <c r="X70" s="231">
        <f t="shared" si="26"/>
        <v>16.5</v>
      </c>
      <c r="Y70" s="231">
        <f t="shared" si="26"/>
        <v>17.5</v>
      </c>
      <c r="Z70" s="231">
        <f t="shared" si="26"/>
        <v>18.5</v>
      </c>
      <c r="AA70" s="231">
        <f t="shared" si="26"/>
        <v>19.5</v>
      </c>
      <c r="AB70" s="231">
        <f t="shared" si="26"/>
        <v>20.5</v>
      </c>
      <c r="AC70" s="231">
        <f t="shared" si="26"/>
        <v>21.5</v>
      </c>
      <c r="AD70" s="231">
        <f t="shared" si="26"/>
        <v>22.5</v>
      </c>
      <c r="AE70" s="231">
        <f t="shared" si="26"/>
        <v>23.5</v>
      </c>
      <c r="AF70" s="231">
        <f t="shared" si="26"/>
        <v>24.5</v>
      </c>
      <c r="AG70" s="231">
        <f t="shared" si="26"/>
        <v>25.5</v>
      </c>
      <c r="AH70" s="231">
        <f t="shared" si="26"/>
        <v>26.5</v>
      </c>
      <c r="AI70" s="231">
        <f t="shared" si="26"/>
        <v>27.5</v>
      </c>
      <c r="AJ70" s="231">
        <f t="shared" si="26"/>
        <v>28.5</v>
      </c>
      <c r="AK70" s="231">
        <f t="shared" si="26"/>
        <v>29.5</v>
      </c>
      <c r="AL70" s="231">
        <f t="shared" si="26"/>
        <v>30.5</v>
      </c>
      <c r="AM70" s="231">
        <f t="shared" si="26"/>
        <v>31.5</v>
      </c>
      <c r="AN70" s="231">
        <f t="shared" si="26"/>
        <v>32.5</v>
      </c>
      <c r="AO70" s="231">
        <f t="shared" si="26"/>
        <v>33.5</v>
      </c>
      <c r="AP70" s="231">
        <f t="shared" si="26"/>
        <v>34.5</v>
      </c>
      <c r="AQ70" s="231">
        <f t="shared" si="26"/>
        <v>35.5</v>
      </c>
      <c r="AR70" s="231">
        <f>AVERAGE(AQ53:AR53)</f>
        <v>36.5</v>
      </c>
      <c r="AS70" s="231">
        <f>AVERAGE(AR53:AS53)</f>
        <v>37.5</v>
      </c>
      <c r="AT70" s="232"/>
      <c r="AU70" s="232"/>
      <c r="AV70" s="232"/>
      <c r="AW70" s="233"/>
      <c r="AX70" s="233"/>
      <c r="AY70" s="233"/>
    </row>
    <row r="71" spans="1:51" x14ac:dyDescent="0.2">
      <c r="A71" s="220" t="s">
        <v>258</v>
      </c>
      <c r="B71" s="214">
        <f>B54</f>
        <v>1</v>
      </c>
      <c r="C71" s="214">
        <f t="shared" ref="C71:AP71" si="27">C54</f>
        <v>2</v>
      </c>
      <c r="D71" s="214">
        <f t="shared" si="27"/>
        <v>3</v>
      </c>
      <c r="E71" s="214">
        <f t="shared" si="27"/>
        <v>4</v>
      </c>
      <c r="F71" s="214">
        <f t="shared" si="27"/>
        <v>5</v>
      </c>
      <c r="G71" s="214">
        <f t="shared" si="27"/>
        <v>6</v>
      </c>
      <c r="H71" s="214">
        <f t="shared" si="27"/>
        <v>7</v>
      </c>
      <c r="I71" s="214">
        <f t="shared" si="27"/>
        <v>8</v>
      </c>
      <c r="J71" s="214">
        <f t="shared" si="27"/>
        <v>9</v>
      </c>
      <c r="K71" s="214">
        <f t="shared" si="27"/>
        <v>10</v>
      </c>
      <c r="L71" s="214">
        <f t="shared" si="27"/>
        <v>11</v>
      </c>
      <c r="M71" s="214">
        <f t="shared" si="27"/>
        <v>12</v>
      </c>
      <c r="N71" s="214">
        <f t="shared" si="27"/>
        <v>13</v>
      </c>
      <c r="O71" s="214">
        <f t="shared" si="27"/>
        <v>14</v>
      </c>
      <c r="P71" s="214">
        <f t="shared" si="27"/>
        <v>15</v>
      </c>
      <c r="Q71" s="214">
        <f t="shared" si="27"/>
        <v>16</v>
      </c>
      <c r="R71" s="214">
        <f t="shared" si="27"/>
        <v>17</v>
      </c>
      <c r="S71" s="214">
        <f t="shared" si="27"/>
        <v>18</v>
      </c>
      <c r="T71" s="214">
        <f t="shared" si="27"/>
        <v>19</v>
      </c>
      <c r="U71" s="214">
        <f t="shared" si="27"/>
        <v>20</v>
      </c>
      <c r="V71" s="214">
        <f t="shared" si="27"/>
        <v>21</v>
      </c>
      <c r="W71" s="214">
        <f t="shared" si="27"/>
        <v>22</v>
      </c>
      <c r="X71" s="214">
        <f t="shared" si="27"/>
        <v>23</v>
      </c>
      <c r="Y71" s="214">
        <f t="shared" si="27"/>
        <v>24</v>
      </c>
      <c r="Z71" s="214">
        <f t="shared" si="27"/>
        <v>25</v>
      </c>
      <c r="AA71" s="214">
        <f t="shared" si="27"/>
        <v>26</v>
      </c>
      <c r="AB71" s="214">
        <f t="shared" si="27"/>
        <v>27</v>
      </c>
      <c r="AC71" s="214">
        <f t="shared" si="27"/>
        <v>28</v>
      </c>
      <c r="AD71" s="214">
        <f t="shared" si="27"/>
        <v>29</v>
      </c>
      <c r="AE71" s="214">
        <f t="shared" si="27"/>
        <v>30</v>
      </c>
      <c r="AF71" s="214">
        <f t="shared" si="27"/>
        <v>31</v>
      </c>
      <c r="AG71" s="214">
        <f t="shared" si="27"/>
        <v>32</v>
      </c>
      <c r="AH71" s="214">
        <f t="shared" si="27"/>
        <v>33</v>
      </c>
      <c r="AI71" s="214">
        <f t="shared" si="27"/>
        <v>34</v>
      </c>
      <c r="AJ71" s="214">
        <f t="shared" si="27"/>
        <v>35</v>
      </c>
      <c r="AK71" s="214">
        <f t="shared" si="27"/>
        <v>36</v>
      </c>
      <c r="AL71" s="214">
        <f t="shared" si="27"/>
        <v>37</v>
      </c>
      <c r="AM71" s="214">
        <f t="shared" si="27"/>
        <v>38</v>
      </c>
      <c r="AN71" s="214">
        <f t="shared" si="27"/>
        <v>39</v>
      </c>
      <c r="AO71" s="214">
        <f t="shared" si="27"/>
        <v>40</v>
      </c>
      <c r="AP71" s="214">
        <f t="shared" si="27"/>
        <v>41</v>
      </c>
      <c r="AQ71" s="214">
        <f>AQ54</f>
        <v>42</v>
      </c>
      <c r="AR71" s="214">
        <f>AR54</f>
        <v>43</v>
      </c>
      <c r="AS71" s="214">
        <f>AS54</f>
        <v>44</v>
      </c>
    </row>
    <row r="72" spans="1:51" ht="14.25" x14ac:dyDescent="0.2">
      <c r="A72" s="225" t="s">
        <v>492</v>
      </c>
      <c r="B72" s="226">
        <f t="shared" ref="B72:AP72" si="28">B65</f>
        <v>0</v>
      </c>
      <c r="C72" s="226">
        <f t="shared" si="28"/>
        <v>-0.05</v>
      </c>
      <c r="D72" s="226">
        <f>D65</f>
        <v>370258299.95000005</v>
      </c>
      <c r="E72" s="226">
        <f>E65</f>
        <v>36798979.950000003</v>
      </c>
      <c r="F72" s="226">
        <f t="shared" si="28"/>
        <v>-11437734.3522324</v>
      </c>
      <c r="G72" s="226">
        <f t="shared" si="28"/>
        <v>-11442088.492912766</v>
      </c>
      <c r="H72" s="226">
        <f t="shared" si="28"/>
        <v>-11963346.863429874</v>
      </c>
      <c r="I72" s="226">
        <f t="shared" si="28"/>
        <v>-11449718.913521182</v>
      </c>
      <c r="J72" s="226">
        <f t="shared" si="28"/>
        <v>-136522.10218625408</v>
      </c>
      <c r="K72" s="226">
        <f t="shared" si="28"/>
        <v>-12017826.994726414</v>
      </c>
      <c r="L72" s="226">
        <f t="shared" si="28"/>
        <v>-11460499.403918914</v>
      </c>
      <c r="M72" s="226">
        <f t="shared" si="28"/>
        <v>-11463804.812209049</v>
      </c>
      <c r="N72" s="226">
        <f t="shared" si="28"/>
        <v>-12068052.130388245</v>
      </c>
      <c r="O72" s="226">
        <f t="shared" si="28"/>
        <v>-11470044.290599203</v>
      </c>
      <c r="P72" s="226">
        <f t="shared" si="28"/>
        <v>-11473109.456411187</v>
      </c>
      <c r="Q72" s="226">
        <f t="shared" si="28"/>
        <v>-12114035.627697049</v>
      </c>
      <c r="R72" s="226">
        <f t="shared" si="28"/>
        <v>-11479424.924050199</v>
      </c>
      <c r="S72" s="226">
        <f t="shared" si="28"/>
        <v>-11482677.702531202</v>
      </c>
      <c r="T72" s="226">
        <f t="shared" si="28"/>
        <v>-12162833.682909131</v>
      </c>
      <c r="U72" s="226">
        <f t="shared" si="28"/>
        <v>-11489379.727313463</v>
      </c>
      <c r="V72" s="226">
        <f t="shared" si="28"/>
        <v>-11492831.601859732</v>
      </c>
      <c r="W72" s="226">
        <f t="shared" si="28"/>
        <v>-12214618.569484632</v>
      </c>
      <c r="X72" s="226">
        <f t="shared" si="28"/>
        <v>-11499943.844174866</v>
      </c>
      <c r="Y72" s="226">
        <f t="shared" si="28"/>
        <v>-11503607.001058362</v>
      </c>
      <c r="Z72" s="226">
        <f t="shared" si="28"/>
        <v>-12269573.105397647</v>
      </c>
      <c r="AA72" s="226">
        <f t="shared" si="28"/>
        <v>-11511154.569501121</v>
      </c>
      <c r="AB72" s="226">
        <f t="shared" si="28"/>
        <v>-11515041.940891143</v>
      </c>
      <c r="AC72" s="226">
        <f t="shared" si="28"/>
        <v>-12327891.298544828</v>
      </c>
      <c r="AD72" s="226">
        <f t="shared" si="28"/>
        <v>-11523051.480903145</v>
      </c>
      <c r="AE72" s="226">
        <f t="shared" si="28"/>
        <v>-11527176.790521208</v>
      </c>
      <c r="AF72" s="226">
        <f t="shared" si="28"/>
        <v>-12389779.03165816</v>
      </c>
      <c r="AG72" s="226">
        <f t="shared" si="28"/>
        <v>-11535676.578458264</v>
      </c>
      <c r="AH72" s="226">
        <f t="shared" si="28"/>
        <v>-11540054.39002743</v>
      </c>
      <c r="AI72" s="226">
        <f t="shared" si="28"/>
        <v>-12455454.789139891</v>
      </c>
      <c r="AJ72" s="226">
        <f t="shared" si="28"/>
        <v>-11549074.432984538</v>
      </c>
      <c r="AK72" s="226">
        <f t="shared" si="28"/>
        <v>-11553720.201644229</v>
      </c>
      <c r="AL72" s="226">
        <f t="shared" si="28"/>
        <v>-12525150.428385567</v>
      </c>
      <c r="AM72" s="226">
        <f t="shared" si="28"/>
        <v>-11563292.343390655</v>
      </c>
      <c r="AN72" s="226">
        <f t="shared" si="28"/>
        <v>-11568222.470258469</v>
      </c>
      <c r="AO72" s="226">
        <f t="shared" si="28"/>
        <v>-12599111.99831819</v>
      </c>
      <c r="AP72" s="226">
        <f t="shared" si="28"/>
        <v>-11578380.503656911</v>
      </c>
      <c r="AQ72" s="226">
        <f>AQ65</f>
        <v>-11583612.393730048</v>
      </c>
      <c r="AR72" s="226">
        <f>AR65</f>
        <v>-12677600.608023249</v>
      </c>
      <c r="AS72" s="226">
        <f>AS65</f>
        <v>-11594392.180036742</v>
      </c>
    </row>
    <row r="73" spans="1:51" x14ac:dyDescent="0.2">
      <c r="A73" s="227" t="s">
        <v>257</v>
      </c>
      <c r="B73" s="221">
        <f t="shared" ref="B73:AP73" si="29">-B64</f>
        <v>0</v>
      </c>
      <c r="C73" s="221">
        <f t="shared" si="29"/>
        <v>0</v>
      </c>
      <c r="D73" s="221">
        <f t="shared" si="29"/>
        <v>0</v>
      </c>
      <c r="E73" s="221">
        <f>-E64</f>
        <v>0</v>
      </c>
      <c r="F73" s="221">
        <f t="shared" si="29"/>
        <v>11316786</v>
      </c>
      <c r="G73" s="221">
        <f t="shared" si="29"/>
        <v>11316786</v>
      </c>
      <c r="H73" s="221">
        <f t="shared" si="29"/>
        <v>11316786</v>
      </c>
      <c r="I73" s="221">
        <f t="shared" si="29"/>
        <v>11316786</v>
      </c>
      <c r="J73" s="221">
        <f>-E64</f>
        <v>0</v>
      </c>
      <c r="K73" s="221">
        <f t="shared" si="29"/>
        <v>11316786</v>
      </c>
      <c r="L73" s="221">
        <f>-L64</f>
        <v>11316786</v>
      </c>
      <c r="M73" s="221">
        <f>-M64</f>
        <v>11316786</v>
      </c>
      <c r="N73" s="221">
        <f t="shared" si="29"/>
        <v>11316786</v>
      </c>
      <c r="O73" s="221">
        <f t="shared" si="29"/>
        <v>11316786</v>
      </c>
      <c r="P73" s="221">
        <f t="shared" si="29"/>
        <v>11316786</v>
      </c>
      <c r="Q73" s="221">
        <f t="shared" si="29"/>
        <v>11316786</v>
      </c>
      <c r="R73" s="221">
        <f t="shared" si="29"/>
        <v>11316786</v>
      </c>
      <c r="S73" s="221">
        <f t="shared" si="29"/>
        <v>11316786</v>
      </c>
      <c r="T73" s="221">
        <f t="shared" si="29"/>
        <v>11316786</v>
      </c>
      <c r="U73" s="221">
        <f t="shared" si="29"/>
        <v>11316786</v>
      </c>
      <c r="V73" s="221">
        <f t="shared" si="29"/>
        <v>11316786</v>
      </c>
      <c r="W73" s="221">
        <f t="shared" si="29"/>
        <v>11316786</v>
      </c>
      <c r="X73" s="221">
        <f t="shared" si="29"/>
        <v>11316786</v>
      </c>
      <c r="Y73" s="221">
        <f t="shared" si="29"/>
        <v>11316786</v>
      </c>
      <c r="Z73" s="221">
        <f t="shared" si="29"/>
        <v>11316786</v>
      </c>
      <c r="AA73" s="221">
        <f t="shared" si="29"/>
        <v>11316786</v>
      </c>
      <c r="AB73" s="221">
        <f t="shared" si="29"/>
        <v>11316786</v>
      </c>
      <c r="AC73" s="221">
        <f t="shared" si="29"/>
        <v>11316786</v>
      </c>
      <c r="AD73" s="221">
        <f t="shared" si="29"/>
        <v>11316786</v>
      </c>
      <c r="AE73" s="221">
        <f t="shared" si="29"/>
        <v>11316786</v>
      </c>
      <c r="AF73" s="221">
        <f t="shared" si="29"/>
        <v>11316786</v>
      </c>
      <c r="AG73" s="221">
        <f t="shared" si="29"/>
        <v>11316786</v>
      </c>
      <c r="AH73" s="221">
        <f t="shared" si="29"/>
        <v>11316786</v>
      </c>
      <c r="AI73" s="221">
        <f t="shared" si="29"/>
        <v>11316786</v>
      </c>
      <c r="AJ73" s="221">
        <f t="shared" si="29"/>
        <v>11316786</v>
      </c>
      <c r="AK73" s="221">
        <f t="shared" si="29"/>
        <v>11316786</v>
      </c>
      <c r="AL73" s="221">
        <f t="shared" si="29"/>
        <v>11316786</v>
      </c>
      <c r="AM73" s="221">
        <f t="shared" si="29"/>
        <v>11316786</v>
      </c>
      <c r="AN73" s="221">
        <f t="shared" si="29"/>
        <v>11316786</v>
      </c>
      <c r="AO73" s="221">
        <f t="shared" si="29"/>
        <v>11316786</v>
      </c>
      <c r="AP73" s="221">
        <f t="shared" si="29"/>
        <v>11316786</v>
      </c>
      <c r="AQ73" s="221">
        <f>-AQ64</f>
        <v>11316786</v>
      </c>
      <c r="AR73" s="221">
        <f>-AR64</f>
        <v>11316786</v>
      </c>
      <c r="AS73" s="221">
        <f>-AS64</f>
        <v>11316786</v>
      </c>
    </row>
    <row r="74" spans="1:51" x14ac:dyDescent="0.2">
      <c r="A74" s="227" t="s">
        <v>256</v>
      </c>
      <c r="B74" s="221">
        <f t="shared" ref="B74:AP74" si="30">B66</f>
        <v>0</v>
      </c>
      <c r="C74" s="221">
        <f t="shared" si="30"/>
        <v>0</v>
      </c>
      <c r="D74" s="221">
        <f t="shared" si="30"/>
        <v>0</v>
      </c>
      <c r="E74" s="221">
        <f t="shared" si="30"/>
        <v>0</v>
      </c>
      <c r="F74" s="221">
        <f t="shared" si="30"/>
        <v>0</v>
      </c>
      <c r="G74" s="221">
        <f t="shared" si="30"/>
        <v>0</v>
      </c>
      <c r="H74" s="221">
        <f t="shared" si="30"/>
        <v>0</v>
      </c>
      <c r="I74" s="221">
        <f t="shared" si="30"/>
        <v>0</v>
      </c>
      <c r="J74" s="221">
        <f t="shared" si="30"/>
        <v>0</v>
      </c>
      <c r="K74" s="221">
        <f t="shared" si="30"/>
        <v>0</v>
      </c>
      <c r="L74" s="221">
        <f t="shared" si="30"/>
        <v>0</v>
      </c>
      <c r="M74" s="221">
        <f t="shared" si="30"/>
        <v>0</v>
      </c>
      <c r="N74" s="221">
        <f t="shared" si="30"/>
        <v>0</v>
      </c>
      <c r="O74" s="221">
        <f t="shared" si="30"/>
        <v>0</v>
      </c>
      <c r="P74" s="221">
        <f t="shared" si="30"/>
        <v>0</v>
      </c>
      <c r="Q74" s="221">
        <f t="shared" si="30"/>
        <v>0</v>
      </c>
      <c r="R74" s="221">
        <f t="shared" si="30"/>
        <v>0</v>
      </c>
      <c r="S74" s="221">
        <f t="shared" si="30"/>
        <v>0</v>
      </c>
      <c r="T74" s="221">
        <f t="shared" si="30"/>
        <v>0</v>
      </c>
      <c r="U74" s="221">
        <f t="shared" si="30"/>
        <v>0</v>
      </c>
      <c r="V74" s="221">
        <f t="shared" si="30"/>
        <v>0</v>
      </c>
      <c r="W74" s="221">
        <f t="shared" si="30"/>
        <v>0</v>
      </c>
      <c r="X74" s="221">
        <f t="shared" si="30"/>
        <v>0</v>
      </c>
      <c r="Y74" s="221">
        <f t="shared" si="30"/>
        <v>0</v>
      </c>
      <c r="Z74" s="221">
        <f t="shared" si="30"/>
        <v>0</v>
      </c>
      <c r="AA74" s="221">
        <f t="shared" si="30"/>
        <v>0</v>
      </c>
      <c r="AB74" s="221">
        <f t="shared" si="30"/>
        <v>0</v>
      </c>
      <c r="AC74" s="221">
        <f t="shared" si="30"/>
        <v>0</v>
      </c>
      <c r="AD74" s="221">
        <f t="shared" si="30"/>
        <v>0</v>
      </c>
      <c r="AE74" s="221">
        <f t="shared" si="30"/>
        <v>0</v>
      </c>
      <c r="AF74" s="221">
        <f t="shared" si="30"/>
        <v>0</v>
      </c>
      <c r="AG74" s="221">
        <f t="shared" si="30"/>
        <v>0</v>
      </c>
      <c r="AH74" s="221">
        <f t="shared" si="30"/>
        <v>0</v>
      </c>
      <c r="AI74" s="221">
        <f t="shared" si="30"/>
        <v>0</v>
      </c>
      <c r="AJ74" s="221">
        <f t="shared" si="30"/>
        <v>0</v>
      </c>
      <c r="AK74" s="221">
        <f t="shared" si="30"/>
        <v>0</v>
      </c>
      <c r="AL74" s="221">
        <f t="shared" si="30"/>
        <v>0</v>
      </c>
      <c r="AM74" s="221">
        <f t="shared" si="30"/>
        <v>0</v>
      </c>
      <c r="AN74" s="221">
        <f t="shared" si="30"/>
        <v>0</v>
      </c>
      <c r="AO74" s="221">
        <f t="shared" si="30"/>
        <v>0</v>
      </c>
      <c r="AP74" s="221">
        <f t="shared" si="30"/>
        <v>0</v>
      </c>
      <c r="AQ74" s="221">
        <f>AQ66</f>
        <v>0</v>
      </c>
      <c r="AR74" s="221">
        <f>AR66</f>
        <v>0</v>
      </c>
      <c r="AS74" s="221">
        <f>AS66</f>
        <v>0</v>
      </c>
    </row>
    <row r="75" spans="1:51" x14ac:dyDescent="0.2">
      <c r="A75" s="227" t="s">
        <v>255</v>
      </c>
      <c r="B75" s="221">
        <f>IF(SUM($B$68:B68)+SUM($A$75:A75)&gt;0,0,SUM($B$68:B68)-SUM($A$75:A75))</f>
        <v>0</v>
      </c>
      <c r="C75" s="221">
        <f>IF(SUM($B$68:C68)+SUM($A$75:B75)&gt;0,0,SUM($B$68:C68)-SUM($A$75:B75))</f>
        <v>0</v>
      </c>
      <c r="D75" s="221">
        <f>IF(SUM($B$68:D68)+SUM($A$75:C75)&gt;0,0,SUM($B$68:D68)-SUM($A$75:C75))</f>
        <v>-74051659.980000004</v>
      </c>
      <c r="E75" s="221">
        <f>IF(SUM($B$68:E68)+SUM($A$75:D75)&gt;0,0,SUM($B$68:E68)-SUM($A$75:D75))</f>
        <v>-7359795.9899999946</v>
      </c>
      <c r="F75" s="221">
        <f>IF(SUM($B$68:F68)+SUM($A$75:E75)&gt;0,0,SUM($B$68:F68)-SUM($A$75:E75))</f>
        <v>2287546.8704464734</v>
      </c>
      <c r="G75" s="221">
        <f>IF(SUM($B$68:G68)+SUM($A$75:F75)&gt;0,0,SUM($B$68:G68)-SUM($A$75:F75))</f>
        <v>2288417.6985825598</v>
      </c>
      <c r="H75" s="221">
        <f>IF(SUM($B$68:H68)+SUM($A$75:G75)&gt;0,0,SUM($B$68:H68)-SUM($A$75:G75))</f>
        <v>2392669.3726859689</v>
      </c>
      <c r="I75" s="221">
        <f>IF(SUM($B$68:I68)+SUM($A$75:H75)&gt;0,0,SUM($B$68:I68)-SUM($A$75:H75))</f>
        <v>2289943.7827042341</v>
      </c>
      <c r="J75" s="221">
        <f>IF(SUM($B$68:J68)+SUM($A$75:I75)&gt;0,0,SUM($B$68:J68)-SUM($A$75:I75))</f>
        <v>27304.420437246561</v>
      </c>
      <c r="K75" s="221">
        <f>IF(SUM($B$68:K68)+SUM($A$75:J75)&gt;0,0,SUM($B$68:K68)-SUM($A$75:J75))</f>
        <v>2403565.3989452869</v>
      </c>
      <c r="L75" s="221">
        <f>IF(SUM($B$68:L68)+SUM($A$75:K75)&gt;0,0,SUM($B$68:L68)-SUM($A$75:K75))</f>
        <v>2292099.8807837814</v>
      </c>
      <c r="M75" s="221">
        <f>IF(SUM($B$68:M68)+SUM($A$75:L75)&gt;0,0,SUM($B$68:M68)-SUM($A$75:L75))</f>
        <v>2292760.9624418095</v>
      </c>
      <c r="N75" s="221">
        <f>IF(SUM($B$68:N68)+SUM($A$75:M75)&gt;0,0,SUM($B$68:N68)-SUM($A$75:M75))</f>
        <v>2413610.426077649</v>
      </c>
      <c r="O75" s="221">
        <f>IF(SUM($B$68:O68)+SUM($A$75:N75)&gt;0,0,SUM($B$68:O68)-SUM($A$75:N75))</f>
        <v>2294008.8581198379</v>
      </c>
      <c r="P75" s="221">
        <f>IF(SUM($B$68:P68)+SUM($A$75:O75)&gt;0,0,SUM($B$68:P68)-SUM($A$75:O75))</f>
        <v>2294621.8912822381</v>
      </c>
      <c r="Q75" s="221">
        <f>IF(SUM($B$68:Q68)+SUM($A$75:P75)&gt;0,0,SUM($B$68:Q68)-SUM($A$75:P75))</f>
        <v>2422807.1255394071</v>
      </c>
      <c r="R75" s="221">
        <f>IF(SUM($B$68:R68)+SUM($A$75:Q75)&gt;0,0,SUM($B$68:R68)-SUM($A$75:Q75))</f>
        <v>2295884.9848100394</v>
      </c>
      <c r="S75" s="221">
        <f>IF(SUM($B$68:S68)+SUM($A$75:R75)&gt;0,0,SUM($B$68:S68)-SUM($A$75:R75))</f>
        <v>2296535.5405062437</v>
      </c>
      <c r="T75" s="221">
        <f>IF(SUM($B$68:T68)+SUM($A$75:S75)&gt;0,0,SUM($B$68:T68)-SUM($A$75:S75))</f>
        <v>2432566.7365818247</v>
      </c>
      <c r="U75" s="221">
        <f>IF(SUM($B$68:U68)+SUM($A$75:T75)&gt;0,0,SUM($B$68:U68)-SUM($A$75:T75))</f>
        <v>2297875.9454626888</v>
      </c>
      <c r="V75" s="221">
        <f>IF(SUM($B$68:V68)+SUM($A$75:U75)&gt;0,0,SUM($B$68:V68)-SUM($A$75:U75))</f>
        <v>2298566.3203719482</v>
      </c>
      <c r="W75" s="221">
        <f>IF(SUM($B$68:W68)+SUM($A$75:V75)&gt;0,0,SUM($B$68:W68)-SUM($A$75:V75))</f>
        <v>2442923.7138969228</v>
      </c>
      <c r="X75" s="221">
        <f>IF(SUM($B$68:X68)+SUM($A$75:W75)&gt;0,0,SUM($B$68:X68)-SUM($A$75:W75))</f>
        <v>2299988.7688349709</v>
      </c>
      <c r="Y75" s="221">
        <f>IF(SUM($B$68:Y68)+SUM($A$75:X75)&gt;0,0,SUM($B$68:Y68)-SUM($A$75:X75))</f>
        <v>2300721.4002116695</v>
      </c>
      <c r="Z75" s="221">
        <f>IF(SUM($B$68:Z68)+SUM($A$75:Y75)&gt;0,0,SUM($B$68:Z68)-SUM($A$75:Y75))</f>
        <v>2453914.6210795268</v>
      </c>
      <c r="AA75" s="221">
        <f>IF(SUM($B$68:AA68)+SUM($A$75:Z75)&gt;0,0,SUM($B$68:AA68)-SUM($A$75:Z75))</f>
        <v>2302230.9139002226</v>
      </c>
      <c r="AB75" s="221">
        <f>IF(SUM($B$68:AB68)+SUM($A$75:AA75)&gt;0,0,SUM($B$68:AB68)-SUM($A$75:AA75))</f>
        <v>2303008.3881782293</v>
      </c>
      <c r="AC75" s="221">
        <f>IF(SUM($B$68:AC68)+SUM($A$75:AB75)&gt;0,0,SUM($B$68:AC68)-SUM($A$75:AB75))</f>
        <v>2465578.2597089671</v>
      </c>
      <c r="AD75" s="221">
        <f>IF(SUM($B$68:AD68)+SUM($A$75:AC75)&gt;0,0,SUM($B$68:AD68)-SUM($A$75:AC75))</f>
        <v>2304610.2961806282</v>
      </c>
      <c r="AE75" s="221">
        <f>IF(SUM($B$68:AE68)+SUM($A$75:AD75)&gt;0,0,SUM($B$68:AE68)-SUM($A$75:AD75))</f>
        <v>2305435.3581042401</v>
      </c>
      <c r="AF75" s="221">
        <f>IF(SUM($B$68:AF68)+SUM($A$75:AE75)&gt;0,0,SUM($B$68:AF68)-SUM($A$75:AE75))</f>
        <v>2477955.8063316308</v>
      </c>
      <c r="AG75" s="221">
        <f>IF(SUM($B$68:AG68)+SUM($A$75:AF75)&gt;0,0,SUM($B$68:AG68)-SUM($A$75:AF75))</f>
        <v>2307135.3156916536</v>
      </c>
      <c r="AH75" s="221">
        <f>IF(SUM($B$68:AH68)+SUM($A$75:AG75)&gt;0,0,SUM($B$68:AH68)-SUM($A$75:AG75))</f>
        <v>2308010.878005486</v>
      </c>
      <c r="AI75" s="221">
        <f>IF(SUM($B$68:AI68)+SUM($A$75:AH75)&gt;0,0,SUM($B$68:AI68)-SUM($A$75:AH75))</f>
        <v>2491090.9578279778</v>
      </c>
      <c r="AJ75" s="221">
        <f>IF(SUM($B$68:AJ68)+SUM($A$75:AI75)&gt;0,0,SUM($B$68:AJ68)-SUM($A$75:AI75))</f>
        <v>2309814.8865969069</v>
      </c>
      <c r="AK75" s="221">
        <f>IF(SUM($B$68:AK68)+SUM($A$75:AJ75)&gt;0,0,SUM($B$68:AK68)-SUM($A$75:AJ75))</f>
        <v>2310744.0403288454</v>
      </c>
      <c r="AL75" s="221">
        <f>IF(SUM($B$68:AL68)+SUM($A$75:AK75)&gt;0,0,SUM($B$68:AL68)-SUM($A$75:AK75))</f>
        <v>2505030.0856771134</v>
      </c>
      <c r="AM75" s="221">
        <f>IF(SUM($B$68:AM68)+SUM($A$75:AL75)&gt;0,0,SUM($B$68:AM68)-SUM($A$75:AL75))</f>
        <v>2312658.4686781312</v>
      </c>
      <c r="AN75" s="221">
        <f>IF(SUM($B$68:AN68)+SUM($A$75:AM75)&gt;0,0,SUM($B$68:AN68)-SUM($A$75:AM75))</f>
        <v>2313644.4940516939</v>
      </c>
      <c r="AO75" s="221">
        <f>IF(SUM($B$68:AO68)+SUM($A$75:AN75)&gt;0,0,SUM($B$68:AO68)-SUM($A$75:AN75))</f>
        <v>2519822.3996636383</v>
      </c>
      <c r="AP75" s="221">
        <f>IF(SUM($B$68:AP68)+SUM($A$75:AO75)&gt;0,0,SUM($B$68:AP68)-SUM($A$75:AO75))</f>
        <v>0</v>
      </c>
      <c r="AQ75" s="221">
        <f>IF(SUM($B$68:AQ68)+SUM($A$75:AP75)&gt;0,0,SUM($B$68:AQ68)-SUM($A$75:AP75))</f>
        <v>0</v>
      </c>
      <c r="AR75" s="221">
        <f>IF(SUM($B$68:AR68)+SUM($A$75:AQ75)&gt;0,0,SUM($B$68:AR68)-SUM($A$75:AQ75))</f>
        <v>0</v>
      </c>
      <c r="AS75" s="221">
        <f>IF(SUM($B$68:AS68)+SUM($A$75:AR75)&gt;0,0,SUM($B$68:AS68)-SUM($A$75:AR75))</f>
        <v>0</v>
      </c>
    </row>
    <row r="76" spans="1:51" x14ac:dyDescent="0.2">
      <c r="A76" s="227" t="s">
        <v>254</v>
      </c>
      <c r="B76" s="221">
        <f>IF(((SUM($B$55:B55)+SUM($B$57:B61))+SUM($B$78:B78))&lt;0,((SUM($B$55:B55)+SUM($B$57:B61))+SUM($B$78:B78))*0.18-SUM($A$76:A76),IF(SUM(A$76:$B76)&lt;0,0-SUM(A$76:$B76),0))</f>
        <v>-214992</v>
      </c>
      <c r="C76" s="221">
        <f>IF(((SUM($B$55:C55)+SUM($B$57:C61))+SUM($B$78:C78))&lt;0,((SUM($B$55:C55)+SUM($B$57:C61))+SUM($B$78:C78))*0.18-SUM($A$76:B76),IF(SUM($B$76:B76)&lt;0,0-SUM($B$76:B76),0))</f>
        <v>-6300.0085319999489</v>
      </c>
      <c r="D76" s="221">
        <f>IF(((SUM($B$55:D55)+SUM($B$57:D61))+SUM($B$78:D78))&lt;0,((SUM($B$55:D55)+SUM($B$57:D61))+SUM($B$78:D78))*0.18-SUM($A$76:C76),IF(SUM($B$76:C76)&lt;0,0-SUM($B$76:C76),0))</f>
        <v>-1665486.0090000017</v>
      </c>
      <c r="E76" s="221">
        <f>IF(((SUM($B$55:E55)+SUM($B$57:E61))+SUM($B$78:E78))&lt;0,((SUM($B$55:E55)+SUM($B$57:E61))+SUM($B$78:E78))*0.18-SUM($A$76:D76),IF(SUM($B$76:D76)&lt;0,0-SUM($B$76:D76),0))</f>
        <v>-6323767.2090000026</v>
      </c>
      <c r="F76" s="221">
        <f>IF(((SUM($B$55:F55)+SUM($B$57:F61))+SUM($B$78:F78))&lt;0,((SUM($B$55:F55)+SUM($B$57:F61))+SUM($B$78:F78))*0.18-SUM($A$76:E76),IF(SUM($B$76:E76)&lt;0,0-SUM($B$76:E76),0))</f>
        <v>-21770.703401830047</v>
      </c>
      <c r="G76" s="221">
        <f>IF(((SUM($B$55:G55)+SUM($B$57:G61))+SUM($B$78:G78))&lt;0,((SUM($B$55:G55)+SUM($B$57:G61))+SUM($B$78:G78))*0.18-SUM($A$76:F76),IF(SUM($B$76:F76)&lt;0,0-SUM($B$76:F76),0))</f>
        <v>-22554.448724298738</v>
      </c>
      <c r="H76" s="221">
        <f>IF(((SUM($B$55:H55)+SUM($B$57:H61))+SUM($B$78:H78))&lt;0,((SUM($B$55:H55)+SUM($B$57:H61))+SUM($B$78:H78))*0.18-SUM($A$76:G76),IF(SUM($B$76:G76)&lt;0,0-SUM($B$76:G76),0))</f>
        <v>-116380.95541738253</v>
      </c>
      <c r="I76" s="221">
        <f>IF(((SUM($B$55:I55)+SUM($B$57:I61))+SUM($B$78:I78))&lt;0,((SUM($B$55:I55)+SUM($B$57:I61))+SUM($B$78:I78))*0.18-SUM($A$76:H76),IF(SUM($B$76:H76)&lt;0,0-SUM($B$76:H76),0))</f>
        <v>-23927.924433810636</v>
      </c>
      <c r="J76" s="221">
        <f>IF(((SUM($B$55:J55)+SUM($B$57:J61))+SUM($B$78:J78))&lt;0,((SUM($B$55:J55)+SUM($B$57:J61))+SUM($B$78:J78))*0.18-SUM($A$76:I76),IF(SUM($B$76:I76)&lt;0,0-SUM($B$76:I76),0))</f>
        <v>-24573.978393526748</v>
      </c>
      <c r="K76" s="221">
        <f>IF(((SUM($B$55:K55)+SUM($B$57:K61))+SUM($B$78:K78))&lt;0,((SUM($B$55:K55)+SUM($B$57:K61))+SUM($B$78:K78))*0.18-SUM($A$76:J76),IF(SUM($B$76:J76)&lt;0,0-SUM($B$76:J76),0))</f>
        <v>-126187.3790507447</v>
      </c>
      <c r="L76" s="221">
        <f>IF(((SUM($B$55:L55)+SUM($B$57:L61))+SUM($B$78:L78))&lt;0,((SUM($B$55:L55)+SUM($B$57:L61))+SUM($B$78:L78))*0.18-SUM($A$76:K76),IF(SUM($B$76:K76)&lt;0,0-SUM($B$76:K76),0))</f>
        <v>-25868.412705406547</v>
      </c>
      <c r="M76" s="221">
        <f>IF(((SUM($B$55:M55)+SUM($B$57:M61))+SUM($B$78:M78))&lt;0,((SUM($B$55:M55)+SUM($B$57:M61))+SUM($B$78:M78))*0.18-SUM($A$76:L76),IF(SUM($B$76:L76)&lt;0,0-SUM($B$76:L76),0))</f>
        <v>-26463.386197632179</v>
      </c>
      <c r="N76" s="221">
        <f>IF(((SUM($B$55:N55)+SUM($B$57:N61))+SUM($B$78:N78))&lt;0,((SUM($B$55:N55)+SUM($B$57:N61))+SUM($B$78:N78))*0.18-SUM($A$76:M76),IF(SUM($B$76:M76)&lt;0,0-SUM($B$76:M76),0))</f>
        <v>-135227.90346988663</v>
      </c>
      <c r="O76" s="221">
        <f>IF(((SUM($B$55:O55)+SUM($B$57:O61))+SUM($B$78:O78))&lt;0,((SUM($B$55:O55)+SUM($B$57:O61))+SUM($B$78:O78))*0.18-SUM($A$76:N76),IF(SUM($B$76:N76)&lt;0,0-SUM($B$76:N76),0))</f>
        <v>-27586.492307851091</v>
      </c>
      <c r="P76" s="221">
        <f>IF(((SUM($B$55:P55)+SUM($B$57:P61))+SUM($B$78:P78))&lt;0,((SUM($B$55:P55)+SUM($B$57:P61))+SUM($B$78:P78))*0.18-SUM($A$76:O76),IF(SUM($B$76:O76)&lt;0,0-SUM($B$76:O76),0))</f>
        <v>-28138.22215401195</v>
      </c>
      <c r="Q76" s="221">
        <f>IF(((SUM($B$55:Q55)+SUM($B$57:Q61))+SUM($B$78:Q78))&lt;0,((SUM($B$55:Q55)+SUM($B$57:Q61))+SUM($B$78:Q78))*0.18-SUM($A$76:P76),IF(SUM($B$76:P76)&lt;0,0-SUM($B$76:P76),0))</f>
        <v>-143504.9329854697</v>
      </c>
      <c r="R76" s="221">
        <f>IF(((SUM($B$55:R55)+SUM($B$57:R61))+SUM($B$78:R78))&lt;0,((SUM($B$55:R55)+SUM($B$57:R61))+SUM($B$78:R78))*0.18-SUM($A$76:Q76),IF(SUM($B$76:Q76)&lt;0,0-SUM($B$76:Q76),0))</f>
        <v>-29275.006329039112</v>
      </c>
      <c r="S76" s="221">
        <f>IF(((SUM($B$55:S55)+SUM($B$57:S61))+SUM($B$78:S78))&lt;0,((SUM($B$55:S55)+SUM($B$57:S61))+SUM($B$78:S78))*0.18-SUM($A$76:R76),IF(SUM($B$76:R76)&lt;0,0-SUM($B$76:R76),0))</f>
        <v>-29860.506455618888</v>
      </c>
      <c r="T76" s="221">
        <f>IF(((SUM($B$55:T55)+SUM($B$57:T61))+SUM($B$78:T78))&lt;0,((SUM($B$55:T55)+SUM($B$57:T61))+SUM($B$78:T78))*0.18-SUM($A$76:S76),IF(SUM($B$76:S76)&lt;0,0-SUM($B$76:S76),0))</f>
        <v>-152288.58292364329</v>
      </c>
      <c r="U76" s="221">
        <f>IF(((SUM($B$55:U55)+SUM($B$57:U61))+SUM($B$78:U78))&lt;0,((SUM($B$55:U55)+SUM($B$57:U61))+SUM($B$78:U78))*0.18-SUM($A$76:T76),IF(SUM($B$76:T76)&lt;0,0-SUM($B$76:T76),0))</f>
        <v>-31066.870916422457</v>
      </c>
      <c r="V76" s="221">
        <f>IF(((SUM($B$55:V55)+SUM($B$57:V61))+SUM($B$78:V78))&lt;0,((SUM($B$55:V55)+SUM($B$57:V61))+SUM($B$78:V78))*0.18-SUM($A$76:U76),IF(SUM($B$76:U76)&lt;0,0-SUM($B$76:U76),0))</f>
        <v>-31688.208334755152</v>
      </c>
      <c r="W76" s="221">
        <f>IF(((SUM($B$55:W55)+SUM($B$57:W61))+SUM($B$78:W78))&lt;0,((SUM($B$55:W55)+SUM($B$57:W61))+SUM($B$78:W78))*0.18-SUM($A$76:V76),IF(SUM($B$76:V76)&lt;0,0-SUM($B$76:V76),0))</f>
        <v>-161609.86250722595</v>
      </c>
      <c r="X76" s="221">
        <f>IF(((SUM($B$55:X55)+SUM($B$57:X61))+SUM($B$78:X78))&lt;0,((SUM($B$55:X55)+SUM($B$57:X61))+SUM($B$78:X78))*0.18-SUM($A$76:W76),IF(SUM($B$76:W76)&lt;0,0-SUM($B$76:W76),0))</f>
        <v>-32968.411951474845</v>
      </c>
      <c r="Y76" s="221">
        <f>IF(((SUM($B$55:Y55)+SUM($B$57:Y61))+SUM($B$78:Y78))&lt;0,((SUM($B$55:Y55)+SUM($B$57:Y61))+SUM($B$78:Y78))*0.18-SUM($A$76:X76),IF(SUM($B$76:X76)&lt;0,0-SUM($B$76:X76),0))</f>
        <v>-33627.780190512538</v>
      </c>
      <c r="Z76" s="221">
        <f>IF(((SUM($B$55:Z55)+SUM($B$57:Z61))+SUM($B$78:Z78))&lt;0,((SUM($B$55:Z55)+SUM($B$57:Z61))+SUM($B$78:Z78))*0.18-SUM($A$76:Y76),IF(SUM($B$76:Y76)&lt;0,0-SUM($B$76:Y76),0))</f>
        <v>-171501.67897157557</v>
      </c>
      <c r="AA76" s="221">
        <f>IF(((SUM($B$55:AA55)+SUM($B$57:AA61))+SUM($B$78:AA78))&lt;0,((SUM($B$55:AA55)+SUM($B$57:AA61))+SUM($B$78:AA78))*0.18-SUM($A$76:Z76),IF(SUM($B$76:Z76)&lt;0,0-SUM($B$76:Z76),0))</f>
        <v>-34986.342510197312</v>
      </c>
      <c r="AB76" s="221">
        <f>IF(((SUM($B$55:AB55)+SUM($B$57:AB61))+SUM($B$78:AB78))&lt;0,((SUM($B$55:AB55)+SUM($B$57:AB61))+SUM($B$78:AB78))*0.18-SUM($A$76:AA76),IF(SUM($B$76:AA76)&lt;0,0-SUM($B$76:AA76),0))</f>
        <v>-35686.069360407069</v>
      </c>
      <c r="AC76" s="221">
        <f>IF(((SUM($B$55:AC55)+SUM($B$57:AC61))+SUM($B$78:AC78))&lt;0,((SUM($B$55:AC55)+SUM($B$57:AC61))+SUM($B$78:AC78))*0.18-SUM($A$76:AB76),IF(SUM($B$76:AB76)&lt;0,0-SUM($B$76:AB76),0))</f>
        <v>-181998.95373806916</v>
      </c>
      <c r="AD76" s="221">
        <f>IF(((SUM($B$55:AD55)+SUM($B$57:AD61))+SUM($B$78:AD78))&lt;0,((SUM($B$55:AD55)+SUM($B$57:AD61))+SUM($B$78:AD78))*0.18-SUM($A$76:AC76),IF(SUM($B$76:AC76)&lt;0,0-SUM($B$76:AC76),0))</f>
        <v>-37127.786562565714</v>
      </c>
      <c r="AE76" s="221">
        <f>IF(((SUM($B$55:AE55)+SUM($B$57:AE61))+SUM($B$78:AE78))&lt;0,((SUM($B$55:AE55)+SUM($B$57:AE61))+SUM($B$78:AE78))*0.18-SUM($A$76:AD76),IF(SUM($B$76:AD76)&lt;0,0-SUM($B$76:AD76),0))</f>
        <v>-37870.34229381755</v>
      </c>
      <c r="AF76" s="221">
        <f>IF(((SUM($B$55:AF55)+SUM($B$57:AF61))+SUM($B$78:AF78))&lt;0,((SUM($B$55:AF55)+SUM($B$57:AF61))+SUM($B$78:AF78))*0.18-SUM($A$76:AE76),IF(SUM($B$76:AE76)&lt;0,0-SUM($B$76:AE76),0))</f>
        <v>-193138.74569847062</v>
      </c>
      <c r="AG76" s="221">
        <f>IF(((SUM($B$55:AG55)+SUM($B$57:AG61))+SUM($B$78:AG78))&lt;0,((SUM($B$55:AG55)+SUM($B$57:AG61))+SUM($B$78:AG78))*0.18-SUM($A$76:AF76),IF(SUM($B$76:AF76)&lt;0,0-SUM($B$76:AF76),0))</f>
        <v>-39400.30412248522</v>
      </c>
      <c r="AH76" s="221">
        <f>IF(((SUM($B$55:AH55)+SUM($B$57:AH61))+SUM($B$78:AH78))&lt;0,((SUM($B$55:AH55)+SUM($B$57:AH61))+SUM($B$78:AH78))*0.18-SUM($A$76:AG76),IF(SUM($B$76:AG76)&lt;0,0-SUM($B$76:AG76),0))</f>
        <v>-40188.310204943642</v>
      </c>
      <c r="AI76" s="221">
        <f>IF(((SUM($B$55:AI55)+SUM($B$57:AI61))+SUM($B$78:AI78))&lt;0,((SUM($B$55:AI55)+SUM($B$57:AI61))+SUM($B$78:AI78))*0.18-SUM($A$76:AH76),IF(SUM($B$76:AH76)&lt;0,0-SUM($B$76:AH76),0))</f>
        <v>-204960.38204517588</v>
      </c>
      <c r="AJ76" s="221">
        <f>IF(((SUM($B$55:AJ55)+SUM($B$57:AJ61))+SUM($B$78:AJ78))&lt;0,((SUM($B$55:AJ55)+SUM($B$57:AJ61))+SUM($B$78:AJ78))*0.18-SUM($A$76:AI76),IF(SUM($B$76:AI76)&lt;0,0-SUM($B$76:AI76),0))</f>
        <v>-41811.917937215418</v>
      </c>
      <c r="AK76" s="221">
        <f>IF(((SUM($B$55:AK55)+SUM($B$57:AK61))+SUM($B$78:AK78))&lt;0,((SUM($B$55:AK55)+SUM($B$57:AK61))+SUM($B$78:AK78))*0.18-SUM($A$76:AJ76),IF(SUM($B$76:AJ76)&lt;0,0-SUM($B$76:AJ76),0))</f>
        <v>-42648.156295962632</v>
      </c>
      <c r="AL76" s="221">
        <f>IF(((SUM($B$55:AL55)+SUM($B$57:AL61))+SUM($B$78:AL78))&lt;0,((SUM($B$55:AL55)+SUM($B$57:AL61))+SUM($B$78:AL78))*0.18-SUM($A$76:AK76),IF(SUM($B$76:AK76)&lt;0,0-SUM($B$76:AK76),0))</f>
        <v>-217505.59710939974</v>
      </c>
      <c r="AM76" s="221">
        <f>IF(((SUM($B$55:AM55)+SUM($B$57:AM61))+SUM($B$78:AM78))&lt;0,((SUM($B$55:AM55)+SUM($B$57:AM61))+SUM($B$78:AM78))*0.18-SUM($A$76:AL76),IF(SUM($B$76:AL76)&lt;0,0-SUM($B$76:AL76),0))</f>
        <v>-44371.141810316592</v>
      </c>
      <c r="AN76" s="221">
        <f>IF(((SUM($B$55:AN55)+SUM($B$57:AN61))+SUM($B$78:AN78))&lt;0,((SUM($B$55:AN55)+SUM($B$57:AN61))+SUM($B$78:AN78))*0.18-SUM($A$76:AM76),IF(SUM($B$76:AM76)&lt;0,0-SUM($B$76:AM76),0))</f>
        <v>-45258.564646525308</v>
      </c>
      <c r="AO76" s="221">
        <f>IF(((SUM($B$55:AO55)+SUM($B$57:AO61))+SUM($B$78:AO78))&lt;0,((SUM($B$55:AO55)+SUM($B$57:AO61))+SUM($B$78:AO78))*0.18-SUM($A$76:AN76),IF(SUM($B$76:AN76)&lt;0,0-SUM($B$76:AN76),0))</f>
        <v>-230818.67969727516</v>
      </c>
      <c r="AP76" s="221">
        <f>IF(((SUM($B$55:AP55)+SUM($B$57:AP61))+SUM($B$78:AP78))&lt;0,((SUM($B$55:AP55)+SUM($B$57:AP61))+SUM($B$78:AP78))*0.18-SUM($A$76:AO76),IF(SUM($B$76:AO76)&lt;0,0-SUM($B$76:AO76),0))</f>
        <v>-47087.010658245534</v>
      </c>
      <c r="AQ76" s="221">
        <f>IF(((SUM($B$55:AQ55)+SUM($B$57:AQ61))+SUM($B$78:AQ78))&lt;0,((SUM($B$55:AQ55)+SUM($B$57:AQ61))+SUM($B$78:AQ78))*0.18-SUM($A$76:AP76),IF(SUM($B$76:AP76)&lt;0,0-SUM($B$76:AP76),0))</f>
        <v>-48028.750871408731</v>
      </c>
      <c r="AR76" s="221">
        <f>IF(((SUM($B$55:AR55)+SUM($B$57:AR61))+SUM($B$78:AR78))&lt;0,((SUM($B$55:AR55)+SUM($B$57:AR61))+SUM($B$78:AR78))*0.18-SUM($A$76:AQ76),IF(SUM($B$76:AQ76)&lt;0,0-SUM($B$76:AQ76),0))</f>
        <v>-244946.62944418006</v>
      </c>
      <c r="AS76" s="221">
        <f>IF(((SUM($B$55:AS55)+SUM($B$57:AS61))+SUM($B$78:AS78))&lt;0,((SUM($B$55:AS55)+SUM($B$57:AS61))+SUM($B$78:AS78))*0.18-SUM($A$76:AR76),IF(SUM($B$76:AR76)&lt;0,0-SUM($B$76:AR76),0))</f>
        <v>-49969.112406622618</v>
      </c>
    </row>
    <row r="77" spans="1:51" x14ac:dyDescent="0.2">
      <c r="A77" s="227" t="s">
        <v>253</v>
      </c>
      <c r="B77" s="221">
        <f>-B55*(B35)</f>
        <v>0</v>
      </c>
      <c r="C77" s="221">
        <f>-(C55-B55)*$B$35</f>
        <v>4.4999999999999997E-3</v>
      </c>
      <c r="D77" s="221">
        <f>-(D55-C55)*$B$35</f>
        <v>-33323247.000000004</v>
      </c>
      <c r="E77" s="221">
        <f t="shared" ref="E77:AP77" si="31">-(E55-D55)*$B$35</f>
        <v>30011338.800000004</v>
      </c>
      <c r="F77" s="221">
        <f t="shared" si="31"/>
        <v>3311908.1954999999</v>
      </c>
      <c r="G77" s="221">
        <f t="shared" si="31"/>
        <v>0</v>
      </c>
      <c r="H77" s="221">
        <f t="shared" si="31"/>
        <v>0</v>
      </c>
      <c r="I77" s="221">
        <f t="shared" si="31"/>
        <v>0</v>
      </c>
      <c r="J77" s="221">
        <f t="shared" si="31"/>
        <v>0</v>
      </c>
      <c r="K77" s="221">
        <f t="shared" si="31"/>
        <v>0</v>
      </c>
      <c r="L77" s="221">
        <f t="shared" si="31"/>
        <v>0</v>
      </c>
      <c r="M77" s="221">
        <f t="shared" si="31"/>
        <v>0</v>
      </c>
      <c r="N77" s="221">
        <f t="shared" si="31"/>
        <v>0</v>
      </c>
      <c r="O77" s="221">
        <f t="shared" si="31"/>
        <v>0</v>
      </c>
      <c r="P77" s="221">
        <f t="shared" si="31"/>
        <v>0</v>
      </c>
      <c r="Q77" s="221">
        <f t="shared" si="31"/>
        <v>0</v>
      </c>
      <c r="R77" s="221">
        <f t="shared" si="31"/>
        <v>0</v>
      </c>
      <c r="S77" s="221">
        <f t="shared" si="31"/>
        <v>0</v>
      </c>
      <c r="T77" s="221">
        <f t="shared" si="31"/>
        <v>0</v>
      </c>
      <c r="U77" s="221">
        <f t="shared" si="31"/>
        <v>0</v>
      </c>
      <c r="V77" s="221">
        <f t="shared" si="31"/>
        <v>0</v>
      </c>
      <c r="W77" s="221">
        <f t="shared" si="31"/>
        <v>0</v>
      </c>
      <c r="X77" s="221">
        <f t="shared" si="31"/>
        <v>0</v>
      </c>
      <c r="Y77" s="221">
        <f t="shared" si="31"/>
        <v>0</v>
      </c>
      <c r="Z77" s="221">
        <f t="shared" si="31"/>
        <v>0</v>
      </c>
      <c r="AA77" s="221">
        <f t="shared" si="31"/>
        <v>0</v>
      </c>
      <c r="AB77" s="221">
        <f t="shared" si="31"/>
        <v>0</v>
      </c>
      <c r="AC77" s="221">
        <f t="shared" si="31"/>
        <v>0</v>
      </c>
      <c r="AD77" s="221">
        <f t="shared" si="31"/>
        <v>0</v>
      </c>
      <c r="AE77" s="221">
        <f t="shared" si="31"/>
        <v>0</v>
      </c>
      <c r="AF77" s="221">
        <f t="shared" si="31"/>
        <v>0</v>
      </c>
      <c r="AG77" s="221">
        <f t="shared" si="31"/>
        <v>0</v>
      </c>
      <c r="AH77" s="221">
        <f t="shared" si="31"/>
        <v>0</v>
      </c>
      <c r="AI77" s="221">
        <f t="shared" si="31"/>
        <v>0</v>
      </c>
      <c r="AJ77" s="221">
        <f t="shared" si="31"/>
        <v>0</v>
      </c>
      <c r="AK77" s="221">
        <f t="shared" si="31"/>
        <v>0</v>
      </c>
      <c r="AL77" s="221">
        <f t="shared" si="31"/>
        <v>0</v>
      </c>
      <c r="AM77" s="221">
        <f t="shared" si="31"/>
        <v>0</v>
      </c>
      <c r="AN77" s="221">
        <f t="shared" si="31"/>
        <v>0</v>
      </c>
      <c r="AO77" s="221">
        <f t="shared" si="31"/>
        <v>0</v>
      </c>
      <c r="AP77" s="221">
        <f t="shared" si="31"/>
        <v>0</v>
      </c>
      <c r="AQ77" s="221">
        <f>-(AQ55-AP55)*$B$35</f>
        <v>0</v>
      </c>
      <c r="AR77" s="221">
        <f>-(AR55-AQ55)*$B$35</f>
        <v>0</v>
      </c>
      <c r="AS77" s="221">
        <f>-(AS55-AR55)*$B$35</f>
        <v>0</v>
      </c>
    </row>
    <row r="78" spans="1:51" x14ac:dyDescent="0.2">
      <c r="A78" s="227" t="s">
        <v>493</v>
      </c>
      <c r="B78" s="221">
        <v>-1194400</v>
      </c>
      <c r="C78" s="221">
        <v>-34999.997399999796</v>
      </c>
      <c r="D78" s="221">
        <v>-379511000.00000006</v>
      </c>
      <c r="E78" s="221">
        <v>-71931020</v>
      </c>
      <c r="F78" s="221"/>
      <c r="G78" s="221"/>
      <c r="H78" s="221"/>
      <c r="I78" s="221"/>
      <c r="J78" s="221"/>
      <c r="K78" s="221"/>
      <c r="L78" s="221"/>
      <c r="M78" s="221"/>
      <c r="N78" s="221"/>
      <c r="O78" s="221"/>
      <c r="P78" s="221"/>
      <c r="Q78" s="221"/>
      <c r="R78" s="221"/>
      <c r="S78" s="221"/>
      <c r="T78" s="221"/>
      <c r="U78" s="221"/>
      <c r="V78" s="221"/>
      <c r="W78" s="221"/>
      <c r="X78" s="221"/>
      <c r="Y78" s="221"/>
      <c r="Z78" s="221"/>
      <c r="AA78" s="221"/>
      <c r="AB78" s="221"/>
      <c r="AC78" s="221"/>
      <c r="AD78" s="221"/>
      <c r="AE78" s="221"/>
      <c r="AF78" s="221"/>
      <c r="AG78" s="221"/>
      <c r="AH78" s="221"/>
      <c r="AI78" s="221"/>
      <c r="AJ78" s="221"/>
      <c r="AK78" s="221"/>
      <c r="AL78" s="221"/>
      <c r="AM78" s="221"/>
      <c r="AN78" s="221"/>
      <c r="AO78" s="221"/>
      <c r="AP78" s="221"/>
      <c r="AQ78" s="221"/>
      <c r="AR78" s="221"/>
      <c r="AS78" s="221"/>
      <c r="AT78" s="229">
        <f>SUM(B78:AS78)/1.18</f>
        <v>-383619847.45542377</v>
      </c>
      <c r="AV78" s="190">
        <v>438.74576271186447</v>
      </c>
    </row>
    <row r="79" spans="1:51" x14ac:dyDescent="0.2">
      <c r="A79" s="227" t="s">
        <v>252</v>
      </c>
      <c r="B79" s="221">
        <f t="shared" ref="B79:AP79" si="32">B50-B51</f>
        <v>0</v>
      </c>
      <c r="C79" s="221">
        <f t="shared" si="32"/>
        <v>0</v>
      </c>
      <c r="D79" s="221">
        <f t="shared" si="32"/>
        <v>0</v>
      </c>
      <c r="E79" s="221">
        <f t="shared" si="32"/>
        <v>0</v>
      </c>
      <c r="F79" s="221">
        <f t="shared" si="32"/>
        <v>0</v>
      </c>
      <c r="G79" s="221">
        <f t="shared" si="32"/>
        <v>0</v>
      </c>
      <c r="H79" s="221">
        <f t="shared" si="32"/>
        <v>0</v>
      </c>
      <c r="I79" s="221">
        <f t="shared" si="32"/>
        <v>0</v>
      </c>
      <c r="J79" s="221">
        <f t="shared" si="32"/>
        <v>0</v>
      </c>
      <c r="K79" s="221">
        <f t="shared" si="32"/>
        <v>0</v>
      </c>
      <c r="L79" s="221">
        <f t="shared" si="32"/>
        <v>0</v>
      </c>
      <c r="M79" s="221">
        <f t="shared" si="32"/>
        <v>0</v>
      </c>
      <c r="N79" s="221">
        <f t="shared" si="32"/>
        <v>0</v>
      </c>
      <c r="O79" s="221">
        <f t="shared" si="32"/>
        <v>0</v>
      </c>
      <c r="P79" s="221">
        <f t="shared" si="32"/>
        <v>0</v>
      </c>
      <c r="Q79" s="221">
        <f t="shared" si="32"/>
        <v>0</v>
      </c>
      <c r="R79" s="221">
        <f t="shared" si="32"/>
        <v>0</v>
      </c>
      <c r="S79" s="221">
        <f t="shared" si="32"/>
        <v>0</v>
      </c>
      <c r="T79" s="221">
        <f t="shared" si="32"/>
        <v>0</v>
      </c>
      <c r="U79" s="221">
        <f t="shared" si="32"/>
        <v>0</v>
      </c>
      <c r="V79" s="221">
        <f t="shared" si="32"/>
        <v>0</v>
      </c>
      <c r="W79" s="221">
        <f t="shared" si="32"/>
        <v>0</v>
      </c>
      <c r="X79" s="221">
        <f t="shared" si="32"/>
        <v>0</v>
      </c>
      <c r="Y79" s="221">
        <f t="shared" si="32"/>
        <v>0</v>
      </c>
      <c r="Z79" s="221">
        <f t="shared" si="32"/>
        <v>0</v>
      </c>
      <c r="AA79" s="221">
        <f t="shared" si="32"/>
        <v>0</v>
      </c>
      <c r="AB79" s="221">
        <f t="shared" si="32"/>
        <v>0</v>
      </c>
      <c r="AC79" s="221">
        <f t="shared" si="32"/>
        <v>0</v>
      </c>
      <c r="AD79" s="221">
        <f t="shared" si="32"/>
        <v>0</v>
      </c>
      <c r="AE79" s="221">
        <f t="shared" si="32"/>
        <v>0</v>
      </c>
      <c r="AF79" s="221">
        <f t="shared" si="32"/>
        <v>0</v>
      </c>
      <c r="AG79" s="221">
        <f t="shared" si="32"/>
        <v>0</v>
      </c>
      <c r="AH79" s="221">
        <f t="shared" si="32"/>
        <v>0</v>
      </c>
      <c r="AI79" s="221">
        <f t="shared" si="32"/>
        <v>0</v>
      </c>
      <c r="AJ79" s="221">
        <f t="shared" si="32"/>
        <v>0</v>
      </c>
      <c r="AK79" s="221">
        <f t="shared" si="32"/>
        <v>0</v>
      </c>
      <c r="AL79" s="221">
        <f t="shared" si="32"/>
        <v>0</v>
      </c>
      <c r="AM79" s="221">
        <f t="shared" si="32"/>
        <v>0</v>
      </c>
      <c r="AN79" s="221">
        <f t="shared" si="32"/>
        <v>0</v>
      </c>
      <c r="AO79" s="221">
        <f t="shared" si="32"/>
        <v>0</v>
      </c>
      <c r="AP79" s="221">
        <f t="shared" si="32"/>
        <v>0</v>
      </c>
      <c r="AQ79" s="221">
        <f>AQ50-AQ51</f>
        <v>0</v>
      </c>
      <c r="AR79" s="221">
        <f>AR50-AR51</f>
        <v>0</v>
      </c>
      <c r="AS79" s="221">
        <f>AS50-AS51</f>
        <v>0</v>
      </c>
    </row>
    <row r="80" spans="1:51" ht="14.25" x14ac:dyDescent="0.2">
      <c r="A80" s="228" t="s">
        <v>251</v>
      </c>
      <c r="B80" s="226">
        <f>SUM(B72:B79)</f>
        <v>-1409392</v>
      </c>
      <c r="C80" s="226">
        <f t="shared" ref="C80:V80" si="33">SUM(C72:C79)</f>
        <v>-41300.051431999746</v>
      </c>
      <c r="D80" s="226">
        <f t="shared" si="33"/>
        <v>-118293093.03900003</v>
      </c>
      <c r="E80" s="226">
        <f t="shared" si="33"/>
        <v>-18804264.448999986</v>
      </c>
      <c r="F80" s="226">
        <f t="shared" si="33"/>
        <v>5456736.0103122424</v>
      </c>
      <c r="G80" s="226">
        <f t="shared" si="33"/>
        <v>2140560.7569454955</v>
      </c>
      <c r="H80" s="226">
        <f t="shared" si="33"/>
        <v>1629727.5538387122</v>
      </c>
      <c r="I80" s="226">
        <f t="shared" si="33"/>
        <v>2133082.9447492417</v>
      </c>
      <c r="J80" s="226">
        <f t="shared" si="33"/>
        <v>-133791.66014253427</v>
      </c>
      <c r="K80" s="226">
        <f t="shared" si="33"/>
        <v>1576337.0251681283</v>
      </c>
      <c r="L80" s="226">
        <f t="shared" si="33"/>
        <v>2122518.0641594604</v>
      </c>
      <c r="M80" s="226">
        <f t="shared" si="33"/>
        <v>2119278.7640351281</v>
      </c>
      <c r="N80" s="226">
        <f t="shared" si="33"/>
        <v>1527116.3922195174</v>
      </c>
      <c r="O80" s="226">
        <f t="shared" si="33"/>
        <v>2113164.0752127841</v>
      </c>
      <c r="P80" s="226">
        <f t="shared" si="33"/>
        <v>2110160.2127170395</v>
      </c>
      <c r="Q80" s="226">
        <f t="shared" si="33"/>
        <v>1482052.5648568887</v>
      </c>
      <c r="R80" s="226">
        <f t="shared" si="33"/>
        <v>2103971.0544308014</v>
      </c>
      <c r="S80" s="226">
        <f t="shared" si="33"/>
        <v>2100783.3315194231</v>
      </c>
      <c r="T80" s="226">
        <f t="shared" si="33"/>
        <v>1434230.4707490504</v>
      </c>
      <c r="U80" s="226">
        <f t="shared" si="33"/>
        <v>2094215.3472328037</v>
      </c>
      <c r="V80" s="226">
        <f t="shared" si="33"/>
        <v>2090832.5101774614</v>
      </c>
      <c r="W80" s="226">
        <f t="shared" ref="W80:AP80" si="34">SUM(W72:W79)</f>
        <v>1383481.2819050644</v>
      </c>
      <c r="X80" s="226">
        <f t="shared" si="34"/>
        <v>2083862.5127086304</v>
      </c>
      <c r="Y80" s="226">
        <f t="shared" si="34"/>
        <v>2080272.6189627945</v>
      </c>
      <c r="Z80" s="226">
        <f t="shared" si="34"/>
        <v>1329625.836710304</v>
      </c>
      <c r="AA80" s="226">
        <f t="shared" si="34"/>
        <v>2072876.0018889047</v>
      </c>
      <c r="AB80" s="226">
        <f t="shared" si="34"/>
        <v>2069066.3779266793</v>
      </c>
      <c r="AC80" s="226">
        <f t="shared" si="34"/>
        <v>1272474.00742607</v>
      </c>
      <c r="AD80" s="226">
        <f t="shared" si="34"/>
        <v>2061217.0287149176</v>
      </c>
      <c r="AE80" s="226">
        <f t="shared" si="34"/>
        <v>2057174.2252892144</v>
      </c>
      <c r="AF80" s="226">
        <f t="shared" si="34"/>
        <v>1211824.0289750006</v>
      </c>
      <c r="AG80" s="226">
        <f t="shared" si="34"/>
        <v>2048844.4331109039</v>
      </c>
      <c r="AH80" s="226">
        <f t="shared" si="34"/>
        <v>2044554.1777731124</v>
      </c>
      <c r="AI80" s="226">
        <f t="shared" si="34"/>
        <v>1147461.7866429109</v>
      </c>
      <c r="AJ80" s="226">
        <f t="shared" si="34"/>
        <v>2035714.5356751531</v>
      </c>
      <c r="AK80" s="226">
        <f t="shared" si="34"/>
        <v>2031161.682388654</v>
      </c>
      <c r="AL80" s="226">
        <f t="shared" si="34"/>
        <v>1079160.0601821467</v>
      </c>
      <c r="AM80" s="226">
        <f t="shared" si="34"/>
        <v>2021780.9834771599</v>
      </c>
      <c r="AN80" s="226">
        <f t="shared" si="34"/>
        <v>2016949.4591466999</v>
      </c>
      <c r="AO80" s="226">
        <f t="shared" si="34"/>
        <v>1006677.7216481734</v>
      </c>
      <c r="AP80" s="226">
        <f t="shared" si="34"/>
        <v>-308681.51431515627</v>
      </c>
      <c r="AQ80" s="226">
        <f>SUM(AQ72:AQ79)</f>
        <v>-314855.14460145682</v>
      </c>
      <c r="AR80" s="226">
        <f>SUM(AR72:AR79)</f>
        <v>-1605761.2374674287</v>
      </c>
      <c r="AS80" s="226">
        <f>SUM(AS72:AS79)</f>
        <v>-327575.29244336486</v>
      </c>
    </row>
    <row r="81" spans="1:48" ht="14.25" x14ac:dyDescent="0.2">
      <c r="A81" s="228" t="s">
        <v>494</v>
      </c>
      <c r="B81" s="226">
        <f>SUM($B$80:B80)</f>
        <v>-1409392</v>
      </c>
      <c r="C81" s="226">
        <f>SUM($B$80:C80)</f>
        <v>-1450692.0514319998</v>
      </c>
      <c r="D81" s="226">
        <f>SUM($B$80:D80)</f>
        <v>-119743785.09043203</v>
      </c>
      <c r="E81" s="226">
        <f>SUM($B$80:E80)</f>
        <v>-138548049.53943202</v>
      </c>
      <c r="F81" s="226">
        <f>SUM($B$80:F80)</f>
        <v>-133091313.52911977</v>
      </c>
      <c r="G81" s="226">
        <f>SUM($B$80:G80)</f>
        <v>-130950752.77217428</v>
      </c>
      <c r="H81" s="226">
        <f>SUM($B$80:H80)</f>
        <v>-129321025.21833557</v>
      </c>
      <c r="I81" s="226">
        <f>SUM($B$80:I80)</f>
        <v>-127187942.27358633</v>
      </c>
      <c r="J81" s="226">
        <f>SUM($B$80:J80)</f>
        <v>-127321733.93372887</v>
      </c>
      <c r="K81" s="226">
        <f>SUM($B$80:K80)</f>
        <v>-125745396.90856075</v>
      </c>
      <c r="L81" s="226">
        <f>SUM($B$80:L80)</f>
        <v>-123622878.8444013</v>
      </c>
      <c r="M81" s="226">
        <f>SUM($B$80:M80)</f>
        <v>-121503600.08036616</v>
      </c>
      <c r="N81" s="226">
        <f>SUM($B$80:N80)</f>
        <v>-119976483.68814665</v>
      </c>
      <c r="O81" s="226">
        <f>SUM($B$80:O80)</f>
        <v>-117863319.61293387</v>
      </c>
      <c r="P81" s="226">
        <f>SUM($B$80:P80)</f>
        <v>-115753159.40021683</v>
      </c>
      <c r="Q81" s="226">
        <f>SUM($B$80:Q80)</f>
        <v>-114271106.83535995</v>
      </c>
      <c r="R81" s="226">
        <f>SUM($B$80:R80)</f>
        <v>-112167135.78092915</v>
      </c>
      <c r="S81" s="226">
        <f>SUM($B$80:S80)</f>
        <v>-110066352.44940972</v>
      </c>
      <c r="T81" s="226">
        <f>SUM($B$80:T80)</f>
        <v>-108632121.97866067</v>
      </c>
      <c r="U81" s="226">
        <f>SUM($B$80:U80)</f>
        <v>-106537906.63142787</v>
      </c>
      <c r="V81" s="226">
        <f>SUM($B$80:V80)</f>
        <v>-104447074.12125041</v>
      </c>
      <c r="W81" s="226">
        <f>SUM($B$80:W80)</f>
        <v>-103063592.83934534</v>
      </c>
      <c r="X81" s="226">
        <f>SUM($B$80:X80)</f>
        <v>-100979730.3266367</v>
      </c>
      <c r="Y81" s="226">
        <f>SUM($B$80:Y80)</f>
        <v>-98899457.707673907</v>
      </c>
      <c r="Z81" s="226">
        <f>SUM($B$80:Z80)</f>
        <v>-97569831.870963603</v>
      </c>
      <c r="AA81" s="226">
        <f>SUM($B$80:AA80)</f>
        <v>-95496955.869074702</v>
      </c>
      <c r="AB81" s="226">
        <f>SUM($B$80:AB80)</f>
        <v>-93427889.491148025</v>
      </c>
      <c r="AC81" s="226">
        <f>SUM($B$80:AC80)</f>
        <v>-92155415.483721957</v>
      </c>
      <c r="AD81" s="226">
        <f>SUM($B$80:AD80)</f>
        <v>-90094198.455007046</v>
      </c>
      <c r="AE81" s="226">
        <f>SUM($B$80:AE80)</f>
        <v>-88037024.229717836</v>
      </c>
      <c r="AF81" s="226">
        <f>SUM($B$80:AF80)</f>
        <v>-86825200.200742841</v>
      </c>
      <c r="AG81" s="226">
        <f>SUM($B$80:AG80)</f>
        <v>-84776355.767631933</v>
      </c>
      <c r="AH81" s="226">
        <f>SUM($B$80:AH80)</f>
        <v>-82731801.589858815</v>
      </c>
      <c r="AI81" s="226">
        <f>SUM($B$80:AI80)</f>
        <v>-81584339.803215906</v>
      </c>
      <c r="AJ81" s="226">
        <f>SUM($B$80:AJ80)</f>
        <v>-79548625.267540753</v>
      </c>
      <c r="AK81" s="226">
        <f>SUM($B$80:AK80)</f>
        <v>-77517463.585152104</v>
      </c>
      <c r="AL81" s="226">
        <f>SUM($B$80:AL80)</f>
        <v>-76438303.524969965</v>
      </c>
      <c r="AM81" s="226">
        <f>SUM($B$80:AM80)</f>
        <v>-74416522.541492805</v>
      </c>
      <c r="AN81" s="226">
        <f>SUM($B$80:AN80)</f>
        <v>-72399573.082346112</v>
      </c>
      <c r="AO81" s="226">
        <f>SUM($B$80:AO80)</f>
        <v>-71392895.36069794</v>
      </c>
      <c r="AP81" s="226">
        <f>SUM($B$80:AP80)</f>
        <v>-71701576.875013098</v>
      </c>
      <c r="AQ81" s="226">
        <f>SUM($B$80:AQ80)</f>
        <v>-72016432.019614547</v>
      </c>
      <c r="AR81" s="226">
        <f>SUM($B$80:AR80)</f>
        <v>-73622193.257081971</v>
      </c>
      <c r="AS81" s="226">
        <f>SUM($B$80:AS80)</f>
        <v>-73949768.549525335</v>
      </c>
    </row>
    <row r="82" spans="1:48" x14ac:dyDescent="0.2">
      <c r="A82" s="234" t="s">
        <v>495</v>
      </c>
      <c r="B82" s="235">
        <f t="shared" ref="B82:AP82" si="35">1/POWER((1+$B$40),B70)</f>
        <v>1</v>
      </c>
      <c r="C82" s="235">
        <f t="shared" si="35"/>
        <v>1</v>
      </c>
      <c r="D82" s="235">
        <f t="shared" si="35"/>
        <v>1</v>
      </c>
      <c r="E82" s="235">
        <f t="shared" si="35"/>
        <v>1</v>
      </c>
      <c r="F82" s="235">
        <f t="shared" si="35"/>
        <v>1</v>
      </c>
      <c r="G82" s="235">
        <f t="shared" si="35"/>
        <v>1</v>
      </c>
      <c r="H82" s="235">
        <f t="shared" si="35"/>
        <v>0.9109750373485539</v>
      </c>
      <c r="I82" s="235">
        <f t="shared" si="35"/>
        <v>0.75599588161705711</v>
      </c>
      <c r="J82" s="235">
        <f t="shared" si="35"/>
        <v>0.6273824743710017</v>
      </c>
      <c r="K82" s="235">
        <f t="shared" si="35"/>
        <v>0.52064935632448273</v>
      </c>
      <c r="L82" s="235">
        <f t="shared" si="35"/>
        <v>0.43207415462612664</v>
      </c>
      <c r="M82" s="235">
        <f t="shared" si="35"/>
        <v>0.35856776317520883</v>
      </c>
      <c r="N82" s="235">
        <f t="shared" si="35"/>
        <v>0.29756660844415667</v>
      </c>
      <c r="O82" s="235">
        <f t="shared" si="35"/>
        <v>0.24694324352212174</v>
      </c>
      <c r="P82" s="235">
        <f t="shared" si="35"/>
        <v>0.20493215230051592</v>
      </c>
      <c r="Q82" s="235">
        <f t="shared" si="35"/>
        <v>0.1700681761830008</v>
      </c>
      <c r="R82" s="235">
        <f t="shared" si="35"/>
        <v>0.14113541591950271</v>
      </c>
      <c r="S82" s="235">
        <f t="shared" si="35"/>
        <v>0.11712482648921385</v>
      </c>
      <c r="T82" s="235">
        <f t="shared" si="35"/>
        <v>9.719902613212765E-2</v>
      </c>
      <c r="U82" s="235">
        <f t="shared" si="35"/>
        <v>8.0663092225832109E-2</v>
      </c>
      <c r="V82" s="235">
        <f t="shared" si="35"/>
        <v>6.6940325498615838E-2</v>
      </c>
      <c r="W82" s="235">
        <f t="shared" si="35"/>
        <v>5.5552137343249659E-2</v>
      </c>
      <c r="X82" s="235">
        <f t="shared" si="35"/>
        <v>4.6101358791078552E-2</v>
      </c>
      <c r="Y82" s="235">
        <f t="shared" si="35"/>
        <v>3.825838903823945E-2</v>
      </c>
      <c r="Z82" s="235">
        <f t="shared" si="35"/>
        <v>3.174970044667174E-2</v>
      </c>
      <c r="AA82" s="235">
        <f t="shared" si="35"/>
        <v>2.6348299125868668E-2</v>
      </c>
      <c r="AB82" s="235">
        <f t="shared" si="35"/>
        <v>2.1865808403210511E-2</v>
      </c>
      <c r="AC82" s="235">
        <f t="shared" si="35"/>
        <v>1.814589908980126E-2</v>
      </c>
      <c r="AD82" s="235">
        <f t="shared" si="35"/>
        <v>1.5058837418922204E-2</v>
      </c>
      <c r="AE82" s="235">
        <f t="shared" si="35"/>
        <v>1.2496960513628384E-2</v>
      </c>
      <c r="AF82" s="235">
        <f t="shared" si="35"/>
        <v>1.0370921588073345E-2</v>
      </c>
      <c r="AG82" s="235">
        <f t="shared" si="35"/>
        <v>8.6065739320110735E-3</v>
      </c>
      <c r="AH82" s="235">
        <f t="shared" si="35"/>
        <v>7.1423850058183183E-3</v>
      </c>
      <c r="AI82" s="235">
        <f t="shared" si="35"/>
        <v>5.9272904612600145E-3</v>
      </c>
      <c r="AJ82" s="235">
        <f t="shared" si="35"/>
        <v>4.9189132458589318E-3</v>
      </c>
      <c r="AK82" s="235">
        <f t="shared" si="35"/>
        <v>4.082085681210732E-3</v>
      </c>
      <c r="AL82" s="235">
        <f t="shared" si="35"/>
        <v>3.3876229719591129E-3</v>
      </c>
      <c r="AM82" s="235">
        <f t="shared" si="35"/>
        <v>2.8113053709204251E-3</v>
      </c>
      <c r="AN82" s="235">
        <f t="shared" si="35"/>
        <v>2.3330335028385286E-3</v>
      </c>
      <c r="AO82" s="235">
        <f t="shared" si="35"/>
        <v>1.9361273882477412E-3</v>
      </c>
      <c r="AP82" s="235">
        <f t="shared" si="35"/>
        <v>1.6067447205375444E-3</v>
      </c>
      <c r="AQ82" s="235">
        <f>1/POWER((1+$B$40),AQ70)</f>
        <v>1.3333981083299121E-3</v>
      </c>
      <c r="AR82" s="235">
        <f>1/POWER((1+$B$40),AR70)</f>
        <v>1.1065544467468149E-3</v>
      </c>
      <c r="AS82" s="235">
        <f>1/POWER((1+$B$40),AS70)</f>
        <v>9.1830244543304122E-4</v>
      </c>
    </row>
    <row r="83" spans="1:48" ht="14.25" x14ac:dyDescent="0.2">
      <c r="A83" s="225" t="s">
        <v>496</v>
      </c>
      <c r="B83" s="226">
        <f t="shared" ref="B83:AP83" si="36">B80*B82</f>
        <v>-1409392</v>
      </c>
      <c r="C83" s="226">
        <f t="shared" si="36"/>
        <v>-41300.051431999746</v>
      </c>
      <c r="D83" s="226">
        <f t="shared" si="36"/>
        <v>-118293093.03900003</v>
      </c>
      <c r="E83" s="226">
        <f t="shared" si="36"/>
        <v>-18804264.448999986</v>
      </c>
      <c r="F83" s="226">
        <f t="shared" si="36"/>
        <v>5456736.0103122424</v>
      </c>
      <c r="G83" s="226">
        <f t="shared" si="36"/>
        <v>2140560.7569454955</v>
      </c>
      <c r="H83" s="226">
        <f t="shared" si="36"/>
        <v>1484641.1192261882</v>
      </c>
      <c r="I83" s="226">
        <f t="shared" si="36"/>
        <v>1612601.9213780113</v>
      </c>
      <c r="J83" s="226">
        <f t="shared" si="36"/>
        <v>-83938.54279042728</v>
      </c>
      <c r="K83" s="226">
        <f t="shared" si="36"/>
        <v>820718.85750423593</v>
      </c>
      <c r="L83" s="226">
        <f t="shared" si="36"/>
        <v>917085.19825038163</v>
      </c>
      <c r="M83" s="226">
        <f t="shared" si="36"/>
        <v>759905.04596479703</v>
      </c>
      <c r="N83" s="226">
        <f t="shared" si="36"/>
        <v>454418.84553223831</v>
      </c>
      <c r="O83" s="226">
        <f t="shared" si="36"/>
        <v>521831.59082746971</v>
      </c>
      <c r="P83" s="226">
        <f t="shared" si="36"/>
        <v>432439.6740910174</v>
      </c>
      <c r="Q83" s="226">
        <f t="shared" si="36"/>
        <v>252049.97671254957</v>
      </c>
      <c r="R83" s="226">
        <f t="shared" si="36"/>
        <v>296944.82984968583</v>
      </c>
      <c r="S83" s="226">
        <f t="shared" si="36"/>
        <v>246053.88319564506</v>
      </c>
      <c r="T83" s="226">
        <f t="shared" si="36"/>
        <v>139405.80500583068</v>
      </c>
      <c r="U83" s="226">
        <f t="shared" si="36"/>
        <v>168925.88569459267</v>
      </c>
      <c r="V83" s="226">
        <f t="shared" si="36"/>
        <v>139961.00879436728</v>
      </c>
      <c r="W83" s="226">
        <f t="shared" si="36"/>
        <v>76855.342184205234</v>
      </c>
      <c r="X83" s="226">
        <f t="shared" si="36"/>
        <v>96068.893369659054</v>
      </c>
      <c r="Y83" s="226">
        <f t="shared" si="36"/>
        <v>79587.879161875855</v>
      </c>
      <c r="Z83" s="226">
        <f t="shared" si="36"/>
        <v>42215.222021707428</v>
      </c>
      <c r="AA83" s="226">
        <f t="shared" si="36"/>
        <v>54616.756948603572</v>
      </c>
      <c r="AB83" s="226">
        <f t="shared" si="36"/>
        <v>45241.808993269522</v>
      </c>
      <c r="AC83" s="226">
        <f t="shared" si="36"/>
        <v>23090.184933148488</v>
      </c>
      <c r="AD83" s="226">
        <f t="shared" si="36"/>
        <v>31039.532120531847</v>
      </c>
      <c r="AE83" s="226">
        <f t="shared" si="36"/>
        <v>25708.425063093375</v>
      </c>
      <c r="AF83" s="226">
        <f t="shared" si="36"/>
        <v>12567.731983042853</v>
      </c>
      <c r="AG83" s="226">
        <f t="shared" si="36"/>
        <v>17633.531088758311</v>
      </c>
      <c r="AH83" s="226">
        <f t="shared" si="36"/>
        <v>14602.993102909879</v>
      </c>
      <c r="AI83" s="226">
        <f t="shared" si="36"/>
        <v>6801.3393026288995</v>
      </c>
      <c r="AJ83" s="226">
        <f t="shared" si="36"/>
        <v>10013.503194320076</v>
      </c>
      <c r="AK83" s="226">
        <f t="shared" si="36"/>
        <v>8291.3760199026256</v>
      </c>
      <c r="AL83" s="226">
        <f t="shared" si="36"/>
        <v>3655.787410293819</v>
      </c>
      <c r="AM83" s="226">
        <f t="shared" si="36"/>
        <v>5683.8437376741185</v>
      </c>
      <c r="AN83" s="226">
        <f t="shared" si="36"/>
        <v>4705.6106617213009</v>
      </c>
      <c r="AO83" s="226">
        <f t="shared" si="36"/>
        <v>1949.0563080218647</v>
      </c>
      <c r="AP83" s="226">
        <f t="shared" si="36"/>
        <v>-495.97239345341177</v>
      </c>
      <c r="AQ83" s="226">
        <f>AQ80*AQ82</f>
        <v>-419.82725420952346</v>
      </c>
      <c r="AR83" s="226">
        <f>AR80*AR82</f>
        <v>-1776.8622377332515</v>
      </c>
      <c r="AS83" s="226">
        <f>AS80*AS82</f>
        <v>-300.8131921141856</v>
      </c>
    </row>
    <row r="84" spans="1:48" ht="14.25" x14ac:dyDescent="0.2">
      <c r="A84" s="225" t="s">
        <v>497</v>
      </c>
      <c r="B84" s="226">
        <f>SUM($B$83:B83)</f>
        <v>-1409392</v>
      </c>
      <c r="C84" s="226">
        <f>SUM($B$83:C83)</f>
        <v>-1450692.0514319998</v>
      </c>
      <c r="D84" s="226">
        <f>SUM($B$83:D83)</f>
        <v>-119743785.09043203</v>
      </c>
      <c r="E84" s="226">
        <f>SUM($B$83:E83)</f>
        <v>-138548049.53943202</v>
      </c>
      <c r="F84" s="226">
        <f>SUM($B$83:F83)</f>
        <v>-133091313.52911977</v>
      </c>
      <c r="G84" s="226">
        <f>SUM($B$83:G83)</f>
        <v>-130950752.77217428</v>
      </c>
      <c r="H84" s="226">
        <f>SUM($B$83:H83)</f>
        <v>-129466111.6529481</v>
      </c>
      <c r="I84" s="226">
        <f>SUM($B$83:I83)</f>
        <v>-127853509.73157008</v>
      </c>
      <c r="J84" s="226">
        <f>SUM($B$83:J83)</f>
        <v>-127937448.27436051</v>
      </c>
      <c r="K84" s="226">
        <f>SUM($B$83:K83)</f>
        <v>-127116729.41685627</v>
      </c>
      <c r="L84" s="226">
        <f>SUM($B$83:L83)</f>
        <v>-126199644.21860589</v>
      </c>
      <c r="M84" s="226">
        <f>SUM($B$83:M83)</f>
        <v>-125439739.1726411</v>
      </c>
      <c r="N84" s="226">
        <f>SUM($B$83:N83)</f>
        <v>-124985320.32710886</v>
      </c>
      <c r="O84" s="226">
        <f>SUM($B$83:O83)</f>
        <v>-124463488.73628139</v>
      </c>
      <c r="P84" s="226">
        <f>SUM($B$83:P83)</f>
        <v>-124031049.06219038</v>
      </c>
      <c r="Q84" s="226">
        <f>SUM($B$83:Q83)</f>
        <v>-123778999.08547783</v>
      </c>
      <c r="R84" s="226">
        <f>SUM($B$83:R83)</f>
        <v>-123482054.25562814</v>
      </c>
      <c r="S84" s="226">
        <f>SUM($B$83:S83)</f>
        <v>-123236000.3724325</v>
      </c>
      <c r="T84" s="226">
        <f>SUM($B$83:T83)</f>
        <v>-123096594.56742667</v>
      </c>
      <c r="U84" s="226">
        <f>SUM($B$83:U83)</f>
        <v>-122927668.68173207</v>
      </c>
      <c r="V84" s="226">
        <f>SUM($B$83:V83)</f>
        <v>-122787707.67293771</v>
      </c>
      <c r="W84" s="226">
        <f>SUM($B$83:W83)</f>
        <v>-122710852.33075351</v>
      </c>
      <c r="X84" s="226">
        <f>SUM($B$83:X83)</f>
        <v>-122614783.43738385</v>
      </c>
      <c r="Y84" s="226">
        <f>SUM($B$83:Y83)</f>
        <v>-122535195.55822197</v>
      </c>
      <c r="Z84" s="226">
        <f>SUM($B$83:Z83)</f>
        <v>-122492980.33620025</v>
      </c>
      <c r="AA84" s="226">
        <f>SUM($B$83:AA83)</f>
        <v>-122438363.57925165</v>
      </c>
      <c r="AB84" s="226">
        <f>SUM($B$83:AB83)</f>
        <v>-122393121.77025838</v>
      </c>
      <c r="AC84" s="226">
        <f>SUM($B$83:AC83)</f>
        <v>-122370031.58532523</v>
      </c>
      <c r="AD84" s="226">
        <f>SUM($B$83:AD83)</f>
        <v>-122338992.0532047</v>
      </c>
      <c r="AE84" s="226">
        <f>SUM($B$83:AE83)</f>
        <v>-122313283.62814161</v>
      </c>
      <c r="AF84" s="226">
        <f>SUM($B$83:AF83)</f>
        <v>-122300715.89615858</v>
      </c>
      <c r="AG84" s="226">
        <f>SUM($B$83:AG83)</f>
        <v>-122283082.36506982</v>
      </c>
      <c r="AH84" s="226">
        <f>SUM($B$83:AH83)</f>
        <v>-122268479.37196691</v>
      </c>
      <c r="AI84" s="226">
        <f>SUM($B$83:AI83)</f>
        <v>-122261678.03266428</v>
      </c>
      <c r="AJ84" s="226">
        <f>SUM($B$83:AJ83)</f>
        <v>-122251664.52946997</v>
      </c>
      <c r="AK84" s="226">
        <f>SUM($B$83:AK83)</f>
        <v>-122243373.15345006</v>
      </c>
      <c r="AL84" s="226">
        <f>SUM($B$83:AL83)</f>
        <v>-122239717.36603977</v>
      </c>
      <c r="AM84" s="226">
        <f>SUM($B$83:AM83)</f>
        <v>-122234033.52230209</v>
      </c>
      <c r="AN84" s="226">
        <f>SUM($B$83:AN83)</f>
        <v>-122229327.91164038</v>
      </c>
      <c r="AO84" s="226">
        <f>SUM($B$83:AO83)</f>
        <v>-122227378.85533236</v>
      </c>
      <c r="AP84" s="226">
        <f>SUM($B$83:AP83)</f>
        <v>-122227874.82772581</v>
      </c>
      <c r="AQ84" s="226">
        <f>SUM($B$83:AQ83)</f>
        <v>-122228294.65498002</v>
      </c>
      <c r="AR84" s="226">
        <f>SUM($B$83:AR83)</f>
        <v>-122230071.51721776</v>
      </c>
      <c r="AS84" s="226">
        <f>SUM($B$83:AS83)</f>
        <v>-122230372.33040987</v>
      </c>
    </row>
    <row r="85" spans="1:48" ht="14.25" x14ac:dyDescent="0.2">
      <c r="A85" s="225" t="s">
        <v>498</v>
      </c>
      <c r="B85" s="236">
        <f>IF((ISERR(IRR($B$80:B80))),0,IF(IRR($B$80:B80)&lt;0,0,IRR($B$80:B80)))</f>
        <v>0</v>
      </c>
      <c r="C85" s="236">
        <f>IF((ISERR(IRR($B$80:C80))),0,IF(IRR($B$80:C80)&lt;0,0,IRR($B$80:C80)))</f>
        <v>0</v>
      </c>
      <c r="D85" s="236">
        <f>IF((ISERR(IRR($B$80:D80))),0,IF(IRR($B$80:D80)&lt;0,0,IRR($B$80:D80)))</f>
        <v>0</v>
      </c>
      <c r="E85" s="236">
        <f>IF((ISERR(IRR($B$80:E80))),0,IF(IRR($B$80:E80)&lt;0,0,IRR($B$80:E80)))</f>
        <v>0</v>
      </c>
      <c r="F85" s="236">
        <f>IF((ISERR(IRR($B$80:F80))),0,IF(IRR($B$80:F80)&lt;0,0,IRR($B$80:F80)))</f>
        <v>0</v>
      </c>
      <c r="G85" s="236">
        <f>IF((ISERR(IRR($B$80:G80))),0,IF(IRR($B$80:G80)&lt;0,0,IRR($B$80:G80)))</f>
        <v>0</v>
      </c>
      <c r="H85" s="236">
        <f>IF((ISERR(IRR($B$80:H80))),0,IF(IRR($B$80:H80)&lt;0,0,IRR($B$80:H80)))</f>
        <v>0</v>
      </c>
      <c r="I85" s="236">
        <f>IF((ISERR(IRR($B$80:I80))),0,IF(IRR($B$80:I80)&lt;0,0,IRR($B$80:I80)))</f>
        <v>0</v>
      </c>
      <c r="J85" s="236">
        <f>IF((ISERR(IRR($B$80:J80))),0,IF(IRR($B$80:J80)&lt;0,0,IRR($B$80:J80)))</f>
        <v>0</v>
      </c>
      <c r="K85" s="236">
        <f>IF((ISERR(IRR($B$80:K80))),0,IF(IRR($B$80:K80)&lt;0,0,IRR($B$80:K80)))</f>
        <v>0</v>
      </c>
      <c r="L85" s="236">
        <f>IF((ISERR(IRR($B$80:L80))),0,IF(IRR($B$80:L80)&lt;0,0,IRR($B$80:L80)))</f>
        <v>0</v>
      </c>
      <c r="M85" s="236">
        <f>IF((ISERR(IRR($B$80:M80))),0,IF(IRR($B$80:M80)&lt;0,0,IRR($B$80:M80)))</f>
        <v>0</v>
      </c>
      <c r="N85" s="236">
        <f>IF((ISERR(IRR($B$80:N80))),0,IF(IRR($B$80:N80)&lt;0,0,IRR($B$80:N80)))</f>
        <v>0</v>
      </c>
      <c r="O85" s="236">
        <f>IF((ISERR(IRR($B$80:O80))),0,IF(IRR($B$80:O80)&lt;0,0,IRR($B$80:O80)))</f>
        <v>0</v>
      </c>
      <c r="P85" s="236">
        <f>IF((ISERR(IRR($B$80:P80))),0,IF(IRR($B$80:P80)&lt;0,0,IRR($B$80:P80)))</f>
        <v>0</v>
      </c>
      <c r="Q85" s="236">
        <f>IF((ISERR(IRR($B$80:Q80))),0,IF(IRR($B$80:Q80)&lt;0,0,IRR($B$80:Q80)))</f>
        <v>0</v>
      </c>
      <c r="R85" s="236">
        <f>IF((ISERR(IRR($B$80:R80))),0,IF(IRR($B$80:R80)&lt;0,0,IRR($B$80:R80)))</f>
        <v>0</v>
      </c>
      <c r="S85" s="236">
        <f>IF((ISERR(IRR($B$80:S80))),0,IF(IRR($B$80:S80)&lt;0,0,IRR($B$80:S80)))</f>
        <v>0</v>
      </c>
      <c r="T85" s="236">
        <f>IF((ISERR(IRR($B$80:T80))),0,IF(IRR($B$80:T80)&lt;0,0,IRR($B$80:T80)))</f>
        <v>0</v>
      </c>
      <c r="U85" s="236">
        <f>IF((ISERR(IRR($B$80:U80))),0,IF(IRR($B$80:U80)&lt;0,0,IRR($B$80:U80)))</f>
        <v>0</v>
      </c>
      <c r="V85" s="236">
        <f>IF((ISERR(IRR($B$80:V80))),0,IF(IRR($B$80:V80)&lt;0,0,IRR($B$80:V80)))</f>
        <v>0</v>
      </c>
      <c r="W85" s="236">
        <f>IF((ISERR(IRR($B$80:W80))),0,IF(IRR($B$80:W80)&lt;0,0,IRR($B$80:W80)))</f>
        <v>0</v>
      </c>
      <c r="X85" s="236">
        <f>IF((ISERR(IRR($B$80:X80))),0,IF(IRR($B$80:X80)&lt;0,0,IRR($B$80:X80)))</f>
        <v>0</v>
      </c>
      <c r="Y85" s="236">
        <f>IF((ISERR(IRR($B$80:Y80))),0,IF(IRR($B$80:Y80)&lt;0,0,IRR($B$80:Y80)))</f>
        <v>0</v>
      </c>
      <c r="Z85" s="236">
        <f>IF((ISERR(IRR($B$80:Z80))),0,IF(IRR($B$80:Z80)&lt;0,0,IRR($B$80:Z80)))</f>
        <v>0</v>
      </c>
      <c r="AA85" s="236">
        <f>IF((ISERR(IRR($B$80:AA80))),0,IF(IRR($B$80:AA80)&lt;0,0,IRR($B$80:AA80)))</f>
        <v>0</v>
      </c>
      <c r="AB85" s="236">
        <f>IF((ISERR(IRR($B$80:AB80))),0,IF(IRR($B$80:AB80)&lt;0,0,IRR($B$80:AB80)))</f>
        <v>0</v>
      </c>
      <c r="AC85" s="236">
        <f>IF((ISERR(IRR($B$80:AC80))),0,IF(IRR($B$80:AC80)&lt;0,0,IRR($B$80:AC80)))</f>
        <v>0</v>
      </c>
      <c r="AD85" s="236">
        <f>IF((ISERR(IRR($B$80:AD80))),0,IF(IRR($B$80:AD80)&lt;0,0,IRR($B$80:AD80)))</f>
        <v>0</v>
      </c>
      <c r="AE85" s="236">
        <f>IF((ISERR(IRR($B$80:AE80))),0,IF(IRR($B$80:AE80)&lt;0,0,IRR($B$80:AE80)))</f>
        <v>0</v>
      </c>
      <c r="AF85" s="236">
        <f>IF((ISERR(IRR($B$80:AF80))),0,IF(IRR($B$80:AF80)&lt;0,0,IRR($B$80:AF80)))</f>
        <v>0</v>
      </c>
      <c r="AG85" s="236">
        <f>IF((ISERR(IRR($B$80:AG80))),0,IF(IRR($B$80:AG80)&lt;0,0,IRR($B$80:AG80)))</f>
        <v>0</v>
      </c>
      <c r="AH85" s="236">
        <f>IF((ISERR(IRR($B$80:AH80))),0,IF(IRR($B$80:AH80)&lt;0,0,IRR($B$80:AH80)))</f>
        <v>0</v>
      </c>
      <c r="AI85" s="236">
        <f>IF((ISERR(IRR($B$80:AI80))),0,IF(IRR($B$80:AI80)&lt;0,0,IRR($B$80:AI80)))</f>
        <v>0</v>
      </c>
      <c r="AJ85" s="236">
        <f>IF((ISERR(IRR($B$80:AJ80))),0,IF(IRR($B$80:AJ80)&lt;0,0,IRR($B$80:AJ80)))</f>
        <v>0</v>
      </c>
      <c r="AK85" s="236">
        <f>IF((ISERR(IRR($B$80:AK80))),0,IF(IRR($B$80:AK80)&lt;0,0,IRR($B$80:AK80)))</f>
        <v>0</v>
      </c>
      <c r="AL85" s="236">
        <f>IF((ISERR(IRR($B$80:AL80))),0,IF(IRR($B$80:AL80)&lt;0,0,IRR($B$80:AL80)))</f>
        <v>0</v>
      </c>
      <c r="AM85" s="236">
        <f>IF((ISERR(IRR($B$80:AM80))),0,IF(IRR($B$80:AM80)&lt;0,0,IRR($B$80:AM80)))</f>
        <v>0</v>
      </c>
      <c r="AN85" s="236">
        <f>IF((ISERR(IRR($B$80:AN80))),0,IF(IRR($B$80:AN80)&lt;0,0,IRR($B$80:AN80)))</f>
        <v>0</v>
      </c>
      <c r="AO85" s="236">
        <f>IF((ISERR(IRR($B$80:AO80))),0,IF(IRR($B$80:AO80)&lt;0,0,IRR($B$80:AO80)))</f>
        <v>0</v>
      </c>
      <c r="AP85" s="236">
        <f>IF((ISERR(IRR($B$80:AP80))),0,IF(IRR($B$80:AP80)&lt;0,0,IRR($B$80:AP80)))</f>
        <v>0</v>
      </c>
      <c r="AQ85" s="236">
        <f>IF((ISERR(IRR($B$80:AQ80))),0,IF(IRR($B$80:AQ80)&lt;0,0,IRR($B$80:AQ80)))</f>
        <v>0</v>
      </c>
      <c r="AR85" s="236">
        <f>IF((ISERR(IRR($B$80:AR80))),0,IF(IRR($B$80:AR80)&lt;0,0,IRR($B$80:AR80)))</f>
        <v>0</v>
      </c>
      <c r="AS85" s="236">
        <f>IF((ISERR(IRR($B$80:AS80))),0,IF(IRR($B$80:AS80)&lt;0,0,IRR($B$80:AS80)))</f>
        <v>0</v>
      </c>
    </row>
    <row r="86" spans="1:48" ht="14.25" x14ac:dyDescent="0.2">
      <c r="A86" s="225" t="s">
        <v>499</v>
      </c>
      <c r="B86" s="237">
        <f>IF(AND(B81&gt;0,A81&lt;0),(B71-(B81/(B81-A81))),0)</f>
        <v>0</v>
      </c>
      <c r="C86" s="237">
        <f t="shared" ref="C86:AP86" si="37">IF(AND(C81&gt;0,B81&lt;0),(C71-(C81/(C81-B81))),0)</f>
        <v>0</v>
      </c>
      <c r="D86" s="237">
        <f t="shared" si="37"/>
        <v>0</v>
      </c>
      <c r="E86" s="237">
        <f t="shared" si="37"/>
        <v>0</v>
      </c>
      <c r="F86" s="237">
        <f t="shared" si="37"/>
        <v>0</v>
      </c>
      <c r="G86" s="237">
        <f t="shared" si="37"/>
        <v>0</v>
      </c>
      <c r="H86" s="237">
        <f>IF(AND(H81&gt;0,G81&lt;0),(H71-(H81/(H81-G81))),0)</f>
        <v>0</v>
      </c>
      <c r="I86" s="237">
        <f t="shared" si="37"/>
        <v>0</v>
      </c>
      <c r="J86" s="237">
        <f t="shared" si="37"/>
        <v>0</v>
      </c>
      <c r="K86" s="237">
        <f t="shared" si="37"/>
        <v>0</v>
      </c>
      <c r="L86" s="237">
        <f t="shared" si="37"/>
        <v>0</v>
      </c>
      <c r="M86" s="237">
        <f t="shared" si="37"/>
        <v>0</v>
      </c>
      <c r="N86" s="237">
        <f t="shared" si="37"/>
        <v>0</v>
      </c>
      <c r="O86" s="237">
        <f t="shared" si="37"/>
        <v>0</v>
      </c>
      <c r="P86" s="237">
        <f t="shared" si="37"/>
        <v>0</v>
      </c>
      <c r="Q86" s="237">
        <f t="shared" si="37"/>
        <v>0</v>
      </c>
      <c r="R86" s="237">
        <f t="shared" si="37"/>
        <v>0</v>
      </c>
      <c r="S86" s="237">
        <f t="shared" si="37"/>
        <v>0</v>
      </c>
      <c r="T86" s="237">
        <f t="shared" si="37"/>
        <v>0</v>
      </c>
      <c r="U86" s="237">
        <f t="shared" si="37"/>
        <v>0</v>
      </c>
      <c r="V86" s="237">
        <f t="shared" si="37"/>
        <v>0</v>
      </c>
      <c r="W86" s="237">
        <f t="shared" si="37"/>
        <v>0</v>
      </c>
      <c r="X86" s="237">
        <f t="shared" si="37"/>
        <v>0</v>
      </c>
      <c r="Y86" s="237">
        <f t="shared" si="37"/>
        <v>0</v>
      </c>
      <c r="Z86" s="237">
        <f t="shared" si="37"/>
        <v>0</v>
      </c>
      <c r="AA86" s="237">
        <f t="shared" si="37"/>
        <v>0</v>
      </c>
      <c r="AB86" s="237">
        <f t="shared" si="37"/>
        <v>0</v>
      </c>
      <c r="AC86" s="237">
        <f t="shared" si="37"/>
        <v>0</v>
      </c>
      <c r="AD86" s="237">
        <f t="shared" si="37"/>
        <v>0</v>
      </c>
      <c r="AE86" s="237">
        <f t="shared" si="37"/>
        <v>0</v>
      </c>
      <c r="AF86" s="237">
        <f t="shared" si="37"/>
        <v>0</v>
      </c>
      <c r="AG86" s="237">
        <f t="shared" si="37"/>
        <v>0</v>
      </c>
      <c r="AH86" s="237">
        <f t="shared" si="37"/>
        <v>0</v>
      </c>
      <c r="AI86" s="237">
        <f t="shared" si="37"/>
        <v>0</v>
      </c>
      <c r="AJ86" s="237">
        <f t="shared" si="37"/>
        <v>0</v>
      </c>
      <c r="AK86" s="237">
        <f t="shared" si="37"/>
        <v>0</v>
      </c>
      <c r="AL86" s="237">
        <f t="shared" si="37"/>
        <v>0</v>
      </c>
      <c r="AM86" s="237">
        <f t="shared" si="37"/>
        <v>0</v>
      </c>
      <c r="AN86" s="237">
        <f t="shared" si="37"/>
        <v>0</v>
      </c>
      <c r="AO86" s="237">
        <f t="shared" si="37"/>
        <v>0</v>
      </c>
      <c r="AP86" s="237">
        <f t="shared" si="37"/>
        <v>0</v>
      </c>
      <c r="AQ86" s="237">
        <f>IF(AND(AQ81&gt;0,AP81&lt;0),(AQ71-(AQ81/(AQ81-AP81))),0)</f>
        <v>0</v>
      </c>
      <c r="AR86" s="237">
        <f>IF(AND(AR81&gt;0,AQ81&lt;0),(AR71-(AR81/(AR81-AQ81))),0)</f>
        <v>0</v>
      </c>
      <c r="AS86" s="237">
        <f>IF(AND(AS81&gt;0,AR81&lt;0),(AS71-(AS81/(AS81-AR81))),0)</f>
        <v>0</v>
      </c>
    </row>
    <row r="87" spans="1:48" ht="15" thickBot="1" x14ac:dyDescent="0.25">
      <c r="A87" s="238" t="s">
        <v>500</v>
      </c>
      <c r="B87" s="239">
        <f t="shared" ref="B87:AP87" si="38">IF(AND(B84&gt;0,A84&lt;0),(B71-(B84/(B84-A84))),0)</f>
        <v>0</v>
      </c>
      <c r="C87" s="239">
        <f t="shared" si="38"/>
        <v>0</v>
      </c>
      <c r="D87" s="239">
        <f t="shared" si="38"/>
        <v>0</v>
      </c>
      <c r="E87" s="239">
        <f t="shared" si="38"/>
        <v>0</v>
      </c>
      <c r="F87" s="239">
        <f t="shared" si="38"/>
        <v>0</v>
      </c>
      <c r="G87" s="239">
        <f t="shared" si="38"/>
        <v>0</v>
      </c>
      <c r="H87" s="239">
        <f t="shared" si="38"/>
        <v>0</v>
      </c>
      <c r="I87" s="239">
        <f t="shared" si="38"/>
        <v>0</v>
      </c>
      <c r="J87" s="239">
        <f t="shared" si="38"/>
        <v>0</v>
      </c>
      <c r="K87" s="239">
        <f t="shared" si="38"/>
        <v>0</v>
      </c>
      <c r="L87" s="239">
        <f t="shared" si="38"/>
        <v>0</v>
      </c>
      <c r="M87" s="239">
        <f t="shared" si="38"/>
        <v>0</v>
      </c>
      <c r="N87" s="239">
        <f t="shared" si="38"/>
        <v>0</v>
      </c>
      <c r="O87" s="239">
        <f t="shared" si="38"/>
        <v>0</v>
      </c>
      <c r="P87" s="239">
        <f t="shared" si="38"/>
        <v>0</v>
      </c>
      <c r="Q87" s="239">
        <f t="shared" si="38"/>
        <v>0</v>
      </c>
      <c r="R87" s="239">
        <f t="shared" si="38"/>
        <v>0</v>
      </c>
      <c r="S87" s="239">
        <f t="shared" si="38"/>
        <v>0</v>
      </c>
      <c r="T87" s="239">
        <f t="shared" si="38"/>
        <v>0</v>
      </c>
      <c r="U87" s="239">
        <f t="shared" si="38"/>
        <v>0</v>
      </c>
      <c r="V87" s="239">
        <f t="shared" si="38"/>
        <v>0</v>
      </c>
      <c r="W87" s="239">
        <f t="shared" si="38"/>
        <v>0</v>
      </c>
      <c r="X87" s="239">
        <f t="shared" si="38"/>
        <v>0</v>
      </c>
      <c r="Y87" s="239">
        <f t="shared" si="38"/>
        <v>0</v>
      </c>
      <c r="Z87" s="239">
        <f t="shared" si="38"/>
        <v>0</v>
      </c>
      <c r="AA87" s="239">
        <f t="shared" si="38"/>
        <v>0</v>
      </c>
      <c r="AB87" s="239">
        <f t="shared" si="38"/>
        <v>0</v>
      </c>
      <c r="AC87" s="239">
        <f t="shared" si="38"/>
        <v>0</v>
      </c>
      <c r="AD87" s="239">
        <f t="shared" si="38"/>
        <v>0</v>
      </c>
      <c r="AE87" s="239">
        <f t="shared" si="38"/>
        <v>0</v>
      </c>
      <c r="AF87" s="239">
        <f t="shared" si="38"/>
        <v>0</v>
      </c>
      <c r="AG87" s="239">
        <f t="shared" si="38"/>
        <v>0</v>
      </c>
      <c r="AH87" s="239">
        <f t="shared" si="38"/>
        <v>0</v>
      </c>
      <c r="AI87" s="239">
        <f t="shared" si="38"/>
        <v>0</v>
      </c>
      <c r="AJ87" s="239">
        <f t="shared" si="38"/>
        <v>0</v>
      </c>
      <c r="AK87" s="239">
        <f t="shared" si="38"/>
        <v>0</v>
      </c>
      <c r="AL87" s="239">
        <f t="shared" si="38"/>
        <v>0</v>
      </c>
      <c r="AM87" s="239">
        <f t="shared" si="38"/>
        <v>0</v>
      </c>
      <c r="AN87" s="239">
        <f t="shared" si="38"/>
        <v>0</v>
      </c>
      <c r="AO87" s="239">
        <f t="shared" si="38"/>
        <v>0</v>
      </c>
      <c r="AP87" s="239">
        <f t="shared" si="38"/>
        <v>0</v>
      </c>
      <c r="AQ87" s="239">
        <f>IF(AND(AQ84&gt;0,AP84&lt;0),(AQ71-(AQ84/(AQ84-AP84))),0)</f>
        <v>0</v>
      </c>
      <c r="AR87" s="239">
        <f>IF(AND(AR84&gt;0,AQ84&lt;0),(AR71-(AR84/(AR84-AQ84))),0)</f>
        <v>0</v>
      </c>
      <c r="AS87" s="239">
        <f>IF(AND(AS84&gt;0,AR84&lt;0),(AS71-(AS84/(AS84-AR84))),0)</f>
        <v>0</v>
      </c>
    </row>
    <row r="88" spans="1:48" x14ac:dyDescent="0.2">
      <c r="B88" s="240">
        <v>2014</v>
      </c>
      <c r="C88" s="240">
        <f>B88+1</f>
        <v>2015</v>
      </c>
      <c r="D88" s="186">
        <f t="shared" ref="D88:AP88" si="39">C88+1</f>
        <v>2016</v>
      </c>
      <c r="E88" s="186">
        <f t="shared" si="39"/>
        <v>2017</v>
      </c>
      <c r="F88" s="186">
        <f t="shared" si="39"/>
        <v>2018</v>
      </c>
      <c r="G88" s="186">
        <f t="shared" si="39"/>
        <v>2019</v>
      </c>
      <c r="H88" s="186">
        <f t="shared" si="39"/>
        <v>2020</v>
      </c>
      <c r="I88" s="186">
        <f t="shared" si="39"/>
        <v>2021</v>
      </c>
      <c r="J88" s="186">
        <f t="shared" si="39"/>
        <v>2022</v>
      </c>
      <c r="K88" s="186">
        <f t="shared" si="39"/>
        <v>2023</v>
      </c>
      <c r="L88" s="186">
        <f t="shared" si="39"/>
        <v>2024</v>
      </c>
      <c r="M88" s="186">
        <f t="shared" si="39"/>
        <v>2025</v>
      </c>
      <c r="N88" s="186">
        <f t="shared" si="39"/>
        <v>2026</v>
      </c>
      <c r="O88" s="186">
        <f t="shared" si="39"/>
        <v>2027</v>
      </c>
      <c r="P88" s="186">
        <f t="shared" si="39"/>
        <v>2028</v>
      </c>
      <c r="Q88" s="186">
        <f t="shared" si="39"/>
        <v>2029</v>
      </c>
      <c r="R88" s="186">
        <f t="shared" si="39"/>
        <v>2030</v>
      </c>
      <c r="S88" s="186">
        <f t="shared" si="39"/>
        <v>2031</v>
      </c>
      <c r="T88" s="186">
        <f t="shared" si="39"/>
        <v>2032</v>
      </c>
      <c r="U88" s="186">
        <f t="shared" si="39"/>
        <v>2033</v>
      </c>
      <c r="V88" s="186">
        <f t="shared" si="39"/>
        <v>2034</v>
      </c>
      <c r="W88" s="186">
        <f t="shared" si="39"/>
        <v>2035</v>
      </c>
      <c r="X88" s="186">
        <f t="shared" si="39"/>
        <v>2036</v>
      </c>
      <c r="Y88" s="186">
        <f t="shared" si="39"/>
        <v>2037</v>
      </c>
      <c r="Z88" s="186">
        <f t="shared" si="39"/>
        <v>2038</v>
      </c>
      <c r="AA88" s="186">
        <f t="shared" si="39"/>
        <v>2039</v>
      </c>
      <c r="AB88" s="186">
        <f t="shared" si="39"/>
        <v>2040</v>
      </c>
      <c r="AC88" s="186">
        <f t="shared" si="39"/>
        <v>2041</v>
      </c>
      <c r="AD88" s="186">
        <f t="shared" si="39"/>
        <v>2042</v>
      </c>
      <c r="AE88" s="186">
        <f t="shared" si="39"/>
        <v>2043</v>
      </c>
      <c r="AF88" s="186">
        <f t="shared" si="39"/>
        <v>2044</v>
      </c>
      <c r="AG88" s="186">
        <f t="shared" si="39"/>
        <v>2045</v>
      </c>
      <c r="AH88" s="186">
        <f t="shared" si="39"/>
        <v>2046</v>
      </c>
      <c r="AI88" s="186">
        <f t="shared" si="39"/>
        <v>2047</v>
      </c>
      <c r="AJ88" s="186">
        <f t="shared" si="39"/>
        <v>2048</v>
      </c>
      <c r="AK88" s="186">
        <f t="shared" si="39"/>
        <v>2049</v>
      </c>
      <c r="AL88" s="186">
        <f t="shared" si="39"/>
        <v>2050</v>
      </c>
      <c r="AM88" s="186">
        <f t="shared" si="39"/>
        <v>2051</v>
      </c>
      <c r="AN88" s="186">
        <f t="shared" si="39"/>
        <v>2052</v>
      </c>
      <c r="AO88" s="186">
        <f t="shared" si="39"/>
        <v>2053</v>
      </c>
      <c r="AP88" s="186">
        <f t="shared" si="39"/>
        <v>2054</v>
      </c>
      <c r="AQ88" s="186">
        <f>AP88+1</f>
        <v>2055</v>
      </c>
      <c r="AR88" s="186">
        <f>AQ88+1</f>
        <v>2056</v>
      </c>
      <c r="AS88" s="186">
        <f>AR88+1</f>
        <v>2057</v>
      </c>
    </row>
    <row r="89" spans="1:48" x14ac:dyDescent="0.2">
      <c r="A89" s="381" t="s">
        <v>501</v>
      </c>
      <c r="B89" s="381"/>
      <c r="C89" s="381"/>
      <c r="D89" s="381"/>
      <c r="E89" s="381"/>
      <c r="F89" s="381"/>
      <c r="G89" s="381"/>
      <c r="H89" s="381"/>
      <c r="I89" s="381"/>
      <c r="J89" s="381"/>
      <c r="K89" s="381"/>
      <c r="L89" s="381"/>
      <c r="M89" s="381"/>
      <c r="N89" s="381"/>
      <c r="O89" s="381"/>
      <c r="P89" s="381"/>
      <c r="Q89" s="381"/>
      <c r="R89" s="381"/>
      <c r="S89" s="381"/>
      <c r="T89" s="381"/>
      <c r="U89" s="381"/>
      <c r="V89" s="381"/>
      <c r="W89" s="381"/>
      <c r="X89" s="381"/>
      <c r="Y89" s="381"/>
      <c r="Z89" s="381"/>
      <c r="AA89" s="381"/>
      <c r="AB89" s="381"/>
      <c r="AC89" s="381"/>
    </row>
    <row r="90" spans="1:48" ht="60" customHeight="1" x14ac:dyDescent="0.2">
      <c r="A90" s="379" t="s">
        <v>502</v>
      </c>
      <c r="B90" s="379"/>
      <c r="C90" s="379"/>
      <c r="D90" s="379"/>
      <c r="E90" s="379"/>
      <c r="F90" s="379"/>
      <c r="G90" s="379"/>
      <c r="H90" s="379"/>
      <c r="I90" s="379"/>
    </row>
    <row r="91" spans="1:48" x14ac:dyDescent="0.2">
      <c r="C91" s="242"/>
    </row>
    <row r="92" spans="1:48" s="245" customFormat="1" ht="32.25" hidden="1" customHeight="1" x14ac:dyDescent="0.2">
      <c r="A92" s="243" t="s">
        <v>504</v>
      </c>
      <c r="B92" s="244">
        <f>B78*B82</f>
        <v>-1194400</v>
      </c>
      <c r="C92" s="244">
        <f t="shared" ref="C92:AP92" si="40">C78*C82</f>
        <v>-34999.997399999796</v>
      </c>
      <c r="D92" s="244">
        <f t="shared" si="40"/>
        <v>-379511000.00000006</v>
      </c>
      <c r="E92" s="244">
        <f t="shared" si="40"/>
        <v>-71931020</v>
      </c>
      <c r="F92" s="244">
        <f t="shared" si="40"/>
        <v>0</v>
      </c>
      <c r="G92" s="244">
        <f t="shared" si="40"/>
        <v>0</v>
      </c>
      <c r="H92" s="244">
        <f t="shared" si="40"/>
        <v>0</v>
      </c>
      <c r="I92" s="244">
        <f t="shared" si="40"/>
        <v>0</v>
      </c>
      <c r="J92" s="244">
        <f>J78*J82</f>
        <v>0</v>
      </c>
      <c r="K92" s="244">
        <f t="shared" si="40"/>
        <v>0</v>
      </c>
      <c r="L92" s="244">
        <f>L78*L82</f>
        <v>0</v>
      </c>
      <c r="M92" s="244">
        <f t="shared" si="40"/>
        <v>0</v>
      </c>
      <c r="N92" s="244">
        <f t="shared" si="40"/>
        <v>0</v>
      </c>
      <c r="O92" s="244">
        <f t="shared" si="40"/>
        <v>0</v>
      </c>
      <c r="P92" s="244">
        <f t="shared" si="40"/>
        <v>0</v>
      </c>
      <c r="Q92" s="244">
        <f t="shared" si="40"/>
        <v>0</v>
      </c>
      <c r="R92" s="244">
        <f t="shared" si="40"/>
        <v>0</v>
      </c>
      <c r="S92" s="244">
        <f t="shared" si="40"/>
        <v>0</v>
      </c>
      <c r="T92" s="244">
        <f t="shared" si="40"/>
        <v>0</v>
      </c>
      <c r="U92" s="244">
        <f t="shared" si="40"/>
        <v>0</v>
      </c>
      <c r="V92" s="244">
        <f t="shared" si="40"/>
        <v>0</v>
      </c>
      <c r="W92" s="244">
        <f t="shared" si="40"/>
        <v>0</v>
      </c>
      <c r="X92" s="244">
        <f t="shared" si="40"/>
        <v>0</v>
      </c>
      <c r="Y92" s="244">
        <f t="shared" si="40"/>
        <v>0</v>
      </c>
      <c r="Z92" s="244">
        <f t="shared" si="40"/>
        <v>0</v>
      </c>
      <c r="AA92" s="244">
        <f t="shared" si="40"/>
        <v>0</v>
      </c>
      <c r="AB92" s="244">
        <f t="shared" si="40"/>
        <v>0</v>
      </c>
      <c r="AC92" s="244">
        <f t="shared" si="40"/>
        <v>0</v>
      </c>
      <c r="AD92" s="244">
        <f t="shared" si="40"/>
        <v>0</v>
      </c>
      <c r="AE92" s="244">
        <f t="shared" si="40"/>
        <v>0</v>
      </c>
      <c r="AF92" s="244">
        <f t="shared" si="40"/>
        <v>0</v>
      </c>
      <c r="AG92" s="244">
        <f t="shared" si="40"/>
        <v>0</v>
      </c>
      <c r="AH92" s="244">
        <f t="shared" si="40"/>
        <v>0</v>
      </c>
      <c r="AI92" s="244">
        <f t="shared" si="40"/>
        <v>0</v>
      </c>
      <c r="AJ92" s="244">
        <f t="shared" si="40"/>
        <v>0</v>
      </c>
      <c r="AK92" s="244">
        <f t="shared" si="40"/>
        <v>0</v>
      </c>
      <c r="AL92" s="244">
        <f t="shared" si="40"/>
        <v>0</v>
      </c>
      <c r="AM92" s="244">
        <f t="shared" si="40"/>
        <v>0</v>
      </c>
      <c r="AN92" s="244">
        <f t="shared" si="40"/>
        <v>0</v>
      </c>
      <c r="AO92" s="244">
        <f t="shared" si="40"/>
        <v>0</v>
      </c>
      <c r="AP92" s="244">
        <f t="shared" si="40"/>
        <v>0</v>
      </c>
      <c r="AQ92" s="244">
        <f>AQ78*AQ82</f>
        <v>0</v>
      </c>
      <c r="AR92" s="244">
        <f>AR78*AR82</f>
        <v>0</v>
      </c>
      <c r="AS92" s="244">
        <f>AS78*AS82</f>
        <v>0</v>
      </c>
      <c r="AT92" s="190">
        <f>SUM(B92:AS92)</f>
        <v>-452671419.99740005</v>
      </c>
      <c r="AU92" s="190"/>
      <c r="AV92" s="190"/>
    </row>
    <row r="93" spans="1:48" s="245" customFormat="1" hidden="1" x14ac:dyDescent="0.2">
      <c r="A93" s="246">
        <f>AT92</f>
        <v>-452671419.99740005</v>
      </c>
      <c r="B93" s="243"/>
      <c r="C93" s="243"/>
      <c r="D93" s="243"/>
      <c r="E93" s="243"/>
      <c r="F93" s="243"/>
      <c r="G93" s="243"/>
      <c r="H93" s="243"/>
      <c r="I93" s="243"/>
      <c r="J93" s="243"/>
      <c r="K93" s="243"/>
      <c r="L93" s="243"/>
      <c r="M93" s="243"/>
      <c r="N93" s="243"/>
      <c r="O93" s="243"/>
      <c r="P93" s="243"/>
      <c r="Q93" s="243"/>
      <c r="R93" s="243"/>
      <c r="S93" s="243"/>
      <c r="T93" s="243"/>
      <c r="U93" s="243"/>
      <c r="V93" s="243"/>
      <c r="W93" s="243"/>
      <c r="X93" s="243"/>
      <c r="Y93" s="243"/>
      <c r="Z93" s="243"/>
      <c r="AA93" s="243"/>
      <c r="AB93" s="243"/>
      <c r="AC93" s="243"/>
      <c r="AT93" s="190"/>
      <c r="AU93" s="190"/>
      <c r="AV93" s="190"/>
    </row>
    <row r="94" spans="1:48" s="245" customFormat="1" hidden="1" x14ac:dyDescent="0.2">
      <c r="A94" s="243"/>
      <c r="B94" s="243"/>
      <c r="C94" s="243"/>
      <c r="D94" s="243"/>
      <c r="E94" s="243"/>
      <c r="F94" s="243"/>
      <c r="G94" s="243"/>
      <c r="H94" s="243"/>
      <c r="I94" s="243"/>
      <c r="J94" s="243"/>
      <c r="K94" s="243"/>
      <c r="L94" s="243"/>
      <c r="M94" s="243"/>
      <c r="N94" s="243"/>
      <c r="O94" s="243"/>
      <c r="P94" s="243"/>
      <c r="Q94" s="243"/>
      <c r="R94" s="243"/>
      <c r="S94" s="243"/>
      <c r="T94" s="243"/>
      <c r="U94" s="243"/>
      <c r="V94" s="243"/>
      <c r="W94" s="243"/>
      <c r="X94" s="243"/>
      <c r="Y94" s="243"/>
      <c r="Z94" s="243"/>
      <c r="AA94" s="243"/>
      <c r="AB94" s="243"/>
      <c r="AC94" s="243"/>
      <c r="AT94" s="190"/>
      <c r="AU94" s="190"/>
      <c r="AV94" s="190"/>
    </row>
    <row r="95" spans="1:48" s="245" customFormat="1" hidden="1" x14ac:dyDescent="0.2">
      <c r="A95" s="243" t="s">
        <v>505</v>
      </c>
      <c r="B95" s="247">
        <f>(G26+-A93)/-A93</f>
        <v>0.72997992157067937</v>
      </c>
      <c r="C95" s="243"/>
      <c r="D95" s="243">
        <v>1</v>
      </c>
      <c r="E95" s="243"/>
      <c r="F95" s="243"/>
      <c r="G95" s="243"/>
      <c r="H95" s="243"/>
      <c r="I95" s="243"/>
      <c r="J95" s="243"/>
      <c r="K95" s="243"/>
      <c r="L95" s="243"/>
      <c r="M95" s="243"/>
      <c r="N95" s="243"/>
      <c r="O95" s="243"/>
      <c r="P95" s="243"/>
      <c r="Q95" s="243"/>
      <c r="R95" s="243"/>
      <c r="S95" s="243"/>
      <c r="T95" s="243"/>
      <c r="U95" s="243"/>
      <c r="V95" s="243"/>
      <c r="W95" s="243"/>
      <c r="X95" s="243"/>
      <c r="Y95" s="243"/>
      <c r="Z95" s="243"/>
      <c r="AA95" s="243"/>
      <c r="AB95" s="243"/>
      <c r="AC95" s="243"/>
      <c r="AT95" s="190"/>
      <c r="AU95" s="190"/>
      <c r="AV95" s="190"/>
    </row>
    <row r="96" spans="1:48" s="245" customFormat="1" x14ac:dyDescent="0.2">
      <c r="A96" s="243"/>
      <c r="B96" s="243"/>
      <c r="C96" s="243"/>
      <c r="D96" s="243"/>
      <c r="E96" s="243"/>
      <c r="F96" s="243"/>
      <c r="G96" s="243"/>
      <c r="H96" s="243"/>
      <c r="I96" s="243"/>
      <c r="J96" s="243"/>
      <c r="K96" s="243"/>
      <c r="L96" s="243"/>
      <c r="M96" s="243"/>
      <c r="N96" s="243"/>
      <c r="O96" s="243"/>
      <c r="P96" s="243"/>
      <c r="Q96" s="243"/>
      <c r="R96" s="243"/>
      <c r="S96" s="243"/>
      <c r="T96" s="243"/>
      <c r="U96" s="243"/>
      <c r="V96" s="243"/>
      <c r="W96" s="243"/>
      <c r="X96" s="243"/>
      <c r="Y96" s="243"/>
      <c r="Z96" s="243"/>
      <c r="AA96" s="243"/>
      <c r="AB96" s="243"/>
      <c r="AC96" s="243"/>
      <c r="AT96" s="190"/>
      <c r="AU96" s="190"/>
      <c r="AV96" s="190"/>
    </row>
    <row r="97" spans="1:48" s="245" customFormat="1" x14ac:dyDescent="0.2">
      <c r="A97" s="243"/>
      <c r="B97" s="243"/>
      <c r="C97" s="243"/>
      <c r="D97" s="243"/>
      <c r="E97" s="243"/>
      <c r="F97" s="243"/>
      <c r="G97" s="243"/>
      <c r="H97" s="243"/>
      <c r="I97" s="243"/>
      <c r="J97" s="243"/>
      <c r="K97" s="243"/>
      <c r="L97" s="243"/>
      <c r="M97" s="243"/>
      <c r="N97" s="243"/>
      <c r="O97" s="243"/>
      <c r="P97" s="243"/>
      <c r="Q97" s="243"/>
      <c r="R97" s="243"/>
      <c r="S97" s="243"/>
      <c r="T97" s="243"/>
      <c r="U97" s="243"/>
      <c r="V97" s="243"/>
      <c r="W97" s="243"/>
      <c r="X97" s="243"/>
      <c r="Y97" s="243"/>
      <c r="Z97" s="243"/>
      <c r="AA97" s="243"/>
      <c r="AB97" s="243"/>
      <c r="AC97" s="243"/>
      <c r="AT97" s="190"/>
      <c r="AU97" s="190"/>
      <c r="AV97" s="190"/>
    </row>
  </sheetData>
  <mergeCells count="15">
    <mergeCell ref="A90:I90"/>
    <mergeCell ref="A5:AR5"/>
    <mergeCell ref="A7:AR7"/>
    <mergeCell ref="A9:AR9"/>
    <mergeCell ref="A10:AR10"/>
    <mergeCell ref="A12:AR12"/>
    <mergeCell ref="A13:AR13"/>
    <mergeCell ref="A15:AR15"/>
    <mergeCell ref="A16:AR16"/>
    <mergeCell ref="A18:AR18"/>
    <mergeCell ref="D24:E24"/>
    <mergeCell ref="D25:E25"/>
    <mergeCell ref="D26:E26"/>
    <mergeCell ref="D27:E27"/>
    <mergeCell ref="A89:AC8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7"/>
  <sheetViews>
    <sheetView view="pageBreakPreview" topLeftCell="A19" zoomScaleSheetLayoutView="100" workbookViewId="0">
      <selection activeCell="H30" sqref="H30"/>
    </sheetView>
  </sheetViews>
  <sheetFormatPr defaultRowHeight="15.75" x14ac:dyDescent="0.25"/>
  <cols>
    <col min="1" max="1" width="9.140625" style="62"/>
    <col min="2" max="2" width="37.7109375" style="62" customWidth="1"/>
    <col min="3" max="3" width="18.42578125" style="62" customWidth="1"/>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69</v>
      </c>
    </row>
    <row r="2" spans="1:44" ht="18.75" x14ac:dyDescent="0.3">
      <c r="L2" s="15" t="s">
        <v>10</v>
      </c>
    </row>
    <row r="3" spans="1:44" ht="18.75" x14ac:dyDescent="0.3">
      <c r="L3" s="15" t="s">
        <v>68</v>
      </c>
    </row>
    <row r="4" spans="1:44" ht="18.75" x14ac:dyDescent="0.3">
      <c r="K4" s="15"/>
    </row>
    <row r="5" spans="1:44" x14ac:dyDescent="0.25">
      <c r="A5" s="339" t="str">
        <f>'1. паспорт местоположение'!A5:C5</f>
        <v>Год раскрытия информации: 2016 год</v>
      </c>
      <c r="B5" s="339"/>
      <c r="C5" s="339"/>
      <c r="D5" s="339"/>
      <c r="E5" s="339"/>
      <c r="F5" s="339"/>
      <c r="G5" s="339"/>
      <c r="H5" s="339"/>
      <c r="I5" s="339"/>
      <c r="J5" s="339"/>
      <c r="K5" s="339"/>
      <c r="L5" s="339"/>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ht="18.75" x14ac:dyDescent="0.3">
      <c r="K6" s="15"/>
    </row>
    <row r="7" spans="1:44" ht="18.75" x14ac:dyDescent="0.25">
      <c r="A7" s="332" t="s">
        <v>9</v>
      </c>
      <c r="B7" s="332"/>
      <c r="C7" s="332"/>
      <c r="D7" s="332"/>
      <c r="E7" s="332"/>
      <c r="F7" s="332"/>
      <c r="G7" s="332"/>
      <c r="H7" s="332"/>
      <c r="I7" s="332"/>
      <c r="J7" s="332"/>
      <c r="K7" s="332"/>
      <c r="L7" s="332"/>
    </row>
    <row r="8" spans="1:44" ht="18.75" x14ac:dyDescent="0.25">
      <c r="A8" s="332"/>
      <c r="B8" s="332"/>
      <c r="C8" s="332"/>
      <c r="D8" s="332"/>
      <c r="E8" s="332"/>
      <c r="F8" s="332"/>
      <c r="G8" s="332"/>
      <c r="H8" s="332"/>
      <c r="I8" s="332"/>
      <c r="J8" s="332"/>
      <c r="K8" s="332"/>
      <c r="L8" s="332"/>
    </row>
    <row r="9" spans="1:44" x14ac:dyDescent="0.25">
      <c r="A9" s="335" t="str">
        <f>'1. паспорт местоположение'!A9:C9</f>
        <v>АО "Янтарьэнерго"</v>
      </c>
      <c r="B9" s="335"/>
      <c r="C9" s="335"/>
      <c r="D9" s="335"/>
      <c r="E9" s="335"/>
      <c r="F9" s="335"/>
      <c r="G9" s="335"/>
      <c r="H9" s="335"/>
      <c r="I9" s="335"/>
      <c r="J9" s="335"/>
      <c r="K9" s="335"/>
      <c r="L9" s="335"/>
    </row>
    <row r="10" spans="1:44" x14ac:dyDescent="0.25">
      <c r="A10" s="329" t="s">
        <v>8</v>
      </c>
      <c r="B10" s="329"/>
      <c r="C10" s="329"/>
      <c r="D10" s="329"/>
      <c r="E10" s="329"/>
      <c r="F10" s="329"/>
      <c r="G10" s="329"/>
      <c r="H10" s="329"/>
      <c r="I10" s="329"/>
      <c r="J10" s="329"/>
      <c r="K10" s="329"/>
      <c r="L10" s="329"/>
    </row>
    <row r="11" spans="1:44" ht="18.75" x14ac:dyDescent="0.25">
      <c r="A11" s="332"/>
      <c r="B11" s="332"/>
      <c r="C11" s="332"/>
      <c r="D11" s="332"/>
      <c r="E11" s="332"/>
      <c r="F11" s="332"/>
      <c r="G11" s="332"/>
      <c r="H11" s="332"/>
      <c r="I11" s="332"/>
      <c r="J11" s="332"/>
      <c r="K11" s="332"/>
      <c r="L11" s="332"/>
    </row>
    <row r="12" spans="1:44" x14ac:dyDescent="0.25">
      <c r="A12" s="335" t="str">
        <f>'1. паспорт местоположение'!A12:C12</f>
        <v>E_prj_111001_47826</v>
      </c>
      <c r="B12" s="335"/>
      <c r="C12" s="335"/>
      <c r="D12" s="335"/>
      <c r="E12" s="335"/>
      <c r="F12" s="335"/>
      <c r="G12" s="335"/>
      <c r="H12" s="335"/>
      <c r="I12" s="335"/>
      <c r="J12" s="335"/>
      <c r="K12" s="335"/>
      <c r="L12" s="335"/>
    </row>
    <row r="13" spans="1:44" x14ac:dyDescent="0.25">
      <c r="A13" s="329" t="s">
        <v>7</v>
      </c>
      <c r="B13" s="329"/>
      <c r="C13" s="329"/>
      <c r="D13" s="329"/>
      <c r="E13" s="329"/>
      <c r="F13" s="329"/>
      <c r="G13" s="329"/>
      <c r="H13" s="329"/>
      <c r="I13" s="329"/>
      <c r="J13" s="329"/>
      <c r="K13" s="329"/>
      <c r="L13" s="329"/>
    </row>
    <row r="14" spans="1:44" ht="18.75" x14ac:dyDescent="0.25">
      <c r="A14" s="338"/>
      <c r="B14" s="338"/>
      <c r="C14" s="338"/>
      <c r="D14" s="338"/>
      <c r="E14" s="338"/>
      <c r="F14" s="338"/>
      <c r="G14" s="338"/>
      <c r="H14" s="338"/>
      <c r="I14" s="338"/>
      <c r="J14" s="338"/>
      <c r="K14" s="338"/>
      <c r="L14" s="338"/>
    </row>
    <row r="15" spans="1:44" x14ac:dyDescent="0.25">
      <c r="A15" s="335" t="str">
        <f>'1. паспорт местоположение'!A15:C15</f>
        <v>Комплексная реконструкция ВЛ 110 кВ 115/116 (ПС Центральная - ПС Московская/ ПС Центральная - ПС Северная) и 116/166 (ПС Центральная - ПС Северная/ ПС Московская - ПС Северная)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 г. Калининград</v>
      </c>
      <c r="B15" s="335"/>
      <c r="C15" s="335"/>
      <c r="D15" s="335"/>
      <c r="E15" s="335"/>
      <c r="F15" s="335"/>
      <c r="G15" s="335"/>
      <c r="H15" s="335"/>
      <c r="I15" s="335"/>
      <c r="J15" s="335"/>
      <c r="K15" s="335"/>
      <c r="L15" s="335"/>
    </row>
    <row r="16" spans="1:44" x14ac:dyDescent="0.25">
      <c r="A16" s="329" t="s">
        <v>6</v>
      </c>
      <c r="B16" s="329"/>
      <c r="C16" s="329"/>
      <c r="D16" s="329"/>
      <c r="E16" s="329"/>
      <c r="F16" s="329"/>
      <c r="G16" s="329"/>
      <c r="H16" s="329"/>
      <c r="I16" s="329"/>
      <c r="J16" s="329"/>
      <c r="K16" s="329"/>
      <c r="L16" s="329"/>
    </row>
    <row r="17" spans="1:12" ht="15.75" customHeight="1" x14ac:dyDescent="0.25">
      <c r="L17" s="97"/>
    </row>
    <row r="18" spans="1:12" x14ac:dyDescent="0.25">
      <c r="K18" s="96"/>
    </row>
    <row r="19" spans="1:12" ht="15.75" customHeight="1" x14ac:dyDescent="0.25">
      <c r="A19" s="382" t="s">
        <v>416</v>
      </c>
      <c r="B19" s="382"/>
      <c r="C19" s="382"/>
      <c r="D19" s="382"/>
      <c r="E19" s="382"/>
      <c r="F19" s="382"/>
      <c r="G19" s="382"/>
      <c r="H19" s="382"/>
      <c r="I19" s="382"/>
      <c r="J19" s="382"/>
      <c r="K19" s="382"/>
      <c r="L19" s="382"/>
    </row>
    <row r="20" spans="1:12" x14ac:dyDescent="0.25">
      <c r="A20" s="66"/>
      <c r="B20" s="66"/>
      <c r="C20" s="95"/>
      <c r="D20" s="95"/>
      <c r="E20" s="95"/>
      <c r="F20" s="95"/>
      <c r="G20" s="95"/>
      <c r="H20" s="95"/>
      <c r="I20" s="95"/>
      <c r="J20" s="95"/>
      <c r="K20" s="95"/>
      <c r="L20" s="95"/>
    </row>
    <row r="21" spans="1:12" ht="28.5" customHeight="1" x14ac:dyDescent="0.25">
      <c r="A21" s="383" t="s">
        <v>216</v>
      </c>
      <c r="B21" s="383" t="s">
        <v>215</v>
      </c>
      <c r="C21" s="389" t="s">
        <v>374</v>
      </c>
      <c r="D21" s="389"/>
      <c r="E21" s="389"/>
      <c r="F21" s="389"/>
      <c r="G21" s="389"/>
      <c r="H21" s="389"/>
      <c r="I21" s="384" t="s">
        <v>214</v>
      </c>
      <c r="J21" s="386" t="s">
        <v>376</v>
      </c>
      <c r="K21" s="383" t="s">
        <v>213</v>
      </c>
      <c r="L21" s="385" t="s">
        <v>375</v>
      </c>
    </row>
    <row r="22" spans="1:12" ht="58.5" customHeight="1" x14ac:dyDescent="0.25">
      <c r="A22" s="383"/>
      <c r="B22" s="383"/>
      <c r="C22" s="390" t="s">
        <v>2</v>
      </c>
      <c r="D22" s="390"/>
      <c r="E22" s="149"/>
      <c r="F22" s="150"/>
      <c r="G22" s="391" t="s">
        <v>11</v>
      </c>
      <c r="H22" s="392"/>
      <c r="I22" s="384"/>
      <c r="J22" s="387"/>
      <c r="K22" s="383"/>
      <c r="L22" s="385"/>
    </row>
    <row r="23" spans="1:12" ht="47.25" x14ac:dyDescent="0.25">
      <c r="A23" s="383"/>
      <c r="B23" s="383"/>
      <c r="C23" s="94" t="s">
        <v>212</v>
      </c>
      <c r="D23" s="94" t="s">
        <v>211</v>
      </c>
      <c r="E23" s="94" t="s">
        <v>212</v>
      </c>
      <c r="F23" s="94" t="s">
        <v>211</v>
      </c>
      <c r="G23" s="94" t="s">
        <v>212</v>
      </c>
      <c r="H23" s="94" t="s">
        <v>211</v>
      </c>
      <c r="I23" s="384"/>
      <c r="J23" s="388"/>
      <c r="K23" s="383"/>
      <c r="L23" s="385"/>
    </row>
    <row r="24" spans="1:12" x14ac:dyDescent="0.25">
      <c r="A24" s="73">
        <v>1</v>
      </c>
      <c r="B24" s="73">
        <v>2</v>
      </c>
      <c r="C24" s="94">
        <v>3</v>
      </c>
      <c r="D24" s="94">
        <v>4</v>
      </c>
      <c r="E24" s="94">
        <v>5</v>
      </c>
      <c r="F24" s="94">
        <v>6</v>
      </c>
      <c r="G24" s="94">
        <v>7</v>
      </c>
      <c r="H24" s="94">
        <v>8</v>
      </c>
      <c r="I24" s="94">
        <v>9</v>
      </c>
      <c r="J24" s="94">
        <v>10</v>
      </c>
      <c r="K24" s="94">
        <v>11</v>
      </c>
      <c r="L24" s="94">
        <v>12</v>
      </c>
    </row>
    <row r="25" spans="1:12" s="69" customFormat="1" x14ac:dyDescent="0.25">
      <c r="A25" s="183">
        <v>1</v>
      </c>
      <c r="B25" s="182" t="s">
        <v>210</v>
      </c>
      <c r="C25" s="88" t="s">
        <v>464</v>
      </c>
      <c r="D25" s="175" t="s">
        <v>464</v>
      </c>
      <c r="E25" s="93"/>
      <c r="F25" s="93"/>
      <c r="G25" s="93"/>
      <c r="H25" s="93"/>
      <c r="I25" s="93"/>
      <c r="J25" s="93"/>
      <c r="K25" s="87"/>
      <c r="L25" s="87"/>
    </row>
    <row r="26" spans="1:12" s="69" customFormat="1" x14ac:dyDescent="0.25">
      <c r="A26" s="183" t="s">
        <v>188</v>
      </c>
      <c r="B26" s="182" t="s">
        <v>453</v>
      </c>
      <c r="C26" s="88"/>
      <c r="D26" s="175"/>
      <c r="E26" s="93"/>
      <c r="F26" s="93"/>
      <c r="G26" s="93"/>
      <c r="H26" s="93"/>
      <c r="I26" s="93"/>
      <c r="J26" s="93"/>
      <c r="K26" s="87"/>
      <c r="L26" s="87"/>
    </row>
    <row r="27" spans="1:12" s="69" customFormat="1" x14ac:dyDescent="0.25">
      <c r="A27" s="183" t="s">
        <v>186</v>
      </c>
      <c r="B27" s="182" t="s">
        <v>454</v>
      </c>
      <c r="C27" s="88"/>
      <c r="D27" s="175"/>
      <c r="E27" s="93"/>
      <c r="F27" s="93"/>
      <c r="G27" s="93"/>
      <c r="H27" s="93"/>
      <c r="I27" s="93"/>
      <c r="J27" s="93"/>
      <c r="K27" s="87"/>
      <c r="L27" s="87"/>
    </row>
    <row r="28" spans="1:12" s="69" customFormat="1" ht="31.5" x14ac:dyDescent="0.25">
      <c r="A28" s="183" t="s">
        <v>184</v>
      </c>
      <c r="B28" s="182" t="s">
        <v>455</v>
      </c>
      <c r="C28" s="88" t="s">
        <v>465</v>
      </c>
      <c r="D28" s="175" t="s">
        <v>466</v>
      </c>
      <c r="E28" s="93"/>
      <c r="F28" s="93"/>
      <c r="G28" s="88" t="s">
        <v>465</v>
      </c>
      <c r="H28" s="175" t="s">
        <v>466</v>
      </c>
      <c r="I28" s="175">
        <v>100</v>
      </c>
      <c r="J28" s="93"/>
      <c r="K28" s="87"/>
      <c r="L28" s="87"/>
    </row>
    <row r="29" spans="1:12" s="69" customFormat="1" ht="63" x14ac:dyDescent="0.25">
      <c r="A29" s="183" t="s">
        <v>183</v>
      </c>
      <c r="B29" s="182" t="s">
        <v>456</v>
      </c>
      <c r="C29" s="88" t="s">
        <v>467</v>
      </c>
      <c r="D29" s="175" t="s">
        <v>468</v>
      </c>
      <c r="E29" s="93"/>
      <c r="F29" s="93"/>
      <c r="G29" s="88" t="s">
        <v>467</v>
      </c>
      <c r="H29" s="175" t="s">
        <v>468</v>
      </c>
      <c r="I29" s="175">
        <v>100</v>
      </c>
      <c r="J29" s="93"/>
      <c r="K29" s="87"/>
      <c r="L29" s="87"/>
    </row>
    <row r="30" spans="1:12" s="69" customFormat="1" ht="31.5" x14ac:dyDescent="0.25">
      <c r="A30" s="183" t="s">
        <v>181</v>
      </c>
      <c r="B30" s="182" t="s">
        <v>209</v>
      </c>
      <c r="C30" s="88" t="s">
        <v>469</v>
      </c>
      <c r="D30" s="175" t="s">
        <v>468</v>
      </c>
      <c r="E30" s="92"/>
      <c r="F30" s="92"/>
      <c r="G30" s="88" t="s">
        <v>469</v>
      </c>
      <c r="H30" s="175" t="s">
        <v>468</v>
      </c>
      <c r="I30" s="175">
        <v>100</v>
      </c>
      <c r="J30" s="92"/>
      <c r="K30" s="92"/>
      <c r="L30" s="87"/>
    </row>
    <row r="31" spans="1:12" s="69" customFormat="1" x14ac:dyDescent="0.25">
      <c r="A31" s="183" t="s">
        <v>475</v>
      </c>
      <c r="B31" s="182" t="s">
        <v>208</v>
      </c>
      <c r="C31" s="178">
        <v>42095</v>
      </c>
      <c r="D31" s="179">
        <v>42368</v>
      </c>
      <c r="E31" s="92"/>
      <c r="F31" s="92"/>
      <c r="G31" s="178">
        <v>42095</v>
      </c>
      <c r="H31" s="179">
        <v>42368</v>
      </c>
      <c r="I31" s="175">
        <v>100</v>
      </c>
      <c r="J31" s="92"/>
      <c r="K31" s="92"/>
      <c r="L31" s="87"/>
    </row>
    <row r="32" spans="1:12" x14ac:dyDescent="0.25">
      <c r="A32" s="183">
        <v>2</v>
      </c>
      <c r="B32" s="182" t="s">
        <v>207</v>
      </c>
      <c r="C32" s="88" t="s">
        <v>464</v>
      </c>
      <c r="D32" s="176" t="s">
        <v>464</v>
      </c>
      <c r="E32" s="91"/>
      <c r="F32" s="90"/>
      <c r="G32" s="88" t="s">
        <v>464</v>
      </c>
      <c r="H32" s="176" t="s">
        <v>464</v>
      </c>
      <c r="I32" s="181" t="s">
        <v>464</v>
      </c>
      <c r="J32" s="89"/>
      <c r="K32" s="87"/>
      <c r="L32" s="87"/>
    </row>
    <row r="33" spans="1:12" ht="31.5" x14ac:dyDescent="0.25">
      <c r="A33" s="183" t="s">
        <v>178</v>
      </c>
      <c r="B33" s="182" t="s">
        <v>457</v>
      </c>
      <c r="C33" s="88" t="s">
        <v>470</v>
      </c>
      <c r="D33" s="88" t="s">
        <v>471</v>
      </c>
      <c r="E33" s="91"/>
      <c r="F33" s="90"/>
      <c r="G33" s="88" t="s">
        <v>470</v>
      </c>
      <c r="H33" s="88" t="s">
        <v>471</v>
      </c>
      <c r="I33" s="181">
        <v>100</v>
      </c>
      <c r="J33" s="89"/>
      <c r="K33" s="87"/>
      <c r="L33" s="87"/>
    </row>
    <row r="34" spans="1:12" ht="63" x14ac:dyDescent="0.25">
      <c r="A34" s="183" t="s">
        <v>176</v>
      </c>
      <c r="B34" s="182" t="s">
        <v>458</v>
      </c>
      <c r="C34" s="178">
        <v>42005</v>
      </c>
      <c r="D34" s="180">
        <v>42186</v>
      </c>
      <c r="E34" s="87"/>
      <c r="F34" s="87"/>
      <c r="G34" s="178">
        <v>42005</v>
      </c>
      <c r="H34" s="180">
        <v>42186</v>
      </c>
      <c r="I34" s="177">
        <v>100</v>
      </c>
      <c r="J34" s="87"/>
      <c r="K34" s="87"/>
      <c r="L34" s="87"/>
    </row>
    <row r="35" spans="1:12" ht="31.5" x14ac:dyDescent="0.25">
      <c r="A35" s="183" t="s">
        <v>174</v>
      </c>
      <c r="B35" s="182" t="s">
        <v>459</v>
      </c>
      <c r="C35" s="88"/>
      <c r="D35" s="177"/>
      <c r="E35" s="87"/>
      <c r="F35" s="87"/>
      <c r="G35" s="87"/>
      <c r="H35" s="87"/>
      <c r="I35" s="177"/>
      <c r="J35" s="87"/>
      <c r="K35" s="87"/>
      <c r="L35" s="87"/>
    </row>
    <row r="36" spans="1:12" ht="47.25" x14ac:dyDescent="0.25">
      <c r="A36" s="183">
        <v>3</v>
      </c>
      <c r="B36" s="182" t="s">
        <v>460</v>
      </c>
      <c r="C36" s="88" t="s">
        <v>464</v>
      </c>
      <c r="D36" s="177" t="s">
        <v>464</v>
      </c>
      <c r="E36" s="87"/>
      <c r="F36" s="87"/>
      <c r="G36" s="87"/>
      <c r="H36" s="87"/>
      <c r="I36" s="177" t="s">
        <v>464</v>
      </c>
      <c r="J36" s="87"/>
      <c r="K36" s="87"/>
      <c r="L36" s="87"/>
    </row>
    <row r="37" spans="1:12" ht="31.5" x14ac:dyDescent="0.25">
      <c r="A37" s="183" t="s">
        <v>169</v>
      </c>
      <c r="B37" s="182" t="s">
        <v>461</v>
      </c>
      <c r="C37" s="88" t="s">
        <v>472</v>
      </c>
      <c r="D37" s="180">
        <v>42217</v>
      </c>
      <c r="E37" s="87"/>
      <c r="F37" s="87"/>
      <c r="G37" s="88" t="s">
        <v>472</v>
      </c>
      <c r="H37" s="180">
        <v>42217</v>
      </c>
      <c r="I37" s="177">
        <v>100</v>
      </c>
      <c r="J37" s="177">
        <v>100</v>
      </c>
      <c r="K37" s="87"/>
      <c r="L37" s="87"/>
    </row>
    <row r="38" spans="1:12" ht="31.5" x14ac:dyDescent="0.25">
      <c r="A38" s="183" t="s">
        <v>167</v>
      </c>
      <c r="B38" s="182" t="s">
        <v>206</v>
      </c>
      <c r="C38" s="88" t="s">
        <v>473</v>
      </c>
      <c r="D38" s="180">
        <v>42552</v>
      </c>
      <c r="E38" s="87"/>
      <c r="F38" s="87"/>
      <c r="G38" s="88" t="s">
        <v>473</v>
      </c>
      <c r="H38" s="180">
        <v>42552</v>
      </c>
      <c r="I38" s="322">
        <v>100</v>
      </c>
      <c r="J38" s="322">
        <v>100</v>
      </c>
      <c r="K38" s="87"/>
      <c r="L38" s="322"/>
    </row>
    <row r="39" spans="1:12" x14ac:dyDescent="0.25">
      <c r="A39" s="183" t="s">
        <v>166</v>
      </c>
      <c r="B39" s="182" t="s">
        <v>205</v>
      </c>
      <c r="C39" s="178">
        <v>42401</v>
      </c>
      <c r="D39" s="177" t="s">
        <v>474</v>
      </c>
      <c r="E39" s="87"/>
      <c r="F39" s="87"/>
      <c r="G39" s="178">
        <v>42401</v>
      </c>
      <c r="H39" s="87"/>
      <c r="I39" s="322"/>
      <c r="J39" s="322"/>
      <c r="K39" s="87"/>
      <c r="L39" s="87"/>
    </row>
    <row r="40" spans="1:12" x14ac:dyDescent="0.25">
      <c r="A40" s="183" t="s">
        <v>165</v>
      </c>
      <c r="B40" s="182" t="s">
        <v>204</v>
      </c>
      <c r="C40" s="178">
        <v>42430</v>
      </c>
      <c r="D40" s="177" t="s">
        <v>474</v>
      </c>
      <c r="E40" s="87"/>
      <c r="F40" s="87"/>
      <c r="G40" s="178">
        <v>42430</v>
      </c>
      <c r="H40" s="87"/>
      <c r="I40" s="322"/>
      <c r="J40" s="322"/>
      <c r="K40" s="87"/>
      <c r="L40" s="87"/>
    </row>
    <row r="41" spans="1:12" x14ac:dyDescent="0.25">
      <c r="A41" s="183" t="s">
        <v>164</v>
      </c>
      <c r="B41" s="182" t="s">
        <v>462</v>
      </c>
      <c r="C41" s="88" t="s">
        <v>474</v>
      </c>
      <c r="D41" s="180">
        <v>42826</v>
      </c>
      <c r="E41" s="87"/>
      <c r="F41" s="87"/>
      <c r="G41" s="87"/>
      <c r="H41" s="87"/>
      <c r="I41" s="322"/>
      <c r="J41" s="87"/>
      <c r="K41" s="87"/>
      <c r="L41" s="87"/>
    </row>
    <row r="42" spans="1:12" x14ac:dyDescent="0.25">
      <c r="A42" s="183">
        <v>4</v>
      </c>
      <c r="B42" s="182" t="s">
        <v>203</v>
      </c>
      <c r="C42" s="88" t="s">
        <v>464</v>
      </c>
      <c r="D42" s="177" t="s">
        <v>464</v>
      </c>
      <c r="E42" s="87"/>
      <c r="F42" s="87"/>
      <c r="G42" s="87"/>
      <c r="H42" s="87"/>
      <c r="I42" s="322"/>
      <c r="J42" s="87"/>
      <c r="K42" s="87"/>
      <c r="L42" s="87"/>
    </row>
    <row r="43" spans="1:12" ht="31.5" x14ac:dyDescent="0.25">
      <c r="A43" s="183" t="s">
        <v>160</v>
      </c>
      <c r="B43" s="182" t="s">
        <v>202</v>
      </c>
      <c r="C43" s="178">
        <v>42826</v>
      </c>
      <c r="D43" s="180">
        <v>42831</v>
      </c>
      <c r="E43" s="87"/>
      <c r="F43" s="87"/>
      <c r="G43" s="87"/>
      <c r="H43" s="87"/>
      <c r="I43" s="322"/>
      <c r="J43" s="87"/>
      <c r="K43" s="87"/>
      <c r="L43" s="87"/>
    </row>
    <row r="44" spans="1:12" ht="63" x14ac:dyDescent="0.25">
      <c r="A44" s="183" t="s">
        <v>158</v>
      </c>
      <c r="B44" s="182" t="s">
        <v>201</v>
      </c>
      <c r="C44" s="178">
        <v>42831</v>
      </c>
      <c r="D44" s="180">
        <v>42885</v>
      </c>
      <c r="E44" s="87"/>
      <c r="F44" s="87"/>
      <c r="G44" s="87"/>
      <c r="H44" s="87"/>
      <c r="I44" s="322"/>
      <c r="J44" s="87"/>
      <c r="K44" s="87"/>
      <c r="L44" s="87"/>
    </row>
    <row r="45" spans="1:12" ht="31.5" x14ac:dyDescent="0.25">
      <c r="A45" s="183" t="s">
        <v>156</v>
      </c>
      <c r="B45" s="182" t="s">
        <v>200</v>
      </c>
      <c r="C45" s="178">
        <v>42885</v>
      </c>
      <c r="D45" s="180">
        <v>42916</v>
      </c>
      <c r="E45" s="87"/>
      <c r="F45" s="87"/>
      <c r="G45" s="87"/>
      <c r="H45" s="87"/>
      <c r="I45" s="322"/>
      <c r="J45" s="87"/>
      <c r="K45" s="87"/>
      <c r="L45" s="87"/>
    </row>
    <row r="46" spans="1:12" ht="31.5" x14ac:dyDescent="0.25">
      <c r="A46" s="183" t="s">
        <v>154</v>
      </c>
      <c r="B46" s="182" t="s">
        <v>463</v>
      </c>
      <c r="C46" s="178">
        <v>42885</v>
      </c>
      <c r="D46" s="180">
        <v>42916</v>
      </c>
      <c r="E46" s="87"/>
      <c r="F46" s="87"/>
      <c r="G46" s="87"/>
      <c r="H46" s="87"/>
      <c r="I46" s="322"/>
      <c r="J46" s="87"/>
      <c r="K46" s="87"/>
      <c r="L46" s="87"/>
    </row>
    <row r="47" spans="1:12" x14ac:dyDescent="0.25">
      <c r="A47" s="18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Копач Жанна Леонидовна</cp:lastModifiedBy>
  <cp:lastPrinted>2015-11-30T14:18:17Z</cp:lastPrinted>
  <dcterms:created xsi:type="dcterms:W3CDTF">2015-08-16T15:31:05Z</dcterms:created>
  <dcterms:modified xsi:type="dcterms:W3CDTF">2016-08-08T09:24:42Z</dcterms:modified>
</cp:coreProperties>
</file>