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
    </mc:Choice>
  </mc:AlternateContent>
  <bookViews>
    <workbookView xWindow="0" yWindow="0" windowWidth="28800" windowHeight="11535" tabRatio="859" firstSheet="6"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 name="_xlnm.Print_Area" localSheetId="11">'8. Общие сведения'!$A$1:$B$170</definedName>
  </definedNames>
  <calcPr calcId="152511"/>
</workbook>
</file>

<file path=xl/calcChain.xml><?xml version="1.0" encoding="utf-8"?>
<calcChain xmlns="http://schemas.openxmlformats.org/spreadsheetml/2006/main">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B70" i="26" l="1"/>
  <c r="B145" i="26"/>
  <c r="B147" i="26" l="1"/>
  <c r="B146" i="26" s="1"/>
  <c r="B144" i="26"/>
  <c r="B136" i="26"/>
  <c r="B132" i="26"/>
  <c r="B128" i="26"/>
  <c r="B124" i="26"/>
  <c r="B120" i="26"/>
  <c r="B116" i="26"/>
  <c r="B112" i="26"/>
  <c r="B108" i="26"/>
  <c r="B104" i="26"/>
  <c r="B100" i="26"/>
  <c r="B96" i="26"/>
  <c r="B92" i="26"/>
  <c r="B88" i="26"/>
  <c r="B84" i="26"/>
  <c r="B80" i="26"/>
  <c r="B76" i="26"/>
  <c r="B72" i="26"/>
  <c r="B67" i="26"/>
  <c r="B63" i="26"/>
  <c r="B59" i="26"/>
  <c r="B55" i="26"/>
  <c r="B53" i="26"/>
  <c r="B50" i="26"/>
  <c r="B46" i="26"/>
  <c r="B42" i="26"/>
  <c r="B38" i="26"/>
  <c r="B34" i="26"/>
  <c r="B32" i="26"/>
  <c r="I24" i="12"/>
  <c r="J24" i="12"/>
  <c r="H24" i="12"/>
  <c r="B30" i="26" l="1"/>
  <c r="AC23" i="15"/>
  <c r="F30" i="15" l="1"/>
  <c r="F24" i="15"/>
  <c r="O29" i="13" l="1"/>
  <c r="AB26" i="5" l="1"/>
  <c r="C45" i="7" l="1"/>
  <c r="A12" i="26" l="1"/>
  <c r="B26" i="26" l="1"/>
  <c r="B22" i="26"/>
  <c r="B21" i="26"/>
  <c r="A15" i="26"/>
  <c r="A9" i="26"/>
  <c r="A5" i="26"/>
  <c r="A15" i="25" l="1"/>
  <c r="A12" i="25"/>
  <c r="A9" i="25"/>
  <c r="A5" i="25"/>
  <c r="D88" i="25"/>
  <c r="E88" i="25" s="1"/>
  <c r="F88" i="25" s="1"/>
  <c r="G88" i="25" s="1"/>
  <c r="H88" i="25" s="1"/>
  <c r="I88" i="25" s="1"/>
  <c r="J88" i="25" s="1"/>
  <c r="K88" i="25" s="1"/>
  <c r="L88" i="25" s="1"/>
  <c r="M88" i="25" s="1"/>
  <c r="N88" i="25" s="1"/>
  <c r="O88" i="25" s="1"/>
  <c r="P88" i="25" s="1"/>
  <c r="Q88" i="25" s="1"/>
  <c r="R88" i="25" s="1"/>
  <c r="S88" i="25" s="1"/>
  <c r="T88" i="25" s="1"/>
  <c r="U88" i="25" s="1"/>
  <c r="V88" i="25" s="1"/>
  <c r="W88" i="25" s="1"/>
  <c r="X88" i="25" s="1"/>
  <c r="Y88" i="25" s="1"/>
  <c r="Z88" i="25" s="1"/>
  <c r="AA88" i="25" s="1"/>
  <c r="AB88" i="25" s="1"/>
  <c r="AC88" i="25" s="1"/>
  <c r="AD88" i="25" s="1"/>
  <c r="AE88" i="25" s="1"/>
  <c r="C88" i="25"/>
  <c r="D82" i="25"/>
  <c r="D92" i="25" s="1"/>
  <c r="C82" i="25"/>
  <c r="C92" i="25" s="1"/>
  <c r="B82" i="25"/>
  <c r="B92" i="25" s="1"/>
  <c r="AG78" i="25"/>
  <c r="AF78" i="25"/>
  <c r="AE73" i="25"/>
  <c r="AD73" i="25"/>
  <c r="AC73" i="25"/>
  <c r="AB73" i="25"/>
  <c r="AA73" i="25"/>
  <c r="Z73" i="25"/>
  <c r="Y73" i="25"/>
  <c r="X73" i="25"/>
  <c r="W73" i="25"/>
  <c r="V73" i="25"/>
  <c r="U73" i="25"/>
  <c r="T73" i="25"/>
  <c r="S73" i="25"/>
  <c r="R73" i="25"/>
  <c r="Q73" i="25"/>
  <c r="P73" i="25"/>
  <c r="O73" i="25"/>
  <c r="N73" i="25"/>
  <c r="M73" i="25"/>
  <c r="L73" i="25"/>
  <c r="K73" i="25"/>
  <c r="J73" i="25"/>
  <c r="I73" i="25"/>
  <c r="H73" i="25"/>
  <c r="G73" i="25"/>
  <c r="F73" i="25"/>
  <c r="E73" i="25"/>
  <c r="D73" i="25"/>
  <c r="C73" i="25"/>
  <c r="B73" i="25"/>
  <c r="B71" i="25"/>
  <c r="E70" i="25"/>
  <c r="E82" i="25" s="1"/>
  <c r="E92" i="25" s="1"/>
  <c r="AF64" i="25"/>
  <c r="AG64" i="25" s="1"/>
  <c r="D61" i="25"/>
  <c r="C61" i="25"/>
  <c r="B61" i="25"/>
  <c r="C60" i="25"/>
  <c r="C56" i="25" s="1"/>
  <c r="B60" i="25"/>
  <c r="A58" i="25"/>
  <c r="B56" i="25"/>
  <c r="AE55" i="25"/>
  <c r="AD55" i="25"/>
  <c r="AC55" i="25"/>
  <c r="AB55" i="25"/>
  <c r="AA55" i="25"/>
  <c r="Z55" i="25"/>
  <c r="Y55" i="25"/>
  <c r="X55" i="25"/>
  <c r="W55" i="25"/>
  <c r="V55" i="25"/>
  <c r="V77" i="25" s="1"/>
  <c r="U55" i="25"/>
  <c r="T55" i="25"/>
  <c r="S55" i="25"/>
  <c r="R55" i="25"/>
  <c r="Q55" i="25"/>
  <c r="P55" i="25"/>
  <c r="O55" i="25"/>
  <c r="N55" i="25"/>
  <c r="M55" i="25"/>
  <c r="L55" i="25"/>
  <c r="K55" i="25"/>
  <c r="J55" i="25"/>
  <c r="J77" i="25" s="1"/>
  <c r="I55" i="25"/>
  <c r="H55" i="25"/>
  <c r="G55" i="25"/>
  <c r="F55" i="25"/>
  <c r="F77" i="25" s="1"/>
  <c r="E55" i="25"/>
  <c r="D55" i="25"/>
  <c r="C55" i="25"/>
  <c r="B55" i="25"/>
  <c r="D54" i="25"/>
  <c r="D71" i="25" s="1"/>
  <c r="C54" i="25"/>
  <c r="C71" i="25" s="1"/>
  <c r="F53" i="25"/>
  <c r="E53" i="25"/>
  <c r="B50" i="25"/>
  <c r="B51" i="25" s="1"/>
  <c r="C49" i="25" s="1"/>
  <c r="C48" i="25"/>
  <c r="B48" i="25"/>
  <c r="E45" i="25"/>
  <c r="D45" i="25"/>
  <c r="D60" i="25" s="1"/>
  <c r="AB44" i="25"/>
  <c r="AC44" i="25" s="1"/>
  <c r="AD44" i="25" s="1"/>
  <c r="AE44" i="25" s="1"/>
  <c r="C43" i="25"/>
  <c r="B43" i="25"/>
  <c r="B42" i="25"/>
  <c r="B41" i="25"/>
  <c r="B52" i="25" l="1"/>
  <c r="B66" i="25" s="1"/>
  <c r="B74" i="25" s="1"/>
  <c r="C51" i="25"/>
  <c r="E61" i="25"/>
  <c r="E76" i="25" s="1"/>
  <c r="E60" i="25"/>
  <c r="D77" i="25"/>
  <c r="D63" i="25"/>
  <c r="D65" i="25" s="1"/>
  <c r="L77" i="25"/>
  <c r="T77" i="25"/>
  <c r="AB77" i="25"/>
  <c r="F45" i="25"/>
  <c r="D48" i="25"/>
  <c r="E54" i="25"/>
  <c r="B77" i="25"/>
  <c r="C76" i="25"/>
  <c r="D76" i="25" s="1"/>
  <c r="B76" i="25"/>
  <c r="B63" i="25"/>
  <c r="B65" i="25" s="1"/>
  <c r="N77" i="25"/>
  <c r="R77" i="25"/>
  <c r="Z77" i="25"/>
  <c r="AD77" i="25"/>
  <c r="H77" i="25"/>
  <c r="I77" i="25"/>
  <c r="P77" i="25"/>
  <c r="X77" i="25"/>
  <c r="G53" i="25"/>
  <c r="D43" i="25"/>
  <c r="D56" i="25"/>
  <c r="F70" i="25"/>
  <c r="F82" i="25" s="1"/>
  <c r="F92" i="25" s="1"/>
  <c r="C77" i="25"/>
  <c r="C63" i="25"/>
  <c r="C65" i="25" s="1"/>
  <c r="G77" i="25"/>
  <c r="K77" i="25"/>
  <c r="O77" i="25"/>
  <c r="S77" i="25"/>
  <c r="W77" i="25"/>
  <c r="AA77" i="25"/>
  <c r="AE77" i="25"/>
  <c r="Q77" i="25"/>
  <c r="B79" i="25"/>
  <c r="E77" i="25"/>
  <c r="M77" i="25"/>
  <c r="U77" i="25"/>
  <c r="Y77" i="25"/>
  <c r="AC77" i="25"/>
  <c r="H53" i="25" l="1"/>
  <c r="H70" i="25"/>
  <c r="H82" i="25" s="1"/>
  <c r="H92" i="25" s="1"/>
  <c r="B67" i="25"/>
  <c r="B72" i="25"/>
  <c r="E71" i="25"/>
  <c r="E48" i="25"/>
  <c r="F54" i="25"/>
  <c r="E43" i="25"/>
  <c r="G70" i="25"/>
  <c r="G82" i="25" s="1"/>
  <c r="G92" i="25" s="1"/>
  <c r="D72" i="25"/>
  <c r="C79" i="25"/>
  <c r="C52" i="25"/>
  <c r="C66" i="25" s="1"/>
  <c r="C74" i="25" s="1"/>
  <c r="C72" i="25"/>
  <c r="F61" i="25"/>
  <c r="F60" i="25"/>
  <c r="G45" i="25"/>
  <c r="E56" i="25"/>
  <c r="E63" i="25" s="1"/>
  <c r="E65" i="25" s="1"/>
  <c r="D49" i="25"/>
  <c r="C67" i="25" l="1"/>
  <c r="E72" i="25"/>
  <c r="C68" i="25"/>
  <c r="C69" i="25" s="1"/>
  <c r="F71" i="25"/>
  <c r="G54" i="25"/>
  <c r="F48" i="25"/>
  <c r="F43" i="25"/>
  <c r="B68" i="25"/>
  <c r="G61" i="25"/>
  <c r="H45" i="25"/>
  <c r="G60" i="25"/>
  <c r="F56" i="25"/>
  <c r="F63" i="25" s="1"/>
  <c r="F65" i="25" s="1"/>
  <c r="F76" i="25"/>
  <c r="I53" i="25"/>
  <c r="D51" i="25"/>
  <c r="J53" i="25" l="1"/>
  <c r="I70" i="25"/>
  <c r="I82" i="25" s="1"/>
  <c r="I92" i="25" s="1"/>
  <c r="B75" i="25"/>
  <c r="B80" i="25" s="1"/>
  <c r="G71" i="25"/>
  <c r="G43" i="25"/>
  <c r="G58" i="25" s="1"/>
  <c r="H54" i="25"/>
  <c r="G48" i="25"/>
  <c r="D79" i="25"/>
  <c r="D52" i="25"/>
  <c r="D66" i="25" s="1"/>
  <c r="B69" i="25"/>
  <c r="E49" i="25"/>
  <c r="F72" i="25"/>
  <c r="H60" i="25"/>
  <c r="I45" i="25"/>
  <c r="H61" i="25"/>
  <c r="G56" i="25" l="1"/>
  <c r="G63" i="25" s="1"/>
  <c r="G65" i="25" s="1"/>
  <c r="H76" i="25"/>
  <c r="G76" i="25"/>
  <c r="E51" i="25"/>
  <c r="F49" i="25" s="1"/>
  <c r="H71" i="25"/>
  <c r="I54" i="25"/>
  <c r="H48" i="25"/>
  <c r="H43" i="25"/>
  <c r="H58" i="25" s="1"/>
  <c r="H56" i="25" s="1"/>
  <c r="H63" i="25" s="1"/>
  <c r="H65" i="25" s="1"/>
  <c r="D74" i="25"/>
  <c r="D67" i="25"/>
  <c r="B85" i="25"/>
  <c r="B83" i="25"/>
  <c r="B81" i="25"/>
  <c r="B86" i="25" s="1"/>
  <c r="C75" i="25"/>
  <c r="C80" i="25" s="1"/>
  <c r="C83" i="25" s="1"/>
  <c r="I61" i="25"/>
  <c r="I60" i="25"/>
  <c r="J45" i="25"/>
  <c r="K70" i="25"/>
  <c r="K82" i="25" s="1"/>
  <c r="K92" i="25" s="1"/>
  <c r="K53" i="25"/>
  <c r="J70" i="25"/>
  <c r="J82" i="25" s="1"/>
  <c r="J92" i="25" s="1"/>
  <c r="J61" i="25" l="1"/>
  <c r="K45" i="25"/>
  <c r="J60" i="25"/>
  <c r="H72" i="25"/>
  <c r="F51" i="25"/>
  <c r="G49" i="25" s="1"/>
  <c r="C81" i="25"/>
  <c r="C86" i="25" s="1"/>
  <c r="C85" i="25"/>
  <c r="D68" i="25"/>
  <c r="D69" i="25" s="1"/>
  <c r="E79" i="25"/>
  <c r="E52" i="25"/>
  <c r="E66" i="25" s="1"/>
  <c r="C84" i="25"/>
  <c r="B84" i="25"/>
  <c r="B87" i="25" s="1"/>
  <c r="G72" i="25"/>
  <c r="L53" i="25"/>
  <c r="L70" i="25"/>
  <c r="L82" i="25" s="1"/>
  <c r="L92" i="25" s="1"/>
  <c r="I71" i="25"/>
  <c r="I48" i="25"/>
  <c r="I43" i="25"/>
  <c r="J54" i="25"/>
  <c r="C87" i="25" l="1"/>
  <c r="J71" i="25"/>
  <c r="K54" i="25"/>
  <c r="J48" i="25"/>
  <c r="J43" i="25"/>
  <c r="J58" i="25" s="1"/>
  <c r="J56" i="25" s="1"/>
  <c r="J63" i="25" s="1"/>
  <c r="J65" i="25" s="1"/>
  <c r="I58" i="25"/>
  <c r="I57" i="25"/>
  <c r="M53" i="25"/>
  <c r="G51" i="25"/>
  <c r="E74" i="25"/>
  <c r="E67" i="25"/>
  <c r="D75" i="25"/>
  <c r="D80" i="25" s="1"/>
  <c r="F79" i="25"/>
  <c r="F52" i="25"/>
  <c r="F66" i="25" s="1"/>
  <c r="K60" i="25"/>
  <c r="K61" i="25"/>
  <c r="L45" i="25"/>
  <c r="G79" i="25" l="1"/>
  <c r="G52" i="25"/>
  <c r="G66" i="25" s="1"/>
  <c r="K71" i="25"/>
  <c r="K43" i="25"/>
  <c r="K58" i="25" s="1"/>
  <c r="K56" i="25" s="1"/>
  <c r="K63" i="25" s="1"/>
  <c r="K65" i="25" s="1"/>
  <c r="L54" i="25"/>
  <c r="K48" i="25"/>
  <c r="E68" i="25"/>
  <c r="H49" i="25"/>
  <c r="L60" i="25"/>
  <c r="L61" i="25"/>
  <c r="M45" i="25"/>
  <c r="N70" i="25"/>
  <c r="N82" i="25" s="1"/>
  <c r="N92" i="25" s="1"/>
  <c r="N53" i="25"/>
  <c r="J72" i="25"/>
  <c r="D83" i="25"/>
  <c r="D81" i="25"/>
  <c r="D86" i="25" s="1"/>
  <c r="D85" i="25"/>
  <c r="I56" i="25"/>
  <c r="I63" i="25" s="1"/>
  <c r="I65" i="25" s="1"/>
  <c r="I76" i="25"/>
  <c r="K76" i="25" s="1"/>
  <c r="J76" i="25"/>
  <c r="F74" i="25"/>
  <c r="F67" i="25"/>
  <c r="M70" i="25"/>
  <c r="M82" i="25" s="1"/>
  <c r="M92" i="25" s="1"/>
  <c r="M61" i="25" l="1"/>
  <c r="N45" i="25"/>
  <c r="M60" i="25"/>
  <c r="E75" i="25"/>
  <c r="E80" i="25" s="1"/>
  <c r="K72" i="25"/>
  <c r="D84" i="25"/>
  <c r="D87" i="25" s="1"/>
  <c r="G74" i="25"/>
  <c r="G67" i="25"/>
  <c r="H51" i="25"/>
  <c r="I49" i="25" s="1"/>
  <c r="L71" i="25"/>
  <c r="M54" i="25"/>
  <c r="L43" i="25"/>
  <c r="L48" i="25"/>
  <c r="F68" i="25"/>
  <c r="F69" i="25" s="1"/>
  <c r="I72" i="25"/>
  <c r="O53" i="25"/>
  <c r="E69" i="25"/>
  <c r="F75" i="25" l="1"/>
  <c r="F80" i="25" s="1"/>
  <c r="F83" i="25" s="1"/>
  <c r="I51" i="25"/>
  <c r="J49" i="25"/>
  <c r="H79" i="25"/>
  <c r="H52" i="25"/>
  <c r="H66" i="25" s="1"/>
  <c r="G68" i="25"/>
  <c r="G69" i="25"/>
  <c r="E83" i="25"/>
  <c r="E85" i="25"/>
  <c r="E81" i="25"/>
  <c r="E86" i="25" s="1"/>
  <c r="N61" i="25"/>
  <c r="O45" i="25"/>
  <c r="N60" i="25"/>
  <c r="P53" i="25"/>
  <c r="P70" i="25"/>
  <c r="P82" i="25" s="1"/>
  <c r="P92" i="25" s="1"/>
  <c r="O70" i="25"/>
  <c r="O82" i="25" s="1"/>
  <c r="O92" i="25" s="1"/>
  <c r="L58" i="25"/>
  <c r="L57" i="25"/>
  <c r="M48" i="25"/>
  <c r="N54" i="25"/>
  <c r="M43" i="25"/>
  <c r="M58" i="25" s="1"/>
  <c r="M56" i="25" s="1"/>
  <c r="M63" i="25" s="1"/>
  <c r="M65" i="25" s="1"/>
  <c r="M71" i="25"/>
  <c r="F85" i="25" l="1"/>
  <c r="I79" i="25"/>
  <c r="I52" i="25"/>
  <c r="I66" i="25" s="1"/>
  <c r="O60" i="25"/>
  <c r="O61" i="25"/>
  <c r="P45" i="25"/>
  <c r="E84" i="25"/>
  <c r="E87" i="25" s="1"/>
  <c r="F84" i="25"/>
  <c r="L56" i="25"/>
  <c r="L63" i="25" s="1"/>
  <c r="L65" i="25" s="1"/>
  <c r="L76" i="25"/>
  <c r="M76" i="25"/>
  <c r="J51" i="25"/>
  <c r="G75" i="25"/>
  <c r="G80" i="25" s="1"/>
  <c r="G81" i="25" s="1"/>
  <c r="M72" i="25"/>
  <c r="Q70" i="25"/>
  <c r="Q82" i="25" s="1"/>
  <c r="Q92" i="25" s="1"/>
  <c r="Q53" i="25"/>
  <c r="N71" i="25"/>
  <c r="O54" i="25"/>
  <c r="N43" i="25"/>
  <c r="N48" i="25"/>
  <c r="F81" i="25"/>
  <c r="F86" i="25" s="1"/>
  <c r="H74" i="25"/>
  <c r="H67" i="25"/>
  <c r="F87" i="25" l="1"/>
  <c r="N59" i="25"/>
  <c r="N58" i="25"/>
  <c r="P60" i="25"/>
  <c r="P61" i="25"/>
  <c r="Q45" i="25"/>
  <c r="J79" i="25"/>
  <c r="J52" i="25"/>
  <c r="J66" i="25" s="1"/>
  <c r="L72" i="25"/>
  <c r="H68" i="25"/>
  <c r="O71" i="25"/>
  <c r="O43" i="25"/>
  <c r="P54" i="25"/>
  <c r="O48" i="25"/>
  <c r="K49" i="25"/>
  <c r="G86" i="25"/>
  <c r="R53" i="25"/>
  <c r="G83" i="25"/>
  <c r="G85" i="25"/>
  <c r="I74" i="25"/>
  <c r="I67" i="25"/>
  <c r="S53" i="25" l="1"/>
  <c r="O58" i="25"/>
  <c r="O57" i="25"/>
  <c r="Q61" i="25"/>
  <c r="Q60" i="25"/>
  <c r="R45" i="25"/>
  <c r="R70" i="25"/>
  <c r="R82" i="25" s="1"/>
  <c r="R92" i="25" s="1"/>
  <c r="K51" i="25"/>
  <c r="I68" i="25"/>
  <c r="I69" i="25" s="1"/>
  <c r="G84" i="25"/>
  <c r="G87" i="25" s="1"/>
  <c r="Q54" i="25"/>
  <c r="P48" i="25"/>
  <c r="P43" i="25"/>
  <c r="P58" i="25" s="1"/>
  <c r="P56" i="25" s="1"/>
  <c r="P63" i="25" s="1"/>
  <c r="P65" i="25" s="1"/>
  <c r="P71" i="25"/>
  <c r="H75" i="25"/>
  <c r="H80" i="25" s="1"/>
  <c r="N56" i="25"/>
  <c r="N63" i="25" s="1"/>
  <c r="N65" i="25" s="1"/>
  <c r="N76" i="25"/>
  <c r="H69" i="25"/>
  <c r="J74" i="25"/>
  <c r="J67" i="25"/>
  <c r="K79" i="25" l="1"/>
  <c r="K52" i="25"/>
  <c r="K66" i="25" s="1"/>
  <c r="P72" i="25"/>
  <c r="I75" i="25"/>
  <c r="I80" i="25" s="1"/>
  <c r="O56" i="25"/>
  <c r="O63" i="25" s="1"/>
  <c r="O65" i="25" s="1"/>
  <c r="O76" i="25"/>
  <c r="P76" i="25"/>
  <c r="T53" i="25"/>
  <c r="T70" i="25"/>
  <c r="T82" i="25" s="1"/>
  <c r="T92" i="25" s="1"/>
  <c r="L49" i="25"/>
  <c r="S70" i="25"/>
  <c r="S82" i="25" s="1"/>
  <c r="S92" i="25" s="1"/>
  <c r="J68" i="25"/>
  <c r="J75" i="25" s="1"/>
  <c r="J80" i="25" s="1"/>
  <c r="N72" i="25"/>
  <c r="H83" i="25"/>
  <c r="H85" i="25"/>
  <c r="H81" i="25"/>
  <c r="H86" i="25" s="1"/>
  <c r="Q71" i="25"/>
  <c r="Q48" i="25"/>
  <c r="Q43" i="25"/>
  <c r="Q58" i="25" s="1"/>
  <c r="Q56" i="25" s="1"/>
  <c r="Q63" i="25" s="1"/>
  <c r="Q65" i="25" s="1"/>
  <c r="R54" i="25"/>
  <c r="R61" i="25"/>
  <c r="S45" i="25"/>
  <c r="R60" i="25"/>
  <c r="Q72" i="25" l="1"/>
  <c r="J83" i="25"/>
  <c r="J84" i="25" s="1"/>
  <c r="J87" i="25" s="1"/>
  <c r="J85" i="25"/>
  <c r="J81" i="25"/>
  <c r="L51" i="25"/>
  <c r="M49" i="25"/>
  <c r="K74" i="25"/>
  <c r="K67" i="25"/>
  <c r="I83" i="25"/>
  <c r="I84" i="25" s="1"/>
  <c r="I81" i="25"/>
  <c r="I86" i="25" s="1"/>
  <c r="I85" i="25"/>
  <c r="J69" i="25"/>
  <c r="U53" i="25"/>
  <c r="Q76" i="25"/>
  <c r="O72" i="25"/>
  <c r="T45" i="25"/>
  <c r="S61" i="25"/>
  <c r="S60" i="25"/>
  <c r="H84" i="25"/>
  <c r="H87" i="25" s="1"/>
  <c r="R71" i="25"/>
  <c r="S54" i="25"/>
  <c r="R48" i="25"/>
  <c r="R43" i="25"/>
  <c r="I87" i="25" l="1"/>
  <c r="S71" i="25"/>
  <c r="S43" i="25"/>
  <c r="S58" i="25" s="1"/>
  <c r="S56" i="25" s="1"/>
  <c r="S63" i="25" s="1"/>
  <c r="S65" i="25" s="1"/>
  <c r="T54" i="25"/>
  <c r="S48" i="25"/>
  <c r="T60" i="25"/>
  <c r="T61" i="25"/>
  <c r="U45" i="25"/>
  <c r="V53" i="25"/>
  <c r="M51" i="25"/>
  <c r="N49" i="25" s="1"/>
  <c r="U70" i="25"/>
  <c r="U82" i="25" s="1"/>
  <c r="U92" i="25" s="1"/>
  <c r="L79" i="25"/>
  <c r="L52" i="25"/>
  <c r="L66" i="25" s="1"/>
  <c r="R57" i="25"/>
  <c r="R58" i="25"/>
  <c r="K68" i="25"/>
  <c r="K75" i="25" s="1"/>
  <c r="K80" i="25" s="1"/>
  <c r="J86" i="25"/>
  <c r="N51" i="25" l="1"/>
  <c r="O49" i="25" s="1"/>
  <c r="K83" i="25"/>
  <c r="K84" i="25" s="1"/>
  <c r="K87" i="25" s="1"/>
  <c r="K81" i="25"/>
  <c r="K86" i="25" s="1"/>
  <c r="K85" i="25"/>
  <c r="W70" i="25"/>
  <c r="W82" i="25" s="1"/>
  <c r="W92" i="25" s="1"/>
  <c r="W53" i="25"/>
  <c r="R56" i="25"/>
  <c r="R63" i="25" s="1"/>
  <c r="R65" i="25" s="1"/>
  <c r="R76" i="25"/>
  <c r="T76" i="25"/>
  <c r="S76" i="25"/>
  <c r="V70" i="25"/>
  <c r="V82" i="25" s="1"/>
  <c r="V92" i="25" s="1"/>
  <c r="K69" i="25"/>
  <c r="L74" i="25"/>
  <c r="L67" i="25"/>
  <c r="U61" i="25"/>
  <c r="U60" i="25"/>
  <c r="V45" i="25"/>
  <c r="T71" i="25"/>
  <c r="T43" i="25"/>
  <c r="T58" i="25" s="1"/>
  <c r="T56" i="25" s="1"/>
  <c r="T63" i="25" s="1"/>
  <c r="T65" i="25" s="1"/>
  <c r="U54" i="25"/>
  <c r="T48" i="25"/>
  <c r="M79" i="25"/>
  <c r="M52" i="25"/>
  <c r="M66" i="25" s="1"/>
  <c r="S72" i="25"/>
  <c r="M74" i="25" l="1"/>
  <c r="M67" i="25"/>
  <c r="T72" i="25"/>
  <c r="L68" i="25"/>
  <c r="L75" i="25" s="1"/>
  <c r="L80" i="25" s="1"/>
  <c r="O51" i="25"/>
  <c r="P49" i="25" s="1"/>
  <c r="V61" i="25"/>
  <c r="V60" i="25"/>
  <c r="W45" i="25"/>
  <c r="N79" i="25"/>
  <c r="N52" i="25"/>
  <c r="N66" i="25" s="1"/>
  <c r="U71" i="25"/>
  <c r="U48" i="25"/>
  <c r="V54" i="25"/>
  <c r="U43" i="25"/>
  <c r="R72" i="25"/>
  <c r="X70" i="25"/>
  <c r="X82" i="25" s="1"/>
  <c r="X92" i="25" s="1"/>
  <c r="X53" i="25"/>
  <c r="L69" i="25" l="1"/>
  <c r="L83" i="25"/>
  <c r="L84" i="25" s="1"/>
  <c r="L87" i="25" s="1"/>
  <c r="L85" i="25"/>
  <c r="L81" i="25"/>
  <c r="L86" i="25" s="1"/>
  <c r="V71" i="25"/>
  <c r="W54" i="25"/>
  <c r="V48" i="25"/>
  <c r="V43" i="25"/>
  <c r="M68" i="25"/>
  <c r="M75" i="25" s="1"/>
  <c r="M80" i="25" s="1"/>
  <c r="Y70" i="25"/>
  <c r="Y82" i="25" s="1"/>
  <c r="Y92" i="25" s="1"/>
  <c r="Y53" i="25"/>
  <c r="U58" i="25"/>
  <c r="U57" i="25"/>
  <c r="W61" i="25"/>
  <c r="W60" i="25"/>
  <c r="X45" i="25"/>
  <c r="P51" i="25"/>
  <c r="Q49" i="25" s="1"/>
  <c r="N74" i="25"/>
  <c r="N67" i="25"/>
  <c r="O79" i="25"/>
  <c r="O52" i="25"/>
  <c r="O66" i="25" s="1"/>
  <c r="M83" i="25" l="1"/>
  <c r="M84" i="25" s="1"/>
  <c r="M87" i="25" s="1"/>
  <c r="M85" i="25"/>
  <c r="M81" i="25"/>
  <c r="M86" i="25" s="1"/>
  <c r="Q51" i="25"/>
  <c r="V59" i="25"/>
  <c r="V58" i="25"/>
  <c r="O74" i="25"/>
  <c r="O67" i="25"/>
  <c r="N68" i="25"/>
  <c r="N75" i="25" s="1"/>
  <c r="N80" i="25" s="1"/>
  <c r="X60" i="25"/>
  <c r="X61" i="25"/>
  <c r="Y45" i="25"/>
  <c r="W71" i="25"/>
  <c r="W43" i="25"/>
  <c r="W58" i="25" s="1"/>
  <c r="W56" i="25" s="1"/>
  <c r="W63" i="25" s="1"/>
  <c r="W65" i="25" s="1"/>
  <c r="X54" i="25"/>
  <c r="W48" i="25"/>
  <c r="Z70" i="25"/>
  <c r="Z82" i="25" s="1"/>
  <c r="Z92" i="25" s="1"/>
  <c r="Z53" i="25"/>
  <c r="M69" i="25"/>
  <c r="P79" i="25"/>
  <c r="P52" i="25"/>
  <c r="P66" i="25" s="1"/>
  <c r="U56" i="25"/>
  <c r="U63" i="25" s="1"/>
  <c r="U65" i="25" s="1"/>
  <c r="U76" i="25"/>
  <c r="N83" i="25" l="1"/>
  <c r="N84" i="25" s="1"/>
  <c r="N87" i="25" s="1"/>
  <c r="N85" i="25"/>
  <c r="N81" i="25"/>
  <c r="N86" i="25" s="1"/>
  <c r="Y60" i="25"/>
  <c r="Y61" i="25"/>
  <c r="Z45" i="25"/>
  <c r="V56" i="25"/>
  <c r="V63" i="25" s="1"/>
  <c r="V65" i="25" s="1"/>
  <c r="V76" i="25"/>
  <c r="W76" i="25" s="1"/>
  <c r="U72" i="25"/>
  <c r="X71" i="25"/>
  <c r="Y54" i="25"/>
  <c r="X48" i="25"/>
  <c r="X43" i="25"/>
  <c r="N69" i="25"/>
  <c r="Q79" i="25"/>
  <c r="Q52" i="25"/>
  <c r="Q66" i="25" s="1"/>
  <c r="P74" i="25"/>
  <c r="P67" i="25"/>
  <c r="AA70" i="25"/>
  <c r="AA82" i="25" s="1"/>
  <c r="AA92" i="25" s="1"/>
  <c r="AA53" i="25"/>
  <c r="W72" i="25"/>
  <c r="O68" i="25"/>
  <c r="O75" i="25" s="1"/>
  <c r="O80" i="25" s="1"/>
  <c r="R49" i="25"/>
  <c r="O83" i="25" l="1"/>
  <c r="O84" i="25" s="1"/>
  <c r="O87" i="25" s="1"/>
  <c r="O85" i="25"/>
  <c r="O81" i="25"/>
  <c r="O86" i="25" s="1"/>
  <c r="R51" i="25"/>
  <c r="Y71" i="25"/>
  <c r="Y48" i="25"/>
  <c r="Y43" i="25"/>
  <c r="Y58" i="25" s="1"/>
  <c r="Y56" i="25" s="1"/>
  <c r="Y63" i="25" s="1"/>
  <c r="Y65" i="25" s="1"/>
  <c r="Z54" i="25"/>
  <c r="O69" i="25"/>
  <c r="AB53" i="25"/>
  <c r="Q74" i="25"/>
  <c r="Q67" i="25"/>
  <c r="V72" i="25"/>
  <c r="X57" i="25"/>
  <c r="X58" i="25"/>
  <c r="Z61" i="25"/>
  <c r="AA45" i="25"/>
  <c r="Z60" i="25"/>
  <c r="P68" i="25"/>
  <c r="P75" i="25" s="1"/>
  <c r="P80" i="25" s="1"/>
  <c r="P69" i="25" l="1"/>
  <c r="AA60" i="25"/>
  <c r="AA61" i="25"/>
  <c r="AB45" i="25"/>
  <c r="AC70" i="25"/>
  <c r="AC82" i="25" s="1"/>
  <c r="AC92" i="25" s="1"/>
  <c r="AC53" i="25"/>
  <c r="Z76" i="25"/>
  <c r="AB70" i="25"/>
  <c r="AB82" i="25" s="1"/>
  <c r="AB92" i="25" s="1"/>
  <c r="R79" i="25"/>
  <c r="R52" i="25"/>
  <c r="R66" i="25" s="1"/>
  <c r="Q68" i="25"/>
  <c r="Q75" i="25" s="1"/>
  <c r="Q80" i="25" s="1"/>
  <c r="S49" i="25"/>
  <c r="X56" i="25"/>
  <c r="X63" i="25" s="1"/>
  <c r="X65" i="25" s="1"/>
  <c r="X76" i="25"/>
  <c r="Y76" i="25" s="1"/>
  <c r="Z71" i="25"/>
  <c r="AA54" i="25"/>
  <c r="Z48" i="25"/>
  <c r="Z43" i="25"/>
  <c r="Z58" i="25" s="1"/>
  <c r="Z56" i="25" s="1"/>
  <c r="Z63" i="25" s="1"/>
  <c r="Z65" i="25" s="1"/>
  <c r="P83" i="25"/>
  <c r="P84" i="25" s="1"/>
  <c r="P87" i="25" s="1"/>
  <c r="P85" i="25"/>
  <c r="P81" i="25"/>
  <c r="P86" i="25" s="1"/>
  <c r="Y72" i="25"/>
  <c r="Q83" i="25" l="1"/>
  <c r="Q84" i="25" s="1"/>
  <c r="Q87" i="25" s="1"/>
  <c r="Q85" i="25"/>
  <c r="Q81" i="25"/>
  <c r="Q86" i="25" s="1"/>
  <c r="X72" i="25"/>
  <c r="R74" i="25"/>
  <c r="R67" i="25"/>
  <c r="Z72" i="25"/>
  <c r="Q69" i="25"/>
  <c r="AB60" i="25"/>
  <c r="AB61" i="25"/>
  <c r="AC45" i="25"/>
  <c r="AA71" i="25"/>
  <c r="AA43" i="25"/>
  <c r="AB54" i="25"/>
  <c r="AA48" i="25"/>
  <c r="S51" i="25"/>
  <c r="AD53" i="25"/>
  <c r="AE53" i="25" l="1"/>
  <c r="AE70" i="25" s="1"/>
  <c r="AE82" i="25" s="1"/>
  <c r="AE92" i="25" s="1"/>
  <c r="AF92" i="25" s="1"/>
  <c r="A93" i="25" s="1"/>
  <c r="R68" i="25"/>
  <c r="R75" i="25" s="1"/>
  <c r="R80" i="25" s="1"/>
  <c r="AD70" i="25"/>
  <c r="AD82" i="25" s="1"/>
  <c r="AD92" i="25" s="1"/>
  <c r="AB71" i="25"/>
  <c r="AC54" i="25"/>
  <c r="AB43" i="25"/>
  <c r="AB58" i="25" s="1"/>
  <c r="AB56" i="25" s="1"/>
  <c r="AB63" i="25" s="1"/>
  <c r="AB65" i="25" s="1"/>
  <c r="AB48" i="25"/>
  <c r="AD45" i="25"/>
  <c r="AC60" i="25"/>
  <c r="AC61" i="25"/>
  <c r="S79" i="25"/>
  <c r="S52" i="25"/>
  <c r="S66" i="25" s="1"/>
  <c r="AA58" i="25"/>
  <c r="AA57" i="25"/>
  <c r="T49" i="25"/>
  <c r="R69" i="25" l="1"/>
  <c r="AC71" i="25"/>
  <c r="AC48" i="25"/>
  <c r="AD54" i="25"/>
  <c r="AC43" i="25"/>
  <c r="AC58" i="25" s="1"/>
  <c r="AC56" i="25" s="1"/>
  <c r="AC63" i="25" s="1"/>
  <c r="AC65" i="25" s="1"/>
  <c r="AA56" i="25"/>
  <c r="AA63" i="25" s="1"/>
  <c r="AA65" i="25" s="1"/>
  <c r="AA76" i="25"/>
  <c r="AB76" i="25" s="1"/>
  <c r="AD61" i="25"/>
  <c r="AE45" i="25"/>
  <c r="AD60" i="25"/>
  <c r="T51" i="25"/>
  <c r="S74" i="25"/>
  <c r="S67" i="25"/>
  <c r="AB72" i="25"/>
  <c r="R83" i="25"/>
  <c r="R84" i="25" s="1"/>
  <c r="R87" i="25" s="1"/>
  <c r="R81" i="25"/>
  <c r="R86" i="25" s="1"/>
  <c r="R85" i="25"/>
  <c r="S68" i="25" l="1"/>
  <c r="S75" i="25" s="1"/>
  <c r="S80" i="25" s="1"/>
  <c r="S69" i="25"/>
  <c r="AA72" i="25"/>
  <c r="AE60" i="25"/>
  <c r="AE61" i="25"/>
  <c r="AC72" i="25"/>
  <c r="T79" i="25"/>
  <c r="T52" i="25"/>
  <c r="T66" i="25" s="1"/>
  <c r="AD71" i="25"/>
  <c r="AE54" i="25"/>
  <c r="AD43" i="25"/>
  <c r="AD48" i="25"/>
  <c r="AC76" i="25"/>
  <c r="U49" i="25"/>
  <c r="AE71" i="25" l="1"/>
  <c r="AE43" i="25"/>
  <c r="AE58" i="25" s="1"/>
  <c r="AE56" i="25" s="1"/>
  <c r="AE63" i="25" s="1"/>
  <c r="AE65" i="25" s="1"/>
  <c r="AE48" i="25"/>
  <c r="AD57" i="25"/>
  <c r="AD59" i="25"/>
  <c r="AD58" i="25"/>
  <c r="T74" i="25"/>
  <c r="T67" i="25"/>
  <c r="U51" i="25"/>
  <c r="S83" i="25"/>
  <c r="S84" i="25" s="1"/>
  <c r="S87" i="25" s="1"/>
  <c r="S85" i="25"/>
  <c r="S81" i="25"/>
  <c r="S86" i="25" s="1"/>
  <c r="U79" i="25" l="1"/>
  <c r="U52" i="25"/>
  <c r="U66" i="25" s="1"/>
  <c r="V49" i="25"/>
  <c r="AE72" i="25"/>
  <c r="T68" i="25"/>
  <c r="T75" i="25" s="1"/>
  <c r="T80" i="25" s="1"/>
  <c r="T69" i="25"/>
  <c r="AD56" i="25"/>
  <c r="AD63" i="25" s="1"/>
  <c r="AD65" i="25" s="1"/>
  <c r="AD76" i="25"/>
  <c r="AE76" i="25" s="1"/>
  <c r="T83" i="25" l="1"/>
  <c r="T84" i="25" s="1"/>
  <c r="T87" i="25" s="1"/>
  <c r="T85" i="25"/>
  <c r="T81" i="25"/>
  <c r="T86" i="25" s="1"/>
  <c r="V51" i="25"/>
  <c r="W49" i="25" s="1"/>
  <c r="U74" i="25"/>
  <c r="U67" i="25"/>
  <c r="AD72" i="25"/>
  <c r="W51" i="25" l="1"/>
  <c r="U68" i="25"/>
  <c r="U75" i="25" s="1"/>
  <c r="U80" i="25" s="1"/>
  <c r="V79" i="25"/>
  <c r="V52" i="25"/>
  <c r="V66" i="25" s="1"/>
  <c r="U83" i="25" l="1"/>
  <c r="U84" i="25" s="1"/>
  <c r="U87" i="25" s="1"/>
  <c r="U81" i="25"/>
  <c r="U86" i="25" s="1"/>
  <c r="U85" i="25"/>
  <c r="V74" i="25"/>
  <c r="V67" i="25"/>
  <c r="W79" i="25"/>
  <c r="W52" i="25"/>
  <c r="W66" i="25" s="1"/>
  <c r="X49" i="25"/>
  <c r="U69" i="25"/>
  <c r="W74" i="25" l="1"/>
  <c r="W67" i="25"/>
  <c r="X51" i="25"/>
  <c r="Y49" i="25" s="1"/>
  <c r="V68" i="25"/>
  <c r="V75" i="25" s="1"/>
  <c r="V80" i="25" s="1"/>
  <c r="V69" i="25" l="1"/>
  <c r="W68" i="25"/>
  <c r="W75" i="25" s="1"/>
  <c r="W69" i="25"/>
  <c r="V83" i="25"/>
  <c r="V84" i="25" s="1"/>
  <c r="V87" i="25" s="1"/>
  <c r="V81" i="25"/>
  <c r="V86" i="25" s="1"/>
  <c r="V85" i="25"/>
  <c r="W80" i="25"/>
  <c r="Y51" i="25"/>
  <c r="X79" i="25"/>
  <c r="X52" i="25"/>
  <c r="X66" i="25" s="1"/>
  <c r="Y79" i="25" l="1"/>
  <c r="Y52" i="25"/>
  <c r="Y66" i="25" s="1"/>
  <c r="X74" i="25"/>
  <c r="X67" i="25"/>
  <c r="W83" i="25"/>
  <c r="W84" i="25" s="1"/>
  <c r="W87" i="25" s="1"/>
  <c r="W85" i="25"/>
  <c r="W81" i="25"/>
  <c r="W86" i="25" s="1"/>
  <c r="Z49" i="25"/>
  <c r="Y74" i="25" l="1"/>
  <c r="Y67" i="25"/>
  <c r="Z51" i="25"/>
  <c r="X68" i="25"/>
  <c r="X75" i="25" s="1"/>
  <c r="X80" i="25" s="1"/>
  <c r="X83" i="25" l="1"/>
  <c r="X84" i="25" s="1"/>
  <c r="X87" i="25" s="1"/>
  <c r="X85" i="25"/>
  <c r="X81" i="25"/>
  <c r="X86" i="25" s="1"/>
  <c r="Z79" i="25"/>
  <c r="Z52" i="25"/>
  <c r="Z66" i="25" s="1"/>
  <c r="AA49" i="25"/>
  <c r="X69" i="25"/>
  <c r="Y68" i="25"/>
  <c r="Y75" i="25" s="1"/>
  <c r="Y80" i="25" s="1"/>
  <c r="Y83" i="25" l="1"/>
  <c r="Y84" i="25" s="1"/>
  <c r="Y87" i="25" s="1"/>
  <c r="Y85" i="25"/>
  <c r="Y81" i="25"/>
  <c r="Y86" i="25" s="1"/>
  <c r="AA51" i="25"/>
  <c r="AB49" i="25" s="1"/>
  <c r="Z74" i="25"/>
  <c r="Z67" i="25"/>
  <c r="Y69" i="25"/>
  <c r="Z68" i="25" l="1"/>
  <c r="Z75" i="25" s="1"/>
  <c r="Z80" i="25" s="1"/>
  <c r="AB51" i="25"/>
  <c r="AA79" i="25"/>
  <c r="AA52" i="25"/>
  <c r="AA66" i="25" s="1"/>
  <c r="Z83" i="25" l="1"/>
  <c r="Z84" i="25" s="1"/>
  <c r="Z87" i="25" s="1"/>
  <c r="Z81" i="25"/>
  <c r="Z86" i="25" s="1"/>
  <c r="Z85" i="25"/>
  <c r="AB79" i="25"/>
  <c r="AB52" i="25"/>
  <c r="AB66" i="25" s="1"/>
  <c r="AC49" i="25"/>
  <c r="Z69" i="25"/>
  <c r="AA74" i="25"/>
  <c r="AA67" i="25"/>
  <c r="AC51" i="25" l="1"/>
  <c r="AA68" i="25"/>
  <c r="AA75" i="25" s="1"/>
  <c r="AA80" i="25" s="1"/>
  <c r="AB74" i="25"/>
  <c r="AB67" i="25"/>
  <c r="AA69" i="25" l="1"/>
  <c r="AC79" i="25"/>
  <c r="AC52" i="25"/>
  <c r="AC66" i="25" s="1"/>
  <c r="AA83" i="25"/>
  <c r="AA84" i="25" s="1"/>
  <c r="AA87" i="25" s="1"/>
  <c r="AA81" i="25"/>
  <c r="AA86" i="25" s="1"/>
  <c r="AA85" i="25"/>
  <c r="AB68" i="25"/>
  <c r="AB75" i="25" s="1"/>
  <c r="AB80" i="25" s="1"/>
  <c r="AD49" i="25"/>
  <c r="AB83" i="25" l="1"/>
  <c r="AB84" i="25" s="1"/>
  <c r="AB87" i="25" s="1"/>
  <c r="AB85" i="25"/>
  <c r="AB81" i="25"/>
  <c r="AB86" i="25" s="1"/>
  <c r="AC74" i="25"/>
  <c r="AC67" i="25"/>
  <c r="AB69" i="25"/>
  <c r="AD51" i="25"/>
  <c r="AD79" i="25" l="1"/>
  <c r="AD52" i="25"/>
  <c r="AD66" i="25" s="1"/>
  <c r="AE49" i="25"/>
  <c r="AE51" i="25" s="1"/>
  <c r="AC68" i="25"/>
  <c r="AC75" i="25" s="1"/>
  <c r="AC80" i="25" s="1"/>
  <c r="AC83" i="25" l="1"/>
  <c r="AC84" i="25" s="1"/>
  <c r="AC87" i="25" s="1"/>
  <c r="AC81" i="25"/>
  <c r="AC86" i="25" s="1"/>
  <c r="AC85" i="25"/>
  <c r="AD74" i="25"/>
  <c r="AD67" i="25"/>
  <c r="AC69" i="25"/>
  <c r="AE79" i="25"/>
  <c r="AE52" i="25"/>
  <c r="AE66" i="25" s="1"/>
  <c r="AE74" i="25" l="1"/>
  <c r="AE67" i="25"/>
  <c r="AD68" i="25"/>
  <c r="AD75" i="25" s="1"/>
  <c r="AD80" i="25" s="1"/>
  <c r="AD83" i="25" l="1"/>
  <c r="AD84" i="25" s="1"/>
  <c r="AD87" i="25" s="1"/>
  <c r="AD85" i="25"/>
  <c r="AD81" i="25"/>
  <c r="AD86" i="25" s="1"/>
  <c r="AE68" i="25"/>
  <c r="AE75" i="25" s="1"/>
  <c r="AE80" i="25" s="1"/>
  <c r="AD69" i="25"/>
  <c r="AE83" i="25" l="1"/>
  <c r="AE84" i="25" s="1"/>
  <c r="AE81" i="25"/>
  <c r="AE86" i="25" s="1"/>
  <c r="G24" i="25" s="1"/>
  <c r="AE85" i="25"/>
  <c r="AE69" i="25"/>
  <c r="AE87" i="25" l="1"/>
  <c r="G25" i="25" s="1"/>
  <c r="G26" i="25"/>
  <c r="B95" i="25" l="1"/>
  <c r="G27" i="25"/>
  <c r="A14" i="12" l="1"/>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<sst xmlns="http://schemas.openxmlformats.org/spreadsheetml/2006/main" count="1212" uniqueCount="710">
  <si>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</si>
  <si>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</si>
  <si>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</si>
  <si>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</si>
  <si>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</si>
  <si>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</si>
  <si>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</si>
  <si>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</si>
  <si>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</si>
  <si>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</si>
  <si>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</si>
  <si>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</si>
  <si>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</si>
  <si>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</si>
  <si>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</si>
  <si>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</si>
  <si>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</si>
  <si>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</si>
  <si>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</si>
  <si>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</si>
  <si>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</si>
  <si>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</si>
  <si>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</si>
  <si>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</si>
  <si>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</si>
  <si>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</si>
  <si>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</si>
  <si>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</si>
  <si>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</si>
  <si>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</si>
  <si>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</si>
  <si>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</si>
  <si>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</si>
  <si>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</si>
  <si>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</si>
  <si>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</si>
  <si>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</si>
  <si>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</si>
  <si>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</si>
  <si>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</si>
  <si>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</si>
  <si>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</si>
  <si>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</si>
  <si>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</si>
  <si>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</si>
  <si>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</si>
  <si>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</si>
  <si>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</si>
  <si>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</si>
  <si>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</si>
  <si>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</si>
  <si>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</si>
  <si>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</si>
  <si>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</si>
  <si>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</si>
  <si>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</si>
  <si>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</si>
  <si>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</si>
  <si>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</si>
  <si>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</si>
  <si>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</si>
  <si>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</si>
  <si>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</si>
  <si>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</si>
  <si>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</si>
  <si>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</si>
  <si>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</si>
  <si>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</si>
  <si>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</si>
  <si>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</si>
  <si>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</si>
  <si>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</si>
  <si>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</si>
  <si>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</si>
  <si>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</si>
  <si>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</si>
  <si>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</si>
  <si>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</si>
  <si>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</si>
  <si>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</si>
  <si>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</si>
  <si>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</si>
  <si>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</si>
  <si>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</si>
  <si>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</si>
  <si>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</si>
  <si>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</si>
  <si>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</si>
  <si>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</si>
  <si>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</si>
  <si>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</si>
  <si>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</si>
  <si>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</si>
  <si>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</si>
  <si>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</si>
  <si>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</si>
  <si>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</si>
  <si>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</si>
  <si>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</si>
  <si>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</si>
  <si>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</si>
  <si>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</si>
  <si>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</si>
  <si>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</si>
  <si>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</si>
  <si>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</si>
  <si>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</si>
  <si>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</si>
  <si>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</si>
  <si>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</si>
  <si>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</si>
  <si>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</si>
  <si>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</si>
  <si>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</si>
  <si>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</si>
  <si>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</si>
  <si>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</si>
  <si>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</si>
  <si>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</si>
  <si>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</si>
  <si>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</si>
  <si>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</si>
  <si>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</si>
  <si>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</si>
  <si>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</si>
  <si>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</si>
  <si>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</si>
  <si>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</si>
  <si>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</si>
  <si>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</si>
  <si>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</si>
  <si>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</si>
  <si>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</si>
  <si>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</si>
  <si>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</si>
  <si>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</si>
  <si>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</si>
  <si>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</si>
  <si>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</si>
  <si>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</si>
  <si>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</si>
  <si>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</si>
  <si>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</si>
  <si>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</si>
  <si>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</si>
  <si>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</si>
  <si>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</si>
  <si>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</si>
  <si>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</si>
  <si>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</si>
  <si>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</si>
  <si>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</si>
  <si>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</si>
  <si>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</si>
  <si>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</si>
  <si>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</si>
  <si>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</si>
  <si>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</si>
  <si>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</si>
  <si>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</si>
  <si>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</si>
  <si>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</si>
  <si>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</si>
  <si>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</si>
  <si>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</si>
  <si>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</si>
  <si>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</si>
  <si>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</si>
  <si>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</si>
  <si>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</si>
  <si>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</si>
  <si>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</si>
  <si>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</si>
  <si>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</si>
  <si>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</si>
  <si>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</si>
  <si>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</si>
  <si>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</si>
  <si>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</si>
  <si>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</si>
  <si>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</si>
  <si>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</si>
  <si>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</si>
  <si>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</si>
  <si>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</si>
  <si>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</si>
  <si>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</si>
  <si>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</si>
  <si>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</si>
  <si>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</si>
  <si>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</si>
  <si>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</si>
  <si>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</si>
  <si>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</si>
  <si>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</si>
  <si>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</si>
  <si>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</si>
  <si>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</si>
  <si>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</si>
  <si>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</si>
  <si>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</si>
  <si>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</si>
  <si>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</si>
  <si>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</si>
  <si>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</si>
  <si>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</si>
  <si>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</si>
  <si>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</si>
  <si>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</si>
  <si>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</si>
  <si>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</si>
  <si>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</si>
  <si>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</si>
  <si>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</si>
  <si>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</si>
  <si>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</si>
  <si>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</si>
  <si>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</si>
  <si>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</si>
  <si>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</si>
  <si>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</si>
  <si>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</si>
  <si>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</si>
  <si>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</si>
  <si>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</si>
  <si>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</si>
  <si>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</si>
  <si>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</si>
  <si>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</si>
  <si>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</si>
  <si>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</si>
  <si>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</si>
  <si>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</si>
  <si>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</si>
  <si>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</si>
  <si>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</si>
  <si>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</si>
  <si>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</si>
  <si>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</si>
  <si>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</si>
  <si>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</si>
  <si>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</si>
  <si>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</si>
  <si>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</si>
  <si>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</si>
  <si>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</si>
  <si>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</si>
  <si>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</si>
  <si>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</si>
  <si>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</si>
  <si>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</si>
  <si>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</si>
  <si>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</si>
  <si>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</si>
  <si>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</si>
  <si>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</si>
  <si>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</si>
  <si>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</si>
  <si>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</si>
  <si>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</si>
  <si>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</si>
  <si>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</si>
  <si>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</si>
  <si>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</si>
  <si>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</si>
  <si>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</si>
  <si>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</si>
  <si>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</si>
  <si>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</si>
  <si>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</si>
  <si>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</si>
  <si>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</si>
  <si>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</si>
  <si>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</si>
  <si>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</si>
  <si>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</si>
  <si>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</si>
  <si>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</si>
  <si>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</si>
  <si>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</si>
  <si>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</si>
  <si>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</si>
  <si>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</si>
  <si>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</si>
  <si>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</si>
  <si>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</si>
  <si>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</si>
  <si>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</si>
  <si>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</si>
  <si>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</si>
  <si>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</si>
  <si>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</si>
  <si>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</si>
  <si>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</si>
  <si>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</si>
  <si>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</si>
  <si>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</si>
  <si>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</si>
  <si>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</si>
  <si>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</si>
  <si>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</si>
  <si>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</si>
  <si>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</si>
  <si>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</si>
  <si>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</si>
  <si>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</si>
  <si>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</si>
  <si>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</si>
  <si>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</si>
  <si>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</si>
  <si>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</si>
  <si>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</si>
  <si>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</si>
  <si>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</si>
  <si>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</si>
  <si>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</si>
  <si>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</si>
  <si>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</si>
  <si>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</si>
  <si>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</si>
  <si>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</si>
  <si>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</si>
  <si>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</si>
  <si>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</si>
  <si>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</si>
  <si>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</si>
  <si>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</si>
  <si>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</si>
  <si>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</si>
  <si>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</si>
  <si>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</si>
  <si>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</si>
  <si>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</si>
  <si>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</si>
  <si>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</si>
  <si>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</si>
  <si>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</si>
  <si>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</si>
  <si>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</si>
  <si>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</si>
  <si>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</si>
  <si>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</si>
  <si>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</si>
  <si>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</si>
  <si>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</si>
  <si>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</si>
  <si>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</si>
  <si>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</si>
  <si>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</si>
  <si>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</si>
  <si>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</si>
  <si>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</si>
  <si>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</si>
  <si>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</si>
  <si>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</si>
  <si>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</si>
  <si>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</si>
  <si>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</si>
  <si>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</si>
  <si>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</si>
  <si>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</si>
  <si>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</si>
  <si>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</si>
  <si>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</si>
  <si>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</si>
  <si>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</si>
  <si>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</si>
  <si>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</si>
  <si>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</si>
  <si>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</si>
  <si>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</si>
  <si>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</si>
  <si>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</si>
  <si>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</si>
  <si>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</si>
  <si>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</si>
  <si>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</si>
  <si>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</si>
  <si>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</si>
  <si>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</si>
  <si>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</si>
  <si>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</si>
  <si>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</si>
  <si>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</si>
  <si>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</si>
  <si>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</si>
  <si>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</si>
  <si>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</si>
  <si>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</si>
  <si>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</si>
  <si>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</si>
  <si>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</si>
  <si>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</si>
  <si>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</si>
  <si>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</si>
  <si>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</si>
  <si>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</si>
  <si>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</si>
  <si>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</si>
  <si>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</si>
  <si>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</si>
  <si>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</si>
  <si>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</si>
  <si>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</si>
  <si>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</si>
  <si>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</si>
  <si>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</si>
  <si>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</si>
  <si>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</si>
  <si>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</si>
  <si>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</si>
  <si>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</si>
  <si>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</si>
  <si>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</si>
  <si>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</si>
  <si>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</si>
  <si>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</si>
  <si>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</si>
  <si>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</si>
  <si>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</si>
  <si>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</si>
  <si>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</si>
  <si>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</si>
  <si>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</si>
  <si>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</si>
  <si>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</si>
  <si>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</si>
  <si>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</si>
  <si>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</si>
  <si>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</si>
  <si>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</si>
  <si>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</si>
  <si>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</si>
  <si>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</si>
  <si>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</si>
  <si>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</si>
  <si>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</si>
  <si>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</si>
  <si>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</si>
  <si>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</si>
  <si>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</si>
  <si>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</si>
  <si>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</si>
  <si>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</si>
  <si>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</si>
  <si>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</si>
  <si>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</si>
  <si>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</si>
  <si>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</si>
  <si>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</si>
  <si>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</si>
  <si>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</si>
  <si>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</si>
  <si>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</si>
  <si>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</si>
  <si>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</si>
  <si>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</si>
  <si>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</si>
  <si>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</si>
  <si>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</si>
  <si>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</si>
  <si>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</si>
  <si>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</si>
  <si>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</si>
  <si>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</si>
  <si>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</si>
  <si>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</si>
  <si>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</si>
  <si>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</si>
  <si>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</si>
  <si>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</si>
  <si>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</si>
  <si>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</si>
  <si>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</si>
  <si>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</si>
  <si>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</si>
  <si>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</si>
  <si>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</si>
  <si>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</si>
  <si>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</si>
  <si>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</si>
  <si>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</si>
  <si>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</si>
  <si>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</si>
  <si>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</si>
  <si>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</si>
  <si>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</si>
  <si>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</si>
  <si>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</si>
  <si>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</si>
  <si>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</si>
  <si>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</si>
  <si>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</si>
  <si>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</si>
  <si>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</si>
  <si>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</si>
  <si>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</si>
  <si>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</si>
  <si>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</si>
  <si>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</si>
  <si>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</si>
  <si>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</si>
  <si>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</si>
  <si>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</si>
  <si>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</si>
  <si>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</si>
  <si>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</si>
  <si>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</si>
  <si>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</si>
  <si>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</si>
  <si>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</si>
  <si>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</si>
  <si>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не требуется</t>
  </si>
  <si>
    <t>да</t>
  </si>
  <si>
    <t>строительство</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</si>
  <si>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</si>
  <si>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2016</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</si>
  <si>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</si>
  <si>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</si>
  <si>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Строительство ПС 110 кВ "Храброво" с заходами, г. Калининград</t>
  </si>
  <si>
    <t>Зеленоградский район, вблизь п.Луговское, Привольное, Новосельское, кад.номер 39:05:051215:158</t>
  </si>
  <si>
    <t>отсутствует</t>
  </si>
  <si>
    <t>Конечным результатом реализации инвестиционного проекта является подключение аэропорта мощностью 8,245 МВт к ПС "Храброво"</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</si>
  <si>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7,147 млн.руб./км, 14,213 млн.руб./МВА</t>
  </si>
  <si>
    <t xml:space="preserve">Конечным результатом реализации инвестиционного проекта является подключение аэропорта мощностью 8,245 МВт к ПС "Храброво"
</t>
  </si>
  <si>
    <t>Мероприятия соответсвуют схеме и программе развития Калининградской области с 2017-2021 гг.</t>
  </si>
  <si>
    <t>объект паспорта нет относиться к ЕНЭС</t>
  </si>
  <si>
    <t>Инвестиционные проекты, предусмотренные схемой и программой развития субъекта Российской Федерации</t>
  </si>
  <si>
    <t>788/07/14 д/с № 1</t>
  </si>
  <si>
    <t>№ 788/07/14 от 28.11.2014</t>
  </si>
  <si>
    <t>Д/с на рассмотрении у Заяваителя</t>
  </si>
  <si>
    <t>аэровокзал</t>
  </si>
  <si>
    <t>Гурьевский район, п. Храброво, аэропорт "Храброво" (кад. № 39:03:040006:337)</t>
  </si>
  <si>
    <t>КОНТ СОЕДИНЕНИЯ ВЫКЛЮЧАТЕЛЕЙ (В) В ЛИН. ЯЧЕЙКАХ (РПновый (п.10.13)-ТПНОВЫЕ(п.11.1)) "А" и "А1"  В РПновом (Iсек.) (п.10.13) (2 ТОЧКИ - С Р=1250кВт)                                                                                 КОНТ. СОЕДИНЕНИЯ ВЫКЛЮЧАТЕЛЕЙ (В) В ЛИН. ЯЧЕЙКАХ (РПновый (п.10.13)-ТПНОВЫЕ(п.11.1)) "Б" и "Б1"  В РПновом (IIсек.) (п.10.13) (2 ТОЧКИ - С Р=1250кВт)</t>
  </si>
  <si>
    <t>2 кат</t>
  </si>
  <si>
    <t>1.1 Выполнить проектные работы по строительству новой ПС 110/10(15) кВ открытого  
      типа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Храброво). 
      Проектом предусмотреть установку в ОРУ-110кВ ПС Храброво микропроцессорных 
      устройств РЗА, функционально и аппаратно совместимых с установленными на 
      ПС 330/110 кВ Северная 330 и ПС 110/15/10 кВ О-27 Муромская. Проектом 
      предусмотреть установку АСУ ТП ПС Храброво. Предусмотреть АСУ ТП верхнего 
      уровня в ЦУС АО "Янтарьэнерго" и ДП филиала АО "Янтарьэнерго" ЗЭС. 
      Работы выполнить в соответствии с разработанным проектом.                                                  1.2 Определить и выполнить организацию связи ОРУ-110 кВ ПС 110/10(15) кВ Храброво  
      с двумя независимыми каналами связи для обеспечения передачи телеинформации в 
      ЦУС АО "Янтарьэнерго", Филиал ОАО "СО ЕЭС" Балтийское РДУ, на ДП филиала  
      АО "Янтарьэнерго" ЗЭС и организацию телефонной связи между оперативным  
      персоналом ПС 110/10(15) кВ и ЦУС АО "Янтарьэнерго", Филиала ОАО "СО ЕЭС" 
      Балтийское РДУ и ДП филиала АО "Янтарьэнерго" ЗЭС. Объём ТИ и ТС согласовать 
      с АО "Янтарьэнерго" и Филиалом ОАО "СО ЕЭС" Балтийское РДУ.                                     1.3 Выполнить проектные работы по установке на ПС 110/10(15) кВ   "Храброво" двух 
      трансформаторов 110/10кВ мощностью по 10 МВА. Проектом на ПС Храброво  
      предусмотреть установку нового комплектного ЗРУ-10 кВ (на две секции) в 
      бетонном корпусе с двумя вводными, секционной, шестью линейными ячейками с 
      вакуумными выключателями на напряжение 12 кВ (с монтажом двух ячеек) и с 
      ячейками (по одной на каждой секции) под ТН 10 кВ, ТСН 10 кВ и ДГК. После 
      расчета  емкостных токов (пп.10.10,11.1) определить мощность, тип ТН, ТСН и 
      ДГК. Работы выполнить в соответствии с разработанным проектом.                                       1.4 Выполнить проектные и монтажные работы по строительству 2-х цепной ЛЭП-110кВ
      (ориентировочно 2х8 км) от ВЛ-110кВ № 119  до I  и II секций ОРУ-110 кВ 
      ПС Храброво с использованием провода АС сечением не менее 240 кв. мм. Работы  
      выполнить в соответствии с разработанным проектом.</t>
  </si>
  <si>
    <t>Федеральное финансирование по ст. 18</t>
  </si>
  <si>
    <t>№ 5091/07/15</t>
  </si>
  <si>
    <t>Договор на рассмотрении</t>
  </si>
  <si>
    <t>Вторая очередь реконструкции и развития аэропорта "Храброво", г. Калининград, Калининградская область</t>
  </si>
  <si>
    <t>Калининградская обл, Гурьевский р-н, Храброво п, Аэропорт (кад. 39:03:040006:297)</t>
  </si>
  <si>
    <t xml:space="preserve"> НИЖНИЕ КОНТАКТЫ РАЗЪЕДИНИТЕЛЯ ОТКЛЮЧАЮЩЕГО ПУНКТА НА КОНЦЕВОЙ ОПОРЕ (НА ГРАНИЦЕ ЗЕМЕЛЬНОГО УЧАСТКА(КАД.№39:05:051216:74)) НОВОЙ ЛЭП-10 кВ (п. 10.1)                                                                    НИЖНИЕ КОНТАКТЫ РАЗЪЕДИНИТЕЛЯ ОТКЛЮЧАЮЩЕГО ПУНКТА НА КОНЦЕВОЙ ОПОРЕ (НА ГРАНИЦЕ ЗЕМЕЛЬНОГО УЧАСТКА (КАД.№39:05:051216:74)) НОВОЙ ЛЭП-10 кВ (п.10.1)            -КОНТАКТНЫЕ СОЕДИНЕНИЯ ВЫКЛЮЧАТЕЛЕЙ (В) В ЯЧЕЙКАХ ЛЭП-10кВ №-27-2 И №-27-7 В КРУ-10кВ ¶(I и II секций) ПС О-27 "МУРОМСКАЯ"(только в аварийном режиме</t>
  </si>
  <si>
    <t xml:space="preserve">дог №1038  -  ЦБ-39   в ценах 2016 года с НДС, млн. руб.    </t>
  </si>
  <si>
    <t xml:space="preserve">пересчет сметной стоимости  №161-045 от 11/01/2016  -  РЦЦС   в ценах 2016 года с НДС, млн. руб.          </t>
  </si>
  <si>
    <t>аренда строительного оборудования - Крамо Калининград    в ценах 2016 года с НДС, млн. руб.</t>
  </si>
  <si>
    <t>аренда зем.уч.   №472   от  18/03/2014     -     Корпорация развития Калининградской области    в ценах 2014 года с НДС, млн. руб.</t>
  </si>
  <si>
    <t>образование земельного участка под стр-во по Акту №281п выбора зем.уч. от 26/11/2012       № 70   от   29/07/2013      -       ЗЕМЛЕМЕР   в ценах 2013 года с НДС, млн. руб.</t>
  </si>
  <si>
    <t>проверка достоверности сметной стоимости   № 44/СМ  от  29/12/2014   -   Центр проектных экспертиз  в ценах 2014 года с НДС, млн. руб.</t>
  </si>
  <si>
    <t>гос экспертиза ИИ,ПД   № 263  от  29/12/2014   -   Центр проектных экспертиз   в ценах 2014 года с НДС, млн. руб.</t>
  </si>
  <si>
    <t>ПСД    № 572  от  16/06/2014    -    СилтумЭлектроПроект  в ценах 2014 года с НДС, млн. руб.</t>
  </si>
  <si>
    <t>СМР   №598 от 24/07/2015   -   Инженерный центр Энергосервис  в ценах 2015 года с НДС, млн. руб.</t>
  </si>
  <si>
    <t>E_prj_111001_2501</t>
  </si>
  <si>
    <t>ПС 110 кВ Храброво</t>
  </si>
  <si>
    <t>Силовой трансформатор 110 кВ</t>
  </si>
  <si>
    <t>Выключатель 110 кВ</t>
  </si>
  <si>
    <t>Выключатель элегазовый 3AP1FG-145</t>
  </si>
  <si>
    <t>Т-1, Т-2</t>
  </si>
  <si>
    <t>КРУ 10 кВ</t>
  </si>
  <si>
    <t>D-12P</t>
  </si>
  <si>
    <t>I с 10 кВ, II с 10 кВ</t>
  </si>
  <si>
    <t>ТСН 10 кВ</t>
  </si>
  <si>
    <t>ТМГ-250/10</t>
  </si>
  <si>
    <t>ТСН-1, ТСН-2</t>
  </si>
  <si>
    <t>ВЛ 110 кВ Северная 330 - Храброво</t>
  </si>
  <si>
    <t>ВЛ 110 кВ Северная 330 - О-27 Муромская (Л-119)</t>
  </si>
  <si>
    <t>ВЛ 110 кВ О-27 Муромская - Храброво</t>
  </si>
  <si>
    <t>от ПС Северная до ПС Храброво</t>
  </si>
  <si>
    <t>от ПС Муромская до ПС Храброво</t>
  </si>
  <si>
    <t>воздушная</t>
  </si>
  <si>
    <t>ПС 110 кВ Храброво (поселок Храброво, ввод – 2014-2017 годы)                               с установкой трансформаторов мощностью 2×40 и 2×10 МВА. Трансформаторная мощность 2×10 МВА рассчитана исходя из нагрузок реконструируемого аэропорта «Храброво» в связи с увеличением его мощности. Трансформаторная мощность 2×40 МВА рассчитана в соответствии с утвержденными техническими условиями на технологическое присоединение к ПС 110 кВ Храброво энергопринимающих устройств индустриального парка «Храброво», заявленная мощность которого составляет 40 МВт. Подключение ПС к энергосистеме предусматривается врезкой в ВЛ ПС кВ Северная 330 - Муромская (№ 119). Охранная зона ЛЭП – 50 м;</t>
  </si>
  <si>
    <t>47,012Мвт</t>
  </si>
  <si>
    <t>НД</t>
  </si>
  <si>
    <t>анкерно-уловые - металлические решетчатые; промежуточные - железобетонные</t>
  </si>
  <si>
    <t>Услуги по проведению государственной экспертизы  по объекту "Строительство ПС 110/15/10 кВ "Храброво" с заходами"</t>
  </si>
  <si>
    <t>Услуги</t>
  </si>
  <si>
    <t>ОАО "Янтарьэнерго"</t>
  </si>
  <si>
    <t>мониторинг</t>
  </si>
  <si>
    <t>ВЗ</t>
  </si>
  <si>
    <t>ЕИ</t>
  </si>
  <si>
    <t>Государственной автономное учреждение Калининградской области "Центр проектных экспертиз"</t>
  </si>
  <si>
    <t>не электронная</t>
  </si>
  <si>
    <t>ЦЗО</t>
  </si>
  <si>
    <t>31.12.2014</t>
  </si>
  <si>
    <t xml:space="preserve"> СМР с поставкой оборудования по объекту «Строительство ПС 110/15/10 кВ «Храброво» с заходами».</t>
  </si>
  <si>
    <t>СМР</t>
  </si>
  <si>
    <t>ПСД</t>
  </si>
  <si>
    <t>ООК</t>
  </si>
  <si>
    <t>"Инженерный центр "Энергосервис" ООО</t>
  </si>
  <si>
    <t>"ОПТИМА ЭНЕРГОСТРОЙ" АО</t>
  </si>
  <si>
    <t>"Фирма ОРГРЭС" ОАО</t>
  </si>
  <si>
    <t>"А7 Энерго" ООО</t>
  </si>
  <si>
    <t>"Корпорация Акционерной Компании "Электросевкавмонтаж" ООО</t>
  </si>
  <si>
    <t>"ОЭнТ-Центр" ООО</t>
  </si>
  <si>
    <t>"Петербургская строительная компания профессионалов"</t>
  </si>
  <si>
    <t>b2b-mrsk</t>
  </si>
  <si>
    <t>Услуги на проведение авторского надзора по объекту «Строительство ПС 110/15/10 кВ «Храброво» с заходами».</t>
  </si>
  <si>
    <t>гл. 12 ССР</t>
  </si>
  <si>
    <t>"СилтумЭлектроПроект" ООО</t>
  </si>
  <si>
    <t>zakupki.gov.ru</t>
  </si>
  <si>
    <t>5.11.4.9</t>
  </si>
  <si>
    <t>08-2</t>
  </si>
  <si>
    <t>Договор расторгнут</t>
  </si>
  <si>
    <t>СМР, ПНР с поставкой МТР и оборудования по объекту «Строительство ПС 110/15/10 кВ «Храброво» с заходами».</t>
  </si>
  <si>
    <t>ОА</t>
  </si>
  <si>
    <t>ОА ЕП</t>
  </si>
  <si>
    <t>"ЭССП" АО</t>
  </si>
  <si>
    <t>0635000000116000001</t>
  </si>
  <si>
    <t>05.02.2016</t>
  </si>
  <si>
    <t>24.02.2016</t>
  </si>
  <si>
    <t>25.02.2016</t>
  </si>
  <si>
    <t>10.03.2016</t>
  </si>
  <si>
    <t>Аукцион проводился по 44-ФЗ</t>
  </si>
  <si>
    <t>05.12.2016</t>
  </si>
  <si>
    <t>Строительный контроль по объекту «Строительство ПС 110/15/10 кВ «Храброво» с заходами».</t>
  </si>
  <si>
    <t>ОК</t>
  </si>
  <si>
    <t>"НИИИЦ МРСК" АО</t>
  </si>
  <si>
    <t>"БРАНД" ООО</t>
  </si>
  <si>
    <t>0635000000116000002</t>
  </si>
  <si>
    <t>11.03.2016</t>
  </si>
  <si>
    <t>01.04.2016</t>
  </si>
  <si>
    <t>07.04.2016</t>
  </si>
  <si>
    <t>27.04.2016</t>
  </si>
  <si>
    <t>01.05.2016</t>
  </si>
  <si>
    <t>Конкурс проводился по 44-ФЗ</t>
  </si>
  <si>
    <t>ПИР по объекту  ОАО «Янтарьэнерго» «Строительство ПС 110/15/10 кВ «Храброво» с заходами».</t>
  </si>
  <si>
    <t>ПИР</t>
  </si>
  <si>
    <t>УР</t>
  </si>
  <si>
    <t>"Институт Энергетических Сетей" ЗАО</t>
  </si>
  <si>
    <t>"ВологдаЭнергоКомплекс" ООО</t>
  </si>
  <si>
    <t>"Электропромсервис" ООО</t>
  </si>
  <si>
    <t>"НПО "Электрострой" ООО</t>
  </si>
  <si>
    <t>"Региональная организация сетевого проектирования" ООО</t>
  </si>
  <si>
    <t>"Элвест" ООО</t>
  </si>
  <si>
    <t>"Проектный Центр "ЭКРА" ООО</t>
  </si>
  <si>
    <t>"ПетроЭнергоСоюз" ООО</t>
  </si>
  <si>
    <t>"МодЭнС Групп" ЗАО</t>
  </si>
  <si>
    <t>"Дальэнергосетьпроект" ОАО</t>
  </si>
  <si>
    <t>"Проектно-монтажная компания Сибири" ООО</t>
  </si>
  <si>
    <t>"СпецЭлектроМеханика" ЗАО</t>
  </si>
  <si>
    <t>"Северный Стандарт" ООО</t>
  </si>
  <si>
    <t>"Электро-Инжиниринг" ООО</t>
  </si>
  <si>
    <t>"ЭнергоСтройПроект" ЗАО</t>
  </si>
  <si>
    <t>по состоянию на 01.01.2016 года X</t>
  </si>
  <si>
    <t>по состоянию на 01.01.2015 года</t>
  </si>
  <si>
    <t>ТДН</t>
  </si>
  <si>
    <t>312,00 млн.руб.</t>
  </si>
  <si>
    <t>264,41 млн.руб.</t>
  </si>
  <si>
    <t>С</t>
  </si>
  <si>
    <t>Строительство ВЛ 110 кВ 7,6 км, строительство ПС 110 кВ  100 МВА</t>
  </si>
  <si>
    <t>Трансформатор связи</t>
  </si>
  <si>
    <t xml:space="preserve">Строительство ВЛ 110 кВ 7,6 км, строительство ПС 110 кВ  100 МВА, сметная стоимость объекта 338, 012 млн.руб. в ценах IV квартала 2015 г. </t>
  </si>
  <si>
    <t>подключение аэропорта мощностью 8,245 МВт к ПС "Храброво"</t>
  </si>
  <si>
    <t>Электросетьстройпроект АО договор  № 0635000000116000001-0287782-02     от  10/03/16-   в ценах 2016 года с НДС, млн. руб.</t>
  </si>
  <si>
    <t>Центр проектных экспертиз    договор  191 от 10/12/15   в ценах 2015 года с НДС, млн. руб.</t>
  </si>
  <si>
    <t>Центр проектных экспертиз    договор  77/СМ от 10/12/15   в ценах 2015 года с НДС, млн. руб.</t>
  </si>
  <si>
    <t>Центр проектных экспертиз    договор  № заказ 2180  от  15/09/16-   в ценах 2016 года с НДС, млн. руб.</t>
  </si>
  <si>
    <t>НИИЦ МРСК   договор  № 286  от  27/04/16-   в ценах 2016 года с НДС, млн. руб.</t>
  </si>
  <si>
    <t>ЗЕМЛЕМЕР  договор   599 от 05/08/15   в ценах 2015 года с НДС, млн. руб.</t>
  </si>
  <si>
    <t>7,6 км, 100 МВА</t>
  </si>
  <si>
    <t>Центр проектных экспертиз    договор  № 91/СМ  от 2016 г.   в ценах 2016 года с НДС, млн. руб.</t>
  </si>
  <si>
    <t>Центр Инженерных Изысканий     договор  № 521  от  22/08/16-   в ценах 2016 года с НДС, млн. руб.</t>
  </si>
  <si>
    <t>заключение ГЭ от 13.11.2016</t>
  </si>
  <si>
    <t>Сметная стоимость проекта в ценах  2 кв. 2016 года с НДС, млн. руб.</t>
  </si>
  <si>
    <t>2019 год</t>
  </si>
  <si>
    <t>2020 год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</si>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</sst>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4" formatCode="#,##0.00_ ;\-#,##0.00\ "/>
    <numFmt numFmtId="175"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name val="Arial Cyr"/>
      <charset val="204"/>
    </font>
    <font>
      <sz val="11"/>
      <color theme="0"/>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b/>
      <sz val="12"/>
      <color theme="0" tint="-0.249977111117893"/>
      <name val="Times New Roman"/>
      <family val="1"/>
      <charset val="204"/>
    </font>
    <font>
      <sz val="12"/>
      <color indexed="8"/>
      <name val="Times New Roman"/>
      <family val="1"/>
      <charset val="204"/>
    </font>
    <font>
      <sz val="11"/>
      <color theme="0" tint="-0.249977111117893"/>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1" fillId="0" borderId="0" applyFont="0" applyFill="0" applyBorder="0" applyAlignment="0" applyProtection="0"/>
    <xf numFmtId="0" fontId="11" fillId="0" borderId="0"/>
    <xf numFmtId="43" fontId="1" fillId="0" borderId="0" applyFont="0" applyFill="0" applyBorder="0" applyAlignment="0" applyProtection="0"/>
  </cellStyleXfs>
  <cellXfs count="4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8" fillId="0" borderId="0" xfId="67" applyFont="1" applyFill="1" applyAlignment="1">
      <alignment horizontal="center" vertical="center"/>
    </xf>
    <xf numFmtId="0" fontId="7" fillId="0" borderId="0" xfId="67" applyFont="1" applyFill="1" applyAlignment="1">
      <alignment vertical="center"/>
    </xf>
    <xf numFmtId="0" fontId="63" fillId="0" borderId="0" xfId="67" applyFont="1" applyFill="1" applyAlignment="1">
      <alignment horizontal="left" vertical="center"/>
    </xf>
    <xf numFmtId="0" fontId="64" fillId="0" borderId="0" xfId="67" applyFont="1" applyFill="1" applyAlignment="1">
      <alignment vertical="center"/>
    </xf>
    <xf numFmtId="0" fontId="65" fillId="0" borderId="0" xfId="0" applyFont="1" applyFill="1"/>
    <xf numFmtId="0" fontId="66" fillId="0" borderId="0" xfId="0" applyFont="1" applyFill="1" applyBorder="1"/>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64" fillId="0" borderId="1" xfId="67" applyNumberFormat="1" applyFont="1" applyFill="1" applyBorder="1" applyAlignment="1">
      <alignment horizontal="center" vertical="center"/>
    </xf>
    <xf numFmtId="3" fontId="64" fillId="0" borderId="1" xfId="67" applyNumberFormat="1" applyFont="1" applyFill="1" applyBorder="1" applyAlignment="1">
      <alignment horizontal="center" vertical="center"/>
    </xf>
    <xf numFmtId="0" fontId="7" fillId="0" borderId="44" xfId="67"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7" fillId="0" borderId="5" xfId="67" applyNumberFormat="1" applyFont="1" applyFill="1" applyBorder="1" applyAlignment="1">
      <alignment vertical="center"/>
    </xf>
    <xf numFmtId="0" fontId="38" fillId="0" borderId="25" xfId="67" applyFont="1" applyFill="1" applyBorder="1" applyAlignment="1">
      <alignment horizontal="left"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68" fillId="0" borderId="0" xfId="67" applyFont="1" applyFill="1" applyAlignment="1">
      <alignment vertical="center"/>
    </xf>
    <xf numFmtId="3" fontId="69" fillId="0" borderId="1" xfId="67" applyNumberFormat="1" applyFont="1" applyFill="1" applyBorder="1" applyAlignment="1">
      <alignment vertical="center"/>
    </xf>
    <xf numFmtId="0" fontId="70" fillId="0" borderId="0" xfId="0" applyFont="1" applyFill="1"/>
    <xf numFmtId="3" fontId="71" fillId="0" borderId="0" xfId="67" applyNumberFormat="1" applyFont="1" applyFill="1" applyAlignment="1">
      <alignment horizontal="center" vertical="center"/>
    </xf>
    <xf numFmtId="172" fontId="69" fillId="0" borderId="1" xfId="67" applyNumberFormat="1" applyFont="1" applyFill="1" applyBorder="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3" fillId="0" borderId="4" xfId="1" applyBorder="1" applyAlignment="1">
      <alignment horizontal="left"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4" fillId="0" borderId="1" xfId="67" applyFont="1" applyFill="1" applyBorder="1" applyAlignment="1">
      <alignment horizontal="center" vertical="center"/>
    </xf>
    <xf numFmtId="0" fontId="70" fillId="0" borderId="0" xfId="0" applyFont="1" applyFill="1" applyBorder="1"/>
    <xf numFmtId="3" fontId="68" fillId="0" borderId="0" xfId="67" applyNumberFormat="1" applyFont="1" applyFill="1" applyBorder="1" applyAlignment="1">
      <alignment horizontal="center" vertical="center"/>
    </xf>
    <xf numFmtId="3" fontId="67" fillId="0" borderId="0" xfId="67" applyNumberFormat="1" applyFont="1" applyFill="1" applyBorder="1" applyAlignment="1">
      <alignment vertical="center"/>
    </xf>
    <xf numFmtId="166" fontId="73" fillId="0" borderId="0" xfId="67" applyNumberFormat="1" applyFont="1" applyFill="1" applyBorder="1" applyAlignment="1">
      <alignment horizontal="center" vertical="center"/>
    </xf>
    <xf numFmtId="3" fontId="74" fillId="0" borderId="4" xfId="67" applyNumberFormat="1" applyFont="1" applyFill="1" applyBorder="1" applyAlignment="1">
      <alignment vertical="center"/>
    </xf>
    <xf numFmtId="14" fontId="72" fillId="0" borderId="2" xfId="62" applyNumberFormat="1" applyFont="1" applyFill="1" applyBorder="1" applyAlignment="1" applyProtection="1">
      <alignment horizontal="center" vertical="center" wrapText="1"/>
      <protection locked="0"/>
    </xf>
    <xf numFmtId="3" fontId="36" fillId="0" borderId="45" xfId="67" applyNumberFormat="1" applyFont="1" applyFill="1" applyBorder="1" applyAlignment="1">
      <alignment vertical="center"/>
    </xf>
    <xf numFmtId="172" fontId="69" fillId="0" borderId="0" xfId="67" applyNumberFormat="1" applyFont="1" applyFill="1" applyBorder="1" applyAlignment="1">
      <alignment vertical="center"/>
    </xf>
    <xf numFmtId="0" fontId="3" fillId="0" borderId="1" xfId="1" applyBorder="1" applyAlignment="1">
      <alignment vertical="center"/>
    </xf>
    <xf numFmtId="9" fontId="3" fillId="0" borderId="1" xfId="68" applyFont="1" applyBorder="1" applyAlignment="1">
      <alignment vertical="center"/>
    </xf>
    <xf numFmtId="0" fontId="11" fillId="0" borderId="4" xfId="2" applyFont="1" applyFill="1" applyBorder="1" applyAlignment="1">
      <alignment horizontal="center" vertical="center" wrapText="1"/>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9" fontId="3" fillId="0" borderId="1" xfId="68" applyFont="1" applyBorder="1" applyAlignment="1">
      <alignment horizontal="left"/>
    </xf>
    <xf numFmtId="1" fontId="7" fillId="0" borderId="1" xfId="49" applyNumberFormat="1" applyFont="1" applyBorder="1" applyAlignment="1">
      <alignment horizontal="center" vertical="center" wrapText="1"/>
    </xf>
    <xf numFmtId="17" fontId="7" fillId="0" borderId="1" xfId="49" applyNumberFormat="1" applyFont="1" applyBorder="1" applyAlignment="1">
      <alignment horizontal="center" vertical="center" wrapText="1"/>
    </xf>
    <xf numFmtId="0" fontId="7" fillId="0" borderId="0" xfId="49" applyFont="1" applyAlignment="1">
      <alignment wrapText="1"/>
    </xf>
    <xf numFmtId="0" fontId="36" fillId="0" borderId="1" xfId="49" applyFont="1" applyBorder="1" applyAlignment="1">
      <alignment wrapText="1"/>
    </xf>
    <xf numFmtId="0" fontId="36" fillId="0" borderId="0" xfId="49" applyFont="1" applyAlignment="1">
      <alignment wrapText="1"/>
    </xf>
    <xf numFmtId="0" fontId="7" fillId="0" borderId="1" xfId="0" applyNumberFormat="1" applyFont="1" applyBorder="1" applyAlignment="1">
      <alignment horizontal="center" vertical="center" wrapText="1"/>
    </xf>
    <xf numFmtId="4"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 fontId="7" fillId="0" borderId="1" xfId="49" applyNumberFormat="1" applyFont="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0" fontId="7" fillId="0" borderId="1" xfId="49" applyFont="1" applyBorder="1" applyAlignment="1">
      <alignment horizontal="center" vertical="center" wrapText="1"/>
    </xf>
    <xf numFmtId="0" fontId="7" fillId="0" borderId="0" xfId="49" applyFont="1" applyAlignment="1">
      <alignment horizontal="center" vertical="center" wrapText="1"/>
    </xf>
    <xf numFmtId="4" fontId="7" fillId="0" borderId="1" xfId="0" applyNumberFormat="1" applyFont="1" applyBorder="1" applyAlignment="1">
      <alignment horizontal="center" vertical="center" wrapText="1"/>
    </xf>
    <xf numFmtId="4" fontId="7" fillId="0" borderId="0" xfId="49" applyNumberFormat="1" applyFont="1" applyAlignment="1">
      <alignment horizontal="center" vertical="center" wrapText="1"/>
    </xf>
    <xf numFmtId="14" fontId="7" fillId="0" borderId="1" xfId="0" applyNumberFormat="1" applyFont="1" applyFill="1" applyBorder="1" applyAlignment="1">
      <alignment horizontal="center" vertical="center" wrapText="1"/>
    </xf>
    <xf numFmtId="4" fontId="7" fillId="0" borderId="0" xfId="49" applyNumberFormat="1" applyFont="1" applyAlignment="1">
      <alignment wrapText="1"/>
    </xf>
    <xf numFmtId="49" fontId="7" fillId="0" borderId="1" xfId="0" applyNumberFormat="1" applyFont="1" applyFill="1" applyBorder="1" applyAlignment="1">
      <alignment horizontal="center" vertical="center" wrapText="1"/>
    </xf>
    <xf numFmtId="4" fontId="72" fillId="0" borderId="1" xfId="0" applyNumberFormat="1" applyFont="1" applyFill="1" applyBorder="1" applyAlignment="1">
      <alignment horizontal="center" vertical="center" wrapText="1"/>
    </xf>
    <xf numFmtId="49" fontId="72" fillId="0" borderId="1" xfId="0" applyNumberFormat="1" applyFont="1" applyFill="1" applyBorder="1" applyAlignment="1">
      <alignment horizontal="center" vertical="center" wrapText="1"/>
    </xf>
    <xf numFmtId="0" fontId="11" fillId="0" borderId="1" xfId="49" applyFont="1" applyBorder="1" applyAlignment="1">
      <alignment horizontal="center" vertical="center" wrapText="1"/>
    </xf>
    <xf numFmtId="4" fontId="11" fillId="0" borderId="1" xfId="49" applyNumberFormat="1" applyFont="1" applyBorder="1" applyAlignment="1">
      <alignment horizontal="center" vertical="center" wrapText="1"/>
    </xf>
    <xf numFmtId="17" fontId="11" fillId="0" borderId="1" xfId="49"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4" fontId="11"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1" fillId="0" borderId="0" xfId="49" applyFont="1" applyAlignment="1">
      <alignment horizontal="center" vertical="center" wrapText="1"/>
    </xf>
    <xf numFmtId="14" fontId="72" fillId="0" borderId="1" xfId="0" applyNumberFormat="1" applyFont="1" applyFill="1" applyBorder="1" applyAlignment="1">
      <alignment horizontal="center" vertical="center" wrapText="1"/>
    </xf>
    <xf numFmtId="1" fontId="36" fillId="0" borderId="0" xfId="49" applyNumberFormat="1" applyFont="1"/>
    <xf numFmtId="1" fontId="37" fillId="0" borderId="1" xfId="49" applyNumberFormat="1" applyFont="1" applyBorder="1" applyAlignment="1">
      <alignment horizontal="center" vertical="center"/>
    </xf>
    <xf numFmtId="1" fontId="11" fillId="0" borderId="1" xfId="49" applyNumberFormat="1" applyFont="1" applyBorder="1" applyAlignment="1">
      <alignment horizontal="center" vertical="center" wrapText="1"/>
    </xf>
    <xf numFmtId="1" fontId="36" fillId="0" borderId="1" xfId="49" applyNumberFormat="1" applyFont="1" applyBorder="1" applyAlignment="1">
      <alignment wrapText="1"/>
    </xf>
    <xf numFmtId="174" fontId="42" fillId="0" borderId="2"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43" fontId="11" fillId="0" borderId="0" xfId="2" applyNumberFormat="1" applyFont="1"/>
    <xf numFmtId="174" fontId="11" fillId="0" borderId="1" xfId="2" applyNumberFormat="1" applyFont="1" applyFill="1" applyBorder="1" applyAlignment="1">
      <alignment horizontal="center" vertical="center" wrapText="1"/>
    </xf>
    <xf numFmtId="174" fontId="42" fillId="0" borderId="1" xfId="62" applyNumberFormat="1" applyFont="1" applyFill="1" applyBorder="1" applyAlignment="1" applyProtection="1">
      <alignment horizontal="center" vertical="center" wrapText="1"/>
      <protection locked="0"/>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40" fillId="0" borderId="34"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0" fillId="0" borderId="31" xfId="2" applyFont="1" applyFill="1" applyBorder="1" applyAlignment="1">
      <alignment horizontal="justify" vertical="center"/>
    </xf>
    <xf numFmtId="172" fontId="40" fillId="26" borderId="31"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61"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1"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67" applyFont="1" applyFill="1" applyAlignment="1">
      <alignment horizontal="left" vertical="center" wrapText="1"/>
    </xf>
    <xf numFmtId="0" fontId="64" fillId="0" borderId="1" xfId="67" applyFont="1" applyFill="1" applyBorder="1" applyAlignment="1">
      <alignment horizontal="center" vertical="center"/>
    </xf>
    <xf numFmtId="0" fontId="7" fillId="0" borderId="0" xfId="0" applyFont="1" applyFill="1" applyBorder="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2"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Border="1" applyAlignment="1">
      <alignment horizontal="center" vertical="center" wrapText="1" shrinkToFit="1"/>
    </xf>
    <xf numFmtId="14" fontId="11" fillId="0" borderId="1" xfId="2" applyNumberFormat="1" applyFont="1" applyFill="1" applyBorder="1" applyAlignment="1">
      <alignment horizontal="center" vertical="center" wrapText="1" shrinkToFit="1"/>
    </xf>
    <xf numFmtId="0" fontId="11" fillId="0" borderId="1" xfId="2" applyFont="1" applyBorder="1" applyAlignment="1">
      <alignment horizontal="left" vertical="top" wrapText="1" shrinkToFit="1"/>
    </xf>
    <xf numFmtId="0" fontId="11" fillId="0" borderId="0" xfId="2" applyFont="1" applyFill="1" applyAlignment="1">
      <alignment horizontal="left" vertical="top" wrapText="1" shrinkToFit="1"/>
    </xf>
    <xf numFmtId="0" fontId="11" fillId="0" borderId="1" xfId="2" applyNumberFormat="1" applyFont="1" applyFill="1" applyBorder="1" applyAlignment="1">
      <alignment horizontal="center" vertical="top" wrapText="1" shrinkToFit="1"/>
    </xf>
    <xf numFmtId="0" fontId="11" fillId="0" borderId="1" xfId="2" applyFont="1" applyFill="1" applyBorder="1" applyAlignment="1">
      <alignment wrapText="1" shrinkToFit="1"/>
    </xf>
    <xf numFmtId="0" fontId="0" fillId="0" borderId="1" xfId="0" applyFill="1" applyBorder="1" applyAlignment="1">
      <alignment wrapText="1" shrinkToFit="1"/>
    </xf>
    <xf numFmtId="0" fontId="11" fillId="0" borderId="1" xfId="2" applyNumberFormat="1" applyFont="1" applyFill="1" applyBorder="1" applyAlignment="1">
      <alignment horizontal="left" vertical="top" wrapText="1" shrinkToFit="1"/>
    </xf>
    <xf numFmtId="167" fontId="42" fillId="0" borderId="1" xfId="2" applyNumberFormat="1" applyFont="1" applyFill="1" applyBorder="1" applyAlignment="1">
      <alignment horizontal="right" vertical="top" wrapText="1" shrinkToFi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39455720"/>
        <c:axId val="558900368"/>
      </c:lineChart>
      <c:catAx>
        <c:axId val="239455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8900368"/>
        <c:crosses val="autoZero"/>
        <c:auto val="1"/>
        <c:lblAlgn val="ctr"/>
        <c:lblOffset val="100"/>
        <c:noMultiLvlLbl val="0"/>
      </c:catAx>
      <c:valAx>
        <c:axId val="558900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39455720"/>
        <c:crosses val="autoZero"/>
        <c:crossBetween val="between"/>
      </c:valAx>
    </c:plotArea>
    <c:legend>
      <c:legendPos val="r"/>
      <c:layout>
        <c:manualLayout>
          <c:xMode val="edge"/>
          <c:yMode val="edge"/>
          <c:x val="0.30498195494164054"/>
          <c:y val="0.90123818977538972"/>
          <c:w val="0.35115452182523554"/>
          <c:h val="8.2304857513734217E-2"/>
        </c:manualLayout>
      </c:layout>
      <c:overlay val="0"/>
      <c:txPr>
        <a:bodyPr/>
        <a:lstStyle/>
        <a:p>
          <a:pPr>
            <a:defRPr sz="36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8"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299" t="s">
        <v>480</v>
      </c>
      <c r="B5" s="299"/>
      <c r="C5" s="299"/>
      <c r="D5" s="151"/>
      <c r="E5" s="151"/>
      <c r="F5" s="151"/>
      <c r="G5" s="151"/>
      <c r="H5" s="151"/>
      <c r="I5" s="151"/>
      <c r="J5" s="151"/>
    </row>
    <row r="6" spans="1:22" s="11" customFormat="1" ht="18.75" x14ac:dyDescent="0.3">
      <c r="A6" s="16"/>
      <c r="F6" s="15"/>
      <c r="G6" s="15"/>
      <c r="H6" s="14"/>
    </row>
    <row r="7" spans="1:22" s="11" customFormat="1" ht="18.75" x14ac:dyDescent="0.2">
      <c r="A7" s="303" t="s">
        <v>9</v>
      </c>
      <c r="B7" s="303"/>
      <c r="C7" s="303"/>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04" t="s">
        <v>481</v>
      </c>
      <c r="B9" s="304"/>
      <c r="C9" s="304"/>
      <c r="D9" s="7"/>
      <c r="E9" s="7"/>
      <c r="F9" s="7"/>
      <c r="G9" s="7"/>
      <c r="H9" s="7"/>
      <c r="I9" s="12"/>
      <c r="J9" s="12"/>
      <c r="K9" s="12"/>
      <c r="L9" s="12"/>
      <c r="M9" s="12"/>
      <c r="N9" s="12"/>
      <c r="O9" s="12"/>
      <c r="P9" s="12"/>
      <c r="Q9" s="12"/>
      <c r="R9" s="12"/>
      <c r="S9" s="12"/>
      <c r="T9" s="12"/>
      <c r="U9" s="12"/>
      <c r="V9" s="12"/>
    </row>
    <row r="10" spans="1:22" s="11" customFormat="1" ht="18.75" x14ac:dyDescent="0.2">
      <c r="A10" s="300" t="s">
        <v>8</v>
      </c>
      <c r="B10" s="300"/>
      <c r="C10" s="300"/>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04" t="s">
        <v>551</v>
      </c>
      <c r="B12" s="304"/>
      <c r="C12" s="304"/>
      <c r="D12" s="7"/>
      <c r="E12" s="7"/>
      <c r="F12" s="7"/>
      <c r="G12" s="7"/>
      <c r="H12" s="7"/>
      <c r="I12" s="12"/>
      <c r="J12" s="12"/>
      <c r="K12" s="12"/>
      <c r="L12" s="12"/>
      <c r="M12" s="12"/>
      <c r="N12" s="12"/>
      <c r="O12" s="12"/>
      <c r="P12" s="12"/>
      <c r="Q12" s="12"/>
      <c r="R12" s="12"/>
      <c r="S12" s="12"/>
      <c r="T12" s="12"/>
      <c r="U12" s="12"/>
      <c r="V12" s="12"/>
    </row>
    <row r="13" spans="1:22" s="11" customFormat="1" ht="18.75" x14ac:dyDescent="0.2">
      <c r="A13" s="300" t="s">
        <v>7</v>
      </c>
      <c r="B13" s="300"/>
      <c r="C13" s="300"/>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x14ac:dyDescent="0.2">
      <c r="A15" s="305" t="s">
        <v>519</v>
      </c>
      <c r="B15" s="305"/>
      <c r="C15" s="305"/>
      <c r="D15" s="7"/>
      <c r="E15" s="7"/>
      <c r="F15" s="7"/>
      <c r="G15" s="7"/>
      <c r="H15" s="7"/>
      <c r="I15" s="7"/>
      <c r="J15" s="7"/>
      <c r="K15" s="7"/>
      <c r="L15" s="7"/>
      <c r="M15" s="7"/>
      <c r="N15" s="7"/>
      <c r="O15" s="7"/>
      <c r="P15" s="7"/>
      <c r="Q15" s="7"/>
      <c r="R15" s="7"/>
      <c r="S15" s="7"/>
      <c r="T15" s="7"/>
      <c r="U15" s="7"/>
      <c r="V15" s="7"/>
    </row>
    <row r="16" spans="1:22" s="3" customFormat="1" ht="15" customHeight="1" x14ac:dyDescent="0.2">
      <c r="A16" s="300" t="s">
        <v>6</v>
      </c>
      <c r="B16" s="300"/>
      <c r="C16" s="30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1" t="s">
        <v>463</v>
      </c>
      <c r="B18" s="302"/>
      <c r="C18" s="30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40" t="s">
        <v>323</v>
      </c>
      <c r="C22" s="36" t="s">
        <v>527</v>
      </c>
      <c r="D22" s="28"/>
      <c r="E22" s="28"/>
      <c r="F22" s="28"/>
      <c r="G22" s="28"/>
      <c r="H22" s="28"/>
      <c r="I22" s="27"/>
      <c r="J22" s="27"/>
      <c r="K22" s="27"/>
      <c r="L22" s="27"/>
      <c r="M22" s="27"/>
      <c r="N22" s="27"/>
      <c r="O22" s="27"/>
      <c r="P22" s="27"/>
      <c r="Q22" s="27"/>
      <c r="R22" s="27"/>
      <c r="S22" s="27"/>
      <c r="T22" s="26"/>
      <c r="U22" s="26"/>
      <c r="V22" s="26"/>
    </row>
    <row r="23" spans="1:22" s="3" customFormat="1" ht="47.25" x14ac:dyDescent="0.2">
      <c r="A23" s="23" t="s">
        <v>63</v>
      </c>
      <c r="B23" s="35" t="s">
        <v>64</v>
      </c>
      <c r="C23" s="39" t="s">
        <v>524</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96"/>
      <c r="B24" s="297"/>
      <c r="C24" s="298"/>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62</v>
      </c>
      <c r="B25" s="148" t="s">
        <v>412</v>
      </c>
      <c r="C25" s="34" t="s">
        <v>481</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61</v>
      </c>
      <c r="B26" s="148" t="s">
        <v>75</v>
      </c>
      <c r="C26" s="34" t="s">
        <v>482</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59</v>
      </c>
      <c r="B27" s="148" t="s">
        <v>74</v>
      </c>
      <c r="C27" s="34" t="s">
        <v>520</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58</v>
      </c>
      <c r="B28" s="148" t="s">
        <v>413</v>
      </c>
      <c r="C28" s="34" t="s">
        <v>512</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56</v>
      </c>
      <c r="B29" s="148" t="s">
        <v>414</v>
      </c>
      <c r="C29" s="34" t="s">
        <v>512</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54</v>
      </c>
      <c r="B30" s="148" t="s">
        <v>415</v>
      </c>
      <c r="C30" s="34" t="s">
        <v>512</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73</v>
      </c>
      <c r="B31" s="39" t="s">
        <v>416</v>
      </c>
      <c r="C31" s="34" t="s">
        <v>513</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71</v>
      </c>
      <c r="B32" s="39" t="s">
        <v>417</v>
      </c>
      <c r="C32" s="34" t="s">
        <v>513</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70</v>
      </c>
      <c r="B33" s="39" t="s">
        <v>418</v>
      </c>
      <c r="C33" s="39" t="s">
        <v>513</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432</v>
      </c>
      <c r="B34" s="39" t="s">
        <v>419</v>
      </c>
      <c r="C34" s="24" t="s">
        <v>513</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422</v>
      </c>
      <c r="B35" s="39" t="s">
        <v>72</v>
      </c>
      <c r="C35" s="24" t="s">
        <v>512</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433</v>
      </c>
      <c r="B36" s="39" t="s">
        <v>420</v>
      </c>
      <c r="C36" s="24" t="s">
        <v>513</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423</v>
      </c>
      <c r="B37" s="39" t="s">
        <v>421</v>
      </c>
      <c r="C37" s="24" t="s">
        <v>513</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434</v>
      </c>
      <c r="B38" s="39" t="s">
        <v>220</v>
      </c>
      <c r="C38" s="24" t="s">
        <v>513</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96"/>
      <c r="B39" s="297"/>
      <c r="C39" s="298"/>
      <c r="D39" s="22"/>
      <c r="E39" s="22"/>
      <c r="F39" s="22"/>
      <c r="G39" s="22"/>
      <c r="H39" s="22"/>
      <c r="I39" s="22"/>
      <c r="J39" s="22"/>
      <c r="K39" s="22"/>
      <c r="L39" s="22"/>
      <c r="M39" s="22"/>
      <c r="N39" s="22"/>
      <c r="O39" s="22"/>
      <c r="P39" s="22"/>
      <c r="Q39" s="22"/>
      <c r="R39" s="22"/>
      <c r="S39" s="22"/>
      <c r="T39" s="22"/>
      <c r="U39" s="22"/>
      <c r="V39" s="22"/>
    </row>
    <row r="40" spans="1:22" ht="63" x14ac:dyDescent="0.25">
      <c r="A40" s="23" t="s">
        <v>424</v>
      </c>
      <c r="B40" s="39" t="s">
        <v>476</v>
      </c>
      <c r="C40" s="233" t="s">
        <v>648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435</v>
      </c>
      <c r="B41" s="39" t="s">
        <v>458</v>
      </c>
      <c r="C41" s="232" t="s">
        <v>525</v>
      </c>
      <c r="D41" s="22"/>
      <c r="E41" s="22"/>
      <c r="F41" s="22"/>
      <c r="G41" s="22"/>
      <c r="H41" s="22"/>
      <c r="I41" s="22"/>
      <c r="J41" s="22"/>
      <c r="K41" s="22"/>
      <c r="L41" s="22"/>
      <c r="M41" s="22"/>
      <c r="N41" s="22"/>
      <c r="O41" s="22"/>
      <c r="P41" s="22"/>
      <c r="Q41" s="22"/>
      <c r="R41" s="22"/>
      <c r="S41" s="22"/>
      <c r="T41" s="22"/>
      <c r="U41" s="22"/>
      <c r="V41" s="22"/>
    </row>
    <row r="42" spans="1:22" ht="162.75" customHeight="1" x14ac:dyDescent="0.25">
      <c r="A42" s="23" t="s">
        <v>425</v>
      </c>
      <c r="B42" s="39" t="s">
        <v>473</v>
      </c>
      <c r="C42" s="39" t="s">
        <v>569</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438</v>
      </c>
      <c r="B43" s="39" t="s">
        <v>439</v>
      </c>
      <c r="C43" s="232" t="s">
        <v>526</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426</v>
      </c>
      <c r="B44" s="39" t="s">
        <v>464</v>
      </c>
      <c r="C44" s="2" t="s">
        <v>570</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459</v>
      </c>
      <c r="B45" s="39" t="s">
        <v>465</v>
      </c>
      <c r="C45" s="246">
        <f>47/50</f>
        <v>0.94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427</v>
      </c>
      <c r="B46" s="39" t="s">
        <v>466</v>
      </c>
      <c r="C46" s="2" t="s">
        <v>571</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96"/>
      <c r="B47" s="297"/>
      <c r="C47" s="298"/>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460</v>
      </c>
      <c r="B48" s="39" t="s">
        <v>474</v>
      </c>
      <c r="C48" s="219" t="s">
        <v>645</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428</v>
      </c>
      <c r="B49" s="39" t="s">
        <v>475</v>
      </c>
      <c r="C49" s="216" t="s">
        <v>646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opLeftCell="B15" zoomScale="80" zoomScaleNormal="80" zoomScaleSheetLayoutView="80" workbookViewId="0">
      <selection activeCell="K30" sqref="K30"/>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10.7109375" style="60" customWidth="1"/>
    <col min="12" max="12" width="10.28515625" style="59" customWidth="1"/>
    <col min="13" max="13" width="6.85546875" style="59" customWidth="1"/>
    <col min="14" max="14" width="10.5703125" style="59" customWidth="1"/>
    <col min="15" max="27" width="6.140625" style="59" customWidth="1"/>
    <col min="28" max="28" width="13.140625" style="59" customWidth="1"/>
    <col min="29" max="29" width="24.85546875" style="59" customWidth="1"/>
    <col min="30" max="30" width="9.140625" style="59"/>
    <col min="31" max="31" width="10.7109375" style="59" bestFit="1" customWidth="1"/>
    <col min="32" max="32" width="9.5703125" style="59" bestFit="1" customWidth="1"/>
    <col min="33" max="16384" width="9.140625" style="59"/>
  </cols>
  <sheetData>
    <row r="1" spans="1:29" ht="18.75" x14ac:dyDescent="0.25">
      <c r="A1" s="60"/>
      <c r="B1" s="60"/>
      <c r="C1" s="60"/>
      <c r="D1" s="60"/>
      <c r="E1" s="60"/>
      <c r="F1" s="60"/>
      <c r="L1" s="60"/>
      <c r="M1" s="60"/>
      <c r="AC1" s="38" t="s">
        <v>69</v>
      </c>
    </row>
    <row r="2" spans="1:29" ht="18.75" x14ac:dyDescent="0.3">
      <c r="A2" s="60"/>
      <c r="B2" s="60"/>
      <c r="C2" s="60"/>
      <c r="D2" s="60"/>
      <c r="E2" s="60"/>
      <c r="F2" s="60"/>
      <c r="L2" s="60"/>
      <c r="M2" s="60"/>
      <c r="AC2" s="14" t="s">
        <v>10</v>
      </c>
    </row>
    <row r="3" spans="1:29" ht="18.75" x14ac:dyDescent="0.3">
      <c r="A3" s="60"/>
      <c r="B3" s="60"/>
      <c r="C3" s="60"/>
      <c r="D3" s="60"/>
      <c r="E3" s="60"/>
      <c r="F3" s="60"/>
      <c r="L3" s="60"/>
      <c r="M3" s="60"/>
      <c r="AC3" s="14" t="s">
        <v>68</v>
      </c>
    </row>
    <row r="4" spans="1:29" ht="18.75" customHeight="1" x14ac:dyDescent="0.25">
      <c r="A4" s="310" t="str">
        <f>'1. паспорт местоположение'!A5:C5</f>
        <v>Год раскрытия информации: 2016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c r="AA4" s="310"/>
      <c r="AB4" s="310"/>
      <c r="AC4" s="310"/>
    </row>
    <row r="5" spans="1:29" ht="18.75" x14ac:dyDescent="0.3">
      <c r="A5" s="60"/>
      <c r="B5" s="60"/>
      <c r="C5" s="60"/>
      <c r="D5" s="60"/>
      <c r="E5" s="60"/>
      <c r="F5" s="60"/>
      <c r="L5" s="60"/>
      <c r="M5" s="60"/>
      <c r="AC5" s="14"/>
    </row>
    <row r="6" spans="1:29" ht="18.75" x14ac:dyDescent="0.25">
      <c r="A6" s="303" t="s">
        <v>9</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row>
    <row r="7" spans="1:29"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row>
    <row r="8" spans="1:29" x14ac:dyDescent="0.25">
      <c r="A8" s="306" t="str">
        <f>'1. паспорт местоположение'!A9:C9</f>
        <v>АО "Янтарьэнерго"</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6"/>
    </row>
    <row r="9" spans="1:29" ht="18.75" customHeight="1" x14ac:dyDescent="0.25">
      <c r="A9" s="300" t="s">
        <v>8</v>
      </c>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row>
    <row r="10" spans="1:29"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row>
    <row r="11" spans="1:29" x14ac:dyDescent="0.25">
      <c r="A11" s="306" t="str">
        <f>'1. паспорт местоположение'!A12:C12</f>
        <v>E_prj_111001_2501</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row>
    <row r="12" spans="1:29" x14ac:dyDescent="0.25">
      <c r="A12" s="300" t="s">
        <v>7</v>
      </c>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row>
    <row r="13" spans="1:29"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row>
    <row r="14" spans="1:29" ht="35.25" customHeight="1" x14ac:dyDescent="0.25">
      <c r="A14" s="341" t="str">
        <f>'1. паспорт местоположение'!A15:C15</f>
        <v>Строительство ПС 110 кВ "Храброво" с заходами, г. Калининград</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row>
    <row r="15" spans="1:29" ht="15.75" customHeight="1" x14ac:dyDescent="0.25">
      <c r="A15" s="300" t="s">
        <v>6</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row>
    <row r="16" spans="1:29"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371" t="s">
        <v>448</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368" t="s">
        <v>192</v>
      </c>
      <c r="B20" s="368" t="s">
        <v>191</v>
      </c>
      <c r="C20" s="357" t="s">
        <v>190</v>
      </c>
      <c r="D20" s="357"/>
      <c r="E20" s="370" t="s">
        <v>189</v>
      </c>
      <c r="F20" s="370"/>
      <c r="G20" s="368" t="s">
        <v>483</v>
      </c>
      <c r="H20" s="376" t="s">
        <v>484</v>
      </c>
      <c r="I20" s="377"/>
      <c r="J20" s="377"/>
      <c r="K20" s="377"/>
      <c r="L20" s="376" t="s">
        <v>485</v>
      </c>
      <c r="M20" s="377"/>
      <c r="N20" s="377"/>
      <c r="O20" s="377"/>
      <c r="P20" s="376" t="s">
        <v>486</v>
      </c>
      <c r="Q20" s="377"/>
      <c r="R20" s="377"/>
      <c r="S20" s="377"/>
      <c r="T20" s="376" t="s">
        <v>663</v>
      </c>
      <c r="U20" s="377"/>
      <c r="V20" s="377"/>
      <c r="W20" s="377"/>
      <c r="X20" s="376" t="s">
        <v>664</v>
      </c>
      <c r="Y20" s="377"/>
      <c r="Z20" s="377"/>
      <c r="AA20" s="377"/>
      <c r="AB20" s="372" t="s">
        <v>188</v>
      </c>
      <c r="AC20" s="373"/>
      <c r="AD20" s="81"/>
      <c r="AE20" s="81"/>
      <c r="AF20" s="81"/>
    </row>
    <row r="21" spans="1:32" ht="99.75" customHeight="1" x14ac:dyDescent="0.25">
      <c r="A21" s="369"/>
      <c r="B21" s="369"/>
      <c r="C21" s="357"/>
      <c r="D21" s="357"/>
      <c r="E21" s="370"/>
      <c r="F21" s="370"/>
      <c r="G21" s="369"/>
      <c r="H21" s="357" t="s">
        <v>2</v>
      </c>
      <c r="I21" s="357"/>
      <c r="J21" s="357" t="s">
        <v>11</v>
      </c>
      <c r="K21" s="357"/>
      <c r="L21" s="357" t="s">
        <v>2</v>
      </c>
      <c r="M21" s="357"/>
      <c r="N21" s="357" t="s">
        <v>187</v>
      </c>
      <c r="O21" s="357"/>
      <c r="P21" s="357" t="s">
        <v>2</v>
      </c>
      <c r="Q21" s="357"/>
      <c r="R21" s="357" t="s">
        <v>187</v>
      </c>
      <c r="S21" s="357"/>
      <c r="T21" s="357" t="s">
        <v>2</v>
      </c>
      <c r="U21" s="357"/>
      <c r="V21" s="357" t="s">
        <v>187</v>
      </c>
      <c r="W21" s="357"/>
      <c r="X21" s="357" t="s">
        <v>2</v>
      </c>
      <c r="Y21" s="357"/>
      <c r="Z21" s="357" t="s">
        <v>187</v>
      </c>
      <c r="AA21" s="357"/>
      <c r="AB21" s="374"/>
      <c r="AC21" s="375"/>
    </row>
    <row r="22" spans="1:32" ht="89.25" customHeight="1" x14ac:dyDescent="0.25">
      <c r="A22" s="364"/>
      <c r="B22" s="364"/>
      <c r="C22" s="78" t="s">
        <v>2</v>
      </c>
      <c r="D22" s="78" t="s">
        <v>185</v>
      </c>
      <c r="E22" s="80" t="s">
        <v>643</v>
      </c>
      <c r="F22" s="80" t="s">
        <v>642</v>
      </c>
      <c r="G22" s="364"/>
      <c r="H22" s="79" t="s">
        <v>429</v>
      </c>
      <c r="I22" s="79" t="s">
        <v>430</v>
      </c>
      <c r="J22" s="79" t="s">
        <v>429</v>
      </c>
      <c r="K22" s="79" t="s">
        <v>430</v>
      </c>
      <c r="L22" s="79" t="s">
        <v>429</v>
      </c>
      <c r="M22" s="79" t="s">
        <v>430</v>
      </c>
      <c r="N22" s="79" t="s">
        <v>429</v>
      </c>
      <c r="O22" s="79" t="s">
        <v>430</v>
      </c>
      <c r="P22" s="79" t="s">
        <v>429</v>
      </c>
      <c r="Q22" s="79" t="s">
        <v>430</v>
      </c>
      <c r="R22" s="79" t="s">
        <v>429</v>
      </c>
      <c r="S22" s="79" t="s">
        <v>430</v>
      </c>
      <c r="T22" s="79" t="s">
        <v>429</v>
      </c>
      <c r="U22" s="79" t="s">
        <v>430</v>
      </c>
      <c r="V22" s="79" t="s">
        <v>429</v>
      </c>
      <c r="W22" s="79" t="s">
        <v>430</v>
      </c>
      <c r="X22" s="79" t="s">
        <v>429</v>
      </c>
      <c r="Y22" s="79" t="s">
        <v>430</v>
      </c>
      <c r="Z22" s="79" t="s">
        <v>429</v>
      </c>
      <c r="AA22" s="79" t="s">
        <v>430</v>
      </c>
      <c r="AB22" s="78" t="s">
        <v>186</v>
      </c>
      <c r="AC22" s="286" t="s">
        <v>185</v>
      </c>
    </row>
    <row r="23" spans="1:32" ht="19.5" customHeight="1" x14ac:dyDescent="0.25">
      <c r="A23" s="71">
        <v>1</v>
      </c>
      <c r="B23" s="71">
        <v>2</v>
      </c>
      <c r="C23" s="71">
        <v>3</v>
      </c>
      <c r="D23" s="71">
        <v>4</v>
      </c>
      <c r="E23" s="71">
        <v>5</v>
      </c>
      <c r="F23" s="71">
        <v>6</v>
      </c>
      <c r="G23" s="143">
        <v>7</v>
      </c>
      <c r="H23" s="143">
        <v>8</v>
      </c>
      <c r="I23" s="143">
        <v>9</v>
      </c>
      <c r="J23" s="143">
        <v>10</v>
      </c>
      <c r="K23" s="143">
        <v>11</v>
      </c>
      <c r="L23" s="143">
        <v>12</v>
      </c>
      <c r="M23" s="143">
        <v>13</v>
      </c>
      <c r="N23" s="143">
        <v>14</v>
      </c>
      <c r="O23" s="143">
        <v>15</v>
      </c>
      <c r="P23" s="292">
        <v>16</v>
      </c>
      <c r="Q23" s="292">
        <v>17</v>
      </c>
      <c r="R23" s="292">
        <v>18</v>
      </c>
      <c r="S23" s="292">
        <v>19</v>
      </c>
      <c r="T23" s="292">
        <v>16</v>
      </c>
      <c r="U23" s="292">
        <v>17</v>
      </c>
      <c r="V23" s="292">
        <v>18</v>
      </c>
      <c r="W23" s="292">
        <v>19</v>
      </c>
      <c r="X23" s="143">
        <v>16</v>
      </c>
      <c r="Y23" s="143">
        <v>17</v>
      </c>
      <c r="Z23" s="143">
        <v>18</v>
      </c>
      <c r="AA23" s="143">
        <v>19</v>
      </c>
      <c r="AB23" s="143">
        <v>20</v>
      </c>
      <c r="AC23" s="285">
        <f t="shared" ref="AC23" si="0">AB23+1</f>
        <v>21</v>
      </c>
    </row>
    <row r="24" spans="1:32" ht="47.25" customHeight="1" x14ac:dyDescent="0.25">
      <c r="A24" s="76">
        <v>1</v>
      </c>
      <c r="B24" s="75" t="s">
        <v>184</v>
      </c>
      <c r="C24" s="281">
        <v>475.51100000000002</v>
      </c>
      <c r="D24" s="281">
        <v>0</v>
      </c>
      <c r="E24" s="281">
        <v>474.76500000000004</v>
      </c>
      <c r="F24" s="281">
        <f>E24-G24</f>
        <v>464.64387850720004</v>
      </c>
      <c r="G24" s="281">
        <v>10.1211214928</v>
      </c>
      <c r="H24" s="281">
        <v>265.66360000000003</v>
      </c>
      <c r="I24" s="281">
        <v>119.69360000000003</v>
      </c>
      <c r="J24" s="289">
        <v>173.61065860619999</v>
      </c>
      <c r="K24" s="289">
        <v>148.48156798119999</v>
      </c>
      <c r="L24" s="281">
        <v>46.337000000000003</v>
      </c>
      <c r="M24" s="281">
        <v>0</v>
      </c>
      <c r="N24" s="281">
        <v>0</v>
      </c>
      <c r="O24" s="281">
        <v>0</v>
      </c>
      <c r="P24" s="281">
        <v>0</v>
      </c>
      <c r="Q24" s="281">
        <v>0</v>
      </c>
      <c r="R24" s="281">
        <v>0</v>
      </c>
      <c r="S24" s="281">
        <v>0</v>
      </c>
      <c r="T24" s="281">
        <v>0</v>
      </c>
      <c r="U24" s="281">
        <v>0</v>
      </c>
      <c r="V24" s="281">
        <v>0</v>
      </c>
      <c r="W24" s="281">
        <v>0</v>
      </c>
      <c r="X24" s="281">
        <v>0</v>
      </c>
      <c r="Y24" s="281">
        <v>0</v>
      </c>
      <c r="Z24" s="281">
        <v>0</v>
      </c>
      <c r="AA24" s="281">
        <v>0</v>
      </c>
      <c r="AB24" s="281">
        <f>H24+L24+X24+P24+T24</f>
        <v>312.00060000000002</v>
      </c>
      <c r="AC24" s="287">
        <v>0</v>
      </c>
    </row>
    <row r="25" spans="1:32" ht="24" customHeight="1" x14ac:dyDescent="0.25">
      <c r="A25" s="73" t="s">
        <v>183</v>
      </c>
      <c r="B25" s="48" t="s">
        <v>182</v>
      </c>
      <c r="C25" s="281">
        <v>427.959</v>
      </c>
      <c r="D25" s="281">
        <v>0</v>
      </c>
      <c r="E25" s="283">
        <v>427.959</v>
      </c>
      <c r="F25" s="283">
        <v>0</v>
      </c>
      <c r="G25" s="283">
        <v>0</v>
      </c>
      <c r="H25" s="283">
        <v>259.10000000000002</v>
      </c>
      <c r="I25" s="283">
        <v>0</v>
      </c>
      <c r="J25" s="290">
        <v>165.92267046000003</v>
      </c>
      <c r="K25" s="290">
        <v>148.44378498000003</v>
      </c>
      <c r="L25" s="283">
        <v>22.888999999999999</v>
      </c>
      <c r="M25" s="283">
        <v>0</v>
      </c>
      <c r="N25" s="283">
        <v>0</v>
      </c>
      <c r="O25" s="283">
        <v>0</v>
      </c>
      <c r="P25" s="283">
        <v>0</v>
      </c>
      <c r="Q25" s="283">
        <v>0</v>
      </c>
      <c r="R25" s="283">
        <v>0</v>
      </c>
      <c r="S25" s="283">
        <v>0</v>
      </c>
      <c r="T25" s="283">
        <v>0</v>
      </c>
      <c r="U25" s="283">
        <v>0</v>
      </c>
      <c r="V25" s="283">
        <v>0</v>
      </c>
      <c r="W25" s="283">
        <v>0</v>
      </c>
      <c r="X25" s="283">
        <v>0</v>
      </c>
      <c r="Y25" s="283">
        <v>0</v>
      </c>
      <c r="Z25" s="283">
        <v>0</v>
      </c>
      <c r="AA25" s="283">
        <v>0</v>
      </c>
      <c r="AB25" s="281">
        <f t="shared" ref="AB25:AB64" si="1">H25+L25+X25+P25+T25</f>
        <v>281.98900000000003</v>
      </c>
      <c r="AC25" s="287">
        <v>0</v>
      </c>
    </row>
    <row r="26" spans="1:32" x14ac:dyDescent="0.25">
      <c r="A26" s="73" t="s">
        <v>181</v>
      </c>
      <c r="B26" s="48" t="s">
        <v>180</v>
      </c>
      <c r="C26" s="281">
        <v>0</v>
      </c>
      <c r="D26" s="281">
        <v>0</v>
      </c>
      <c r="E26" s="283">
        <v>0</v>
      </c>
      <c r="F26" s="283">
        <v>0</v>
      </c>
      <c r="G26" s="283">
        <v>0</v>
      </c>
      <c r="H26" s="283">
        <v>0</v>
      </c>
      <c r="I26" s="283">
        <v>0</v>
      </c>
      <c r="J26" s="290">
        <v>0</v>
      </c>
      <c r="K26" s="290">
        <v>0</v>
      </c>
      <c r="L26" s="283">
        <v>0</v>
      </c>
      <c r="M26" s="283">
        <v>0</v>
      </c>
      <c r="N26" s="283">
        <v>0</v>
      </c>
      <c r="O26" s="283">
        <v>0</v>
      </c>
      <c r="P26" s="283">
        <v>0</v>
      </c>
      <c r="Q26" s="283">
        <v>0</v>
      </c>
      <c r="R26" s="283">
        <v>0</v>
      </c>
      <c r="S26" s="283">
        <v>0</v>
      </c>
      <c r="T26" s="283">
        <v>0</v>
      </c>
      <c r="U26" s="283">
        <v>0</v>
      </c>
      <c r="V26" s="283">
        <v>0</v>
      </c>
      <c r="W26" s="283">
        <v>0</v>
      </c>
      <c r="X26" s="283">
        <v>0</v>
      </c>
      <c r="Y26" s="283">
        <v>0</v>
      </c>
      <c r="Z26" s="283">
        <v>0</v>
      </c>
      <c r="AA26" s="283">
        <v>0</v>
      </c>
      <c r="AB26" s="281">
        <f t="shared" si="1"/>
        <v>0</v>
      </c>
      <c r="AC26" s="287">
        <v>0</v>
      </c>
    </row>
    <row r="27" spans="1:32" ht="31.5" x14ac:dyDescent="0.25">
      <c r="A27" s="73" t="s">
        <v>179</v>
      </c>
      <c r="B27" s="48" t="s">
        <v>411</v>
      </c>
      <c r="C27" s="281">
        <v>40.298305084745785</v>
      </c>
      <c r="D27" s="281">
        <v>0</v>
      </c>
      <c r="E27" s="283">
        <v>39.671610169491501</v>
      </c>
      <c r="F27" s="283">
        <v>0</v>
      </c>
      <c r="G27" s="283">
        <v>8.6238281040677993</v>
      </c>
      <c r="H27" s="283">
        <v>5.562372881355933</v>
      </c>
      <c r="I27" s="283">
        <v>0</v>
      </c>
      <c r="J27" s="290">
        <v>7.6879881461999506</v>
      </c>
      <c r="K27" s="290">
        <v>3.7783001199954036E-2</v>
      </c>
      <c r="L27" s="283">
        <v>19.871186440677967</v>
      </c>
      <c r="M27" s="283">
        <v>0</v>
      </c>
      <c r="N27" s="283">
        <v>0</v>
      </c>
      <c r="O27" s="283">
        <v>0</v>
      </c>
      <c r="P27" s="283">
        <v>0</v>
      </c>
      <c r="Q27" s="283">
        <v>0</v>
      </c>
      <c r="R27" s="283">
        <v>0</v>
      </c>
      <c r="S27" s="283">
        <v>0</v>
      </c>
      <c r="T27" s="283">
        <v>0</v>
      </c>
      <c r="U27" s="283">
        <v>0</v>
      </c>
      <c r="V27" s="283">
        <v>0</v>
      </c>
      <c r="W27" s="283">
        <v>0</v>
      </c>
      <c r="X27" s="283">
        <v>0</v>
      </c>
      <c r="Y27" s="283">
        <v>0</v>
      </c>
      <c r="Z27" s="283">
        <v>0</v>
      </c>
      <c r="AA27" s="283">
        <v>0</v>
      </c>
      <c r="AB27" s="281">
        <f t="shared" si="1"/>
        <v>25.433559322033901</v>
      </c>
      <c r="AC27" s="287">
        <v>0</v>
      </c>
      <c r="AF27" s="282"/>
    </row>
    <row r="28" spans="1:32" x14ac:dyDescent="0.25">
      <c r="A28" s="73" t="s">
        <v>178</v>
      </c>
      <c r="B28" s="48" t="s">
        <v>177</v>
      </c>
      <c r="C28" s="281">
        <v>0</v>
      </c>
      <c r="D28" s="281">
        <v>0</v>
      </c>
      <c r="E28" s="283">
        <v>0</v>
      </c>
      <c r="F28" s="283">
        <v>0</v>
      </c>
      <c r="G28" s="283">
        <v>0</v>
      </c>
      <c r="H28" s="283">
        <v>0</v>
      </c>
      <c r="I28" s="283">
        <v>0</v>
      </c>
      <c r="J28" s="290">
        <v>0</v>
      </c>
      <c r="K28" s="290">
        <v>0</v>
      </c>
      <c r="L28" s="283">
        <v>0</v>
      </c>
      <c r="M28" s="283">
        <v>0</v>
      </c>
      <c r="N28" s="283">
        <v>0</v>
      </c>
      <c r="O28" s="283">
        <v>0</v>
      </c>
      <c r="P28" s="283">
        <v>0</v>
      </c>
      <c r="Q28" s="283">
        <v>0</v>
      </c>
      <c r="R28" s="283">
        <v>0</v>
      </c>
      <c r="S28" s="283">
        <v>0</v>
      </c>
      <c r="T28" s="283">
        <v>0</v>
      </c>
      <c r="U28" s="283">
        <v>0</v>
      </c>
      <c r="V28" s="283">
        <v>0</v>
      </c>
      <c r="W28" s="283">
        <v>0</v>
      </c>
      <c r="X28" s="283">
        <v>0</v>
      </c>
      <c r="Y28" s="283">
        <v>0</v>
      </c>
      <c r="Z28" s="283">
        <v>0</v>
      </c>
      <c r="AA28" s="283">
        <v>0</v>
      </c>
      <c r="AB28" s="281">
        <f t="shared" si="1"/>
        <v>0</v>
      </c>
      <c r="AC28" s="287">
        <v>0</v>
      </c>
    </row>
    <row r="29" spans="1:32" x14ac:dyDescent="0.25">
      <c r="A29" s="73" t="s">
        <v>176</v>
      </c>
      <c r="B29" s="77" t="s">
        <v>175</v>
      </c>
      <c r="C29" s="281">
        <v>7.2536949152542407</v>
      </c>
      <c r="D29" s="281">
        <v>0</v>
      </c>
      <c r="E29" s="283">
        <v>7.1408898305084696</v>
      </c>
      <c r="F29" s="283">
        <v>0</v>
      </c>
      <c r="G29" s="283">
        <v>1.4972933887322</v>
      </c>
      <c r="H29" s="283">
        <v>1.0012271186440671</v>
      </c>
      <c r="I29" s="283">
        <v>0</v>
      </c>
      <c r="J29" s="290">
        <v>0</v>
      </c>
      <c r="K29" s="290">
        <v>0</v>
      </c>
      <c r="L29" s="283">
        <v>3.5768135593220336</v>
      </c>
      <c r="M29" s="283">
        <v>0</v>
      </c>
      <c r="N29" s="283">
        <v>0</v>
      </c>
      <c r="O29" s="283">
        <v>0</v>
      </c>
      <c r="P29" s="283">
        <v>0</v>
      </c>
      <c r="Q29" s="283">
        <v>0</v>
      </c>
      <c r="R29" s="283">
        <v>0</v>
      </c>
      <c r="S29" s="283">
        <v>0</v>
      </c>
      <c r="T29" s="283">
        <v>0</v>
      </c>
      <c r="U29" s="283">
        <v>0</v>
      </c>
      <c r="V29" s="283">
        <v>0</v>
      </c>
      <c r="W29" s="283">
        <v>0</v>
      </c>
      <c r="X29" s="283">
        <v>0</v>
      </c>
      <c r="Y29" s="283">
        <v>0</v>
      </c>
      <c r="Z29" s="283">
        <v>0</v>
      </c>
      <c r="AA29" s="283">
        <v>0</v>
      </c>
      <c r="AB29" s="281">
        <f t="shared" si="1"/>
        <v>4.5780406779661007</v>
      </c>
      <c r="AC29" s="287">
        <v>0</v>
      </c>
      <c r="AE29" s="282"/>
      <c r="AF29" s="282"/>
    </row>
    <row r="30" spans="1:32" ht="47.25" x14ac:dyDescent="0.25">
      <c r="A30" s="76" t="s">
        <v>63</v>
      </c>
      <c r="B30" s="75" t="s">
        <v>174</v>
      </c>
      <c r="C30" s="281">
        <v>402.97542372881401</v>
      </c>
      <c r="D30" s="281">
        <v>0</v>
      </c>
      <c r="E30" s="281">
        <v>394.15084996508517</v>
      </c>
      <c r="F30" s="281">
        <f>E30-G30</f>
        <v>393.91517426779706</v>
      </c>
      <c r="G30" s="281">
        <v>0.235675697288136</v>
      </c>
      <c r="H30" s="281">
        <v>225.13864406779666</v>
      </c>
      <c r="I30" s="281">
        <v>208.82508474576275</v>
      </c>
      <c r="J30" s="289">
        <v>190.95138172389829</v>
      </c>
      <c r="K30" s="289">
        <v>160.2606843738983</v>
      </c>
      <c r="L30" s="281">
        <v>39.2686440677966</v>
      </c>
      <c r="M30" s="281">
        <v>0</v>
      </c>
      <c r="N30" s="281">
        <v>0</v>
      </c>
      <c r="O30" s="281">
        <v>0</v>
      </c>
      <c r="P30" s="281">
        <v>0</v>
      </c>
      <c r="Q30" s="281">
        <v>0</v>
      </c>
      <c r="R30" s="281">
        <v>0</v>
      </c>
      <c r="S30" s="281">
        <v>0</v>
      </c>
      <c r="T30" s="281">
        <v>0</v>
      </c>
      <c r="U30" s="281">
        <v>0</v>
      </c>
      <c r="V30" s="281">
        <v>0</v>
      </c>
      <c r="W30" s="281">
        <v>0</v>
      </c>
      <c r="X30" s="281">
        <v>0</v>
      </c>
      <c r="Y30" s="281">
        <v>0</v>
      </c>
      <c r="Z30" s="281">
        <v>0</v>
      </c>
      <c r="AA30" s="281">
        <v>0</v>
      </c>
      <c r="AB30" s="281">
        <f t="shared" si="1"/>
        <v>264.40728813559326</v>
      </c>
      <c r="AC30" s="287">
        <v>0</v>
      </c>
      <c r="AE30" s="282"/>
    </row>
    <row r="31" spans="1:32" x14ac:dyDescent="0.25">
      <c r="A31" s="76" t="s">
        <v>173</v>
      </c>
      <c r="B31" s="48" t="s">
        <v>172</v>
      </c>
      <c r="C31" s="281">
        <v>13.404</v>
      </c>
      <c r="D31" s="281">
        <v>0</v>
      </c>
      <c r="E31" s="283">
        <v>0</v>
      </c>
      <c r="F31" s="281">
        <v>0</v>
      </c>
      <c r="G31" s="283">
        <v>0</v>
      </c>
      <c r="H31" s="283">
        <v>0</v>
      </c>
      <c r="I31" s="283">
        <v>0</v>
      </c>
      <c r="J31" s="290">
        <v>0</v>
      </c>
      <c r="K31" s="290">
        <v>0</v>
      </c>
      <c r="L31" s="283">
        <v>0</v>
      </c>
      <c r="M31" s="283">
        <v>0</v>
      </c>
      <c r="N31" s="283">
        <v>0</v>
      </c>
      <c r="O31" s="283">
        <v>0</v>
      </c>
      <c r="P31" s="283">
        <v>0</v>
      </c>
      <c r="Q31" s="283">
        <v>0</v>
      </c>
      <c r="R31" s="283">
        <v>0</v>
      </c>
      <c r="S31" s="283">
        <v>0</v>
      </c>
      <c r="T31" s="283">
        <v>0</v>
      </c>
      <c r="U31" s="283">
        <v>0</v>
      </c>
      <c r="V31" s="283">
        <v>0</v>
      </c>
      <c r="W31" s="283">
        <v>0</v>
      </c>
      <c r="X31" s="283">
        <v>0</v>
      </c>
      <c r="Y31" s="283">
        <v>0</v>
      </c>
      <c r="Z31" s="283">
        <v>0</v>
      </c>
      <c r="AA31" s="283">
        <v>0</v>
      </c>
      <c r="AB31" s="281">
        <f t="shared" si="1"/>
        <v>0</v>
      </c>
      <c r="AC31" s="287">
        <v>0</v>
      </c>
    </row>
    <row r="32" spans="1:32" ht="31.5" x14ac:dyDescent="0.25">
      <c r="A32" s="76" t="s">
        <v>171</v>
      </c>
      <c r="B32" s="48" t="s">
        <v>170</v>
      </c>
      <c r="C32" s="281">
        <v>140.84</v>
      </c>
      <c r="D32" s="281">
        <v>0</v>
      </c>
      <c r="E32" s="283">
        <v>0</v>
      </c>
      <c r="F32" s="281">
        <v>0</v>
      </c>
      <c r="G32" s="283">
        <v>0</v>
      </c>
      <c r="H32" s="283">
        <v>88.597447186440704</v>
      </c>
      <c r="I32" s="283">
        <v>0</v>
      </c>
      <c r="J32" s="290">
        <v>8.33398839</v>
      </c>
      <c r="K32" s="290">
        <v>0</v>
      </c>
      <c r="L32" s="283">
        <v>0</v>
      </c>
      <c r="M32" s="283">
        <v>0</v>
      </c>
      <c r="N32" s="283">
        <v>0</v>
      </c>
      <c r="O32" s="283">
        <v>0</v>
      </c>
      <c r="P32" s="283">
        <v>0</v>
      </c>
      <c r="Q32" s="283">
        <v>0</v>
      </c>
      <c r="R32" s="283">
        <v>0</v>
      </c>
      <c r="S32" s="283">
        <v>0</v>
      </c>
      <c r="T32" s="283">
        <v>0</v>
      </c>
      <c r="U32" s="283">
        <v>0</v>
      </c>
      <c r="V32" s="283">
        <v>0</v>
      </c>
      <c r="W32" s="283">
        <v>0</v>
      </c>
      <c r="X32" s="283">
        <v>0</v>
      </c>
      <c r="Y32" s="283">
        <v>0</v>
      </c>
      <c r="Z32" s="283">
        <v>0</v>
      </c>
      <c r="AA32" s="283">
        <v>0</v>
      </c>
      <c r="AB32" s="281">
        <f t="shared" si="1"/>
        <v>88.597447186440704</v>
      </c>
      <c r="AC32" s="287">
        <v>0</v>
      </c>
    </row>
    <row r="33" spans="1:29" x14ac:dyDescent="0.25">
      <c r="A33" s="76" t="s">
        <v>169</v>
      </c>
      <c r="B33" s="48" t="s">
        <v>168</v>
      </c>
      <c r="C33" s="281">
        <v>227.02699999999999</v>
      </c>
      <c r="D33" s="284">
        <v>0</v>
      </c>
      <c r="E33" s="283">
        <v>0</v>
      </c>
      <c r="F33" s="281">
        <v>0</v>
      </c>
      <c r="G33" s="283">
        <v>0</v>
      </c>
      <c r="H33" s="283">
        <v>130.978824</v>
      </c>
      <c r="I33" s="283">
        <v>0</v>
      </c>
      <c r="J33" s="290">
        <v>176.79463932627118</v>
      </c>
      <c r="K33" s="290">
        <v>156.78549632627119</v>
      </c>
      <c r="L33" s="283">
        <v>0</v>
      </c>
      <c r="M33" s="283">
        <v>0</v>
      </c>
      <c r="N33" s="283">
        <v>0</v>
      </c>
      <c r="O33" s="283">
        <v>0</v>
      </c>
      <c r="P33" s="283">
        <v>0</v>
      </c>
      <c r="Q33" s="283">
        <v>0</v>
      </c>
      <c r="R33" s="283">
        <v>0</v>
      </c>
      <c r="S33" s="283">
        <v>0</v>
      </c>
      <c r="T33" s="283">
        <v>0</v>
      </c>
      <c r="U33" s="283">
        <v>0</v>
      </c>
      <c r="V33" s="283">
        <v>0</v>
      </c>
      <c r="W33" s="283">
        <v>0</v>
      </c>
      <c r="X33" s="283">
        <v>0</v>
      </c>
      <c r="Y33" s="283">
        <v>0</v>
      </c>
      <c r="Z33" s="283">
        <v>0</v>
      </c>
      <c r="AA33" s="283">
        <v>0</v>
      </c>
      <c r="AB33" s="281">
        <f t="shared" si="1"/>
        <v>130.978824</v>
      </c>
      <c r="AC33" s="287">
        <v>0</v>
      </c>
    </row>
    <row r="34" spans="1:29" x14ac:dyDescent="0.25">
      <c r="A34" s="76" t="s">
        <v>167</v>
      </c>
      <c r="B34" s="48" t="s">
        <v>166</v>
      </c>
      <c r="C34" s="281">
        <v>21.704423728814021</v>
      </c>
      <c r="D34" s="281">
        <v>0</v>
      </c>
      <c r="E34" s="283">
        <v>0</v>
      </c>
      <c r="F34" s="281">
        <v>0</v>
      </c>
      <c r="G34" s="283">
        <v>0.235675697288136</v>
      </c>
      <c r="H34" s="283">
        <v>5.5623728813559694</v>
      </c>
      <c r="I34" s="283">
        <v>0</v>
      </c>
      <c r="J34" s="290">
        <v>5.8227540076271191</v>
      </c>
      <c r="K34" s="290">
        <v>3.4751880476271189</v>
      </c>
      <c r="L34" s="283">
        <v>0</v>
      </c>
      <c r="M34" s="283">
        <v>0</v>
      </c>
      <c r="N34" s="283">
        <v>0</v>
      </c>
      <c r="O34" s="283">
        <v>0</v>
      </c>
      <c r="P34" s="283">
        <v>0</v>
      </c>
      <c r="Q34" s="283">
        <v>0</v>
      </c>
      <c r="R34" s="283">
        <v>0</v>
      </c>
      <c r="S34" s="283">
        <v>0</v>
      </c>
      <c r="T34" s="283">
        <v>0</v>
      </c>
      <c r="U34" s="283">
        <v>0</v>
      </c>
      <c r="V34" s="283">
        <v>0</v>
      </c>
      <c r="W34" s="283">
        <v>0</v>
      </c>
      <c r="X34" s="283">
        <v>0</v>
      </c>
      <c r="Y34" s="283">
        <v>0</v>
      </c>
      <c r="Z34" s="283">
        <v>0</v>
      </c>
      <c r="AA34" s="283">
        <v>0</v>
      </c>
      <c r="AB34" s="281">
        <f t="shared" si="1"/>
        <v>5.5623728813559694</v>
      </c>
      <c r="AC34" s="287">
        <v>0</v>
      </c>
    </row>
    <row r="35" spans="1:29" ht="31.5" x14ac:dyDescent="0.25">
      <c r="A35" s="76" t="s">
        <v>62</v>
      </c>
      <c r="B35" s="75" t="s">
        <v>165</v>
      </c>
      <c r="C35" s="281">
        <v>0</v>
      </c>
      <c r="D35" s="281">
        <v>0</v>
      </c>
      <c r="E35" s="281">
        <v>0</v>
      </c>
      <c r="F35" s="281">
        <v>0</v>
      </c>
      <c r="G35" s="281">
        <v>0</v>
      </c>
      <c r="H35" s="281">
        <v>0</v>
      </c>
      <c r="I35" s="281">
        <v>0</v>
      </c>
      <c r="J35" s="289">
        <v>0</v>
      </c>
      <c r="K35" s="289">
        <v>0</v>
      </c>
      <c r="L35" s="281">
        <v>0</v>
      </c>
      <c r="M35" s="281">
        <v>0</v>
      </c>
      <c r="N35" s="281">
        <v>0</v>
      </c>
      <c r="O35" s="281">
        <v>0</v>
      </c>
      <c r="P35" s="281">
        <v>0</v>
      </c>
      <c r="Q35" s="281">
        <v>0</v>
      </c>
      <c r="R35" s="281">
        <v>0</v>
      </c>
      <c r="S35" s="281">
        <v>0</v>
      </c>
      <c r="T35" s="281">
        <v>0</v>
      </c>
      <c r="U35" s="281">
        <v>0</v>
      </c>
      <c r="V35" s="281">
        <v>0</v>
      </c>
      <c r="W35" s="281">
        <v>0</v>
      </c>
      <c r="X35" s="281">
        <v>0</v>
      </c>
      <c r="Y35" s="281">
        <v>0</v>
      </c>
      <c r="Z35" s="281">
        <v>0</v>
      </c>
      <c r="AA35" s="281">
        <v>0</v>
      </c>
      <c r="AB35" s="281">
        <f t="shared" si="1"/>
        <v>0</v>
      </c>
      <c r="AC35" s="287">
        <v>0</v>
      </c>
    </row>
    <row r="36" spans="1:29" ht="31.5" x14ac:dyDescent="0.25">
      <c r="A36" s="73" t="s">
        <v>164</v>
      </c>
      <c r="B36" s="72" t="s">
        <v>163</v>
      </c>
      <c r="C36" s="280">
        <v>0</v>
      </c>
      <c r="D36" s="281">
        <v>0</v>
      </c>
      <c r="E36" s="283">
        <v>0</v>
      </c>
      <c r="F36" s="283">
        <v>0</v>
      </c>
      <c r="G36" s="283">
        <v>0</v>
      </c>
      <c r="H36" s="283">
        <v>0</v>
      </c>
      <c r="I36" s="283">
        <v>0</v>
      </c>
      <c r="J36" s="283">
        <v>0</v>
      </c>
      <c r="K36" s="283">
        <v>0</v>
      </c>
      <c r="L36" s="283">
        <v>0</v>
      </c>
      <c r="M36" s="283">
        <v>0</v>
      </c>
      <c r="N36" s="283">
        <v>0</v>
      </c>
      <c r="O36" s="283">
        <v>0</v>
      </c>
      <c r="P36" s="283">
        <v>0</v>
      </c>
      <c r="Q36" s="283">
        <v>0</v>
      </c>
      <c r="R36" s="283">
        <v>0</v>
      </c>
      <c r="S36" s="283">
        <v>0</v>
      </c>
      <c r="T36" s="283">
        <v>0</v>
      </c>
      <c r="U36" s="283">
        <v>0</v>
      </c>
      <c r="V36" s="283">
        <v>0</v>
      </c>
      <c r="W36" s="283">
        <v>0</v>
      </c>
      <c r="X36" s="283">
        <v>0</v>
      </c>
      <c r="Y36" s="283">
        <v>0</v>
      </c>
      <c r="Z36" s="283">
        <v>0</v>
      </c>
      <c r="AA36" s="283">
        <v>0</v>
      </c>
      <c r="AB36" s="281">
        <f t="shared" si="1"/>
        <v>0</v>
      </c>
      <c r="AC36" s="287">
        <v>0</v>
      </c>
    </row>
    <row r="37" spans="1:29" x14ac:dyDescent="0.25">
      <c r="A37" s="73" t="s">
        <v>162</v>
      </c>
      <c r="B37" s="72" t="s">
        <v>152</v>
      </c>
      <c r="C37" s="280">
        <v>100</v>
      </c>
      <c r="D37" s="281">
        <v>0</v>
      </c>
      <c r="E37" s="283">
        <v>100</v>
      </c>
      <c r="F37" s="283">
        <v>100</v>
      </c>
      <c r="G37" s="283">
        <v>0</v>
      </c>
      <c r="H37" s="283">
        <v>0</v>
      </c>
      <c r="I37" s="283">
        <v>0</v>
      </c>
      <c r="J37" s="283">
        <v>0</v>
      </c>
      <c r="K37" s="283">
        <v>0</v>
      </c>
      <c r="L37" s="283">
        <v>100</v>
      </c>
      <c r="M37" s="283">
        <v>0</v>
      </c>
      <c r="N37" s="283">
        <v>0</v>
      </c>
      <c r="O37" s="283">
        <v>0</v>
      </c>
      <c r="P37" s="283">
        <v>0</v>
      </c>
      <c r="Q37" s="283">
        <v>0</v>
      </c>
      <c r="R37" s="283">
        <v>0</v>
      </c>
      <c r="S37" s="283">
        <v>0</v>
      </c>
      <c r="T37" s="283">
        <v>0</v>
      </c>
      <c r="U37" s="283">
        <v>0</v>
      </c>
      <c r="V37" s="283">
        <v>0</v>
      </c>
      <c r="W37" s="283">
        <v>0</v>
      </c>
      <c r="X37" s="283">
        <v>0</v>
      </c>
      <c r="Y37" s="283">
        <v>0</v>
      </c>
      <c r="Z37" s="283">
        <v>0</v>
      </c>
      <c r="AA37" s="283">
        <v>0</v>
      </c>
      <c r="AB37" s="281">
        <f t="shared" si="1"/>
        <v>100</v>
      </c>
      <c r="AC37" s="287">
        <v>0</v>
      </c>
    </row>
    <row r="38" spans="1:29" x14ac:dyDescent="0.25">
      <c r="A38" s="73" t="s">
        <v>161</v>
      </c>
      <c r="B38" s="72" t="s">
        <v>150</v>
      </c>
      <c r="C38" s="280">
        <v>0</v>
      </c>
      <c r="D38" s="281">
        <v>0</v>
      </c>
      <c r="E38" s="283">
        <v>0</v>
      </c>
      <c r="F38" s="283">
        <v>0</v>
      </c>
      <c r="G38" s="283">
        <v>0</v>
      </c>
      <c r="H38" s="283">
        <v>0</v>
      </c>
      <c r="I38" s="283">
        <v>0</v>
      </c>
      <c r="J38" s="283">
        <v>0</v>
      </c>
      <c r="K38" s="283">
        <v>0</v>
      </c>
      <c r="L38" s="283">
        <v>0</v>
      </c>
      <c r="M38" s="283">
        <v>0</v>
      </c>
      <c r="N38" s="283">
        <v>0</v>
      </c>
      <c r="O38" s="283">
        <v>0</v>
      </c>
      <c r="P38" s="283">
        <v>0</v>
      </c>
      <c r="Q38" s="283">
        <v>0</v>
      </c>
      <c r="R38" s="283">
        <v>0</v>
      </c>
      <c r="S38" s="283">
        <v>0</v>
      </c>
      <c r="T38" s="283">
        <v>0</v>
      </c>
      <c r="U38" s="283">
        <v>0</v>
      </c>
      <c r="V38" s="283">
        <v>0</v>
      </c>
      <c r="W38" s="283">
        <v>0</v>
      </c>
      <c r="X38" s="283">
        <v>0</v>
      </c>
      <c r="Y38" s="283">
        <v>0</v>
      </c>
      <c r="Z38" s="283">
        <v>0</v>
      </c>
      <c r="AA38" s="283">
        <v>0</v>
      </c>
      <c r="AB38" s="281">
        <f t="shared" si="1"/>
        <v>0</v>
      </c>
      <c r="AC38" s="287">
        <v>0</v>
      </c>
    </row>
    <row r="39" spans="1:29" ht="31.5" x14ac:dyDescent="0.25">
      <c r="A39" s="73" t="s">
        <v>160</v>
      </c>
      <c r="B39" s="48" t="s">
        <v>148</v>
      </c>
      <c r="C39" s="281">
        <v>0</v>
      </c>
      <c r="D39" s="281">
        <v>0</v>
      </c>
      <c r="E39" s="283">
        <v>0</v>
      </c>
      <c r="F39" s="283">
        <v>0</v>
      </c>
      <c r="G39" s="283">
        <v>0</v>
      </c>
      <c r="H39" s="283">
        <v>0</v>
      </c>
      <c r="I39" s="283">
        <v>0</v>
      </c>
      <c r="J39" s="283">
        <v>0</v>
      </c>
      <c r="K39" s="283">
        <v>0</v>
      </c>
      <c r="L39" s="283">
        <v>0</v>
      </c>
      <c r="M39" s="283">
        <v>0</v>
      </c>
      <c r="N39" s="283">
        <v>0</v>
      </c>
      <c r="O39" s="283">
        <v>0</v>
      </c>
      <c r="P39" s="283">
        <v>0</v>
      </c>
      <c r="Q39" s="283">
        <v>0</v>
      </c>
      <c r="R39" s="283">
        <v>0</v>
      </c>
      <c r="S39" s="283">
        <v>0</v>
      </c>
      <c r="T39" s="283">
        <v>0</v>
      </c>
      <c r="U39" s="283">
        <v>0</v>
      </c>
      <c r="V39" s="283">
        <v>0</v>
      </c>
      <c r="W39" s="283">
        <v>0</v>
      </c>
      <c r="X39" s="283">
        <v>0</v>
      </c>
      <c r="Y39" s="283">
        <v>0</v>
      </c>
      <c r="Z39" s="283">
        <v>0</v>
      </c>
      <c r="AA39" s="283">
        <v>0</v>
      </c>
      <c r="AB39" s="281">
        <f t="shared" si="1"/>
        <v>0</v>
      </c>
      <c r="AC39" s="287">
        <v>0</v>
      </c>
    </row>
    <row r="40" spans="1:29" ht="31.5" x14ac:dyDescent="0.25">
      <c r="A40" s="73" t="s">
        <v>159</v>
      </c>
      <c r="B40" s="48" t="s">
        <v>146</v>
      </c>
      <c r="C40" s="281">
        <v>7.6</v>
      </c>
      <c r="D40" s="281">
        <v>0</v>
      </c>
      <c r="E40" s="283">
        <v>7.6</v>
      </c>
      <c r="F40" s="283">
        <v>7.6</v>
      </c>
      <c r="G40" s="283">
        <v>0</v>
      </c>
      <c r="H40" s="283">
        <v>0</v>
      </c>
      <c r="I40" s="283">
        <v>0</v>
      </c>
      <c r="J40" s="283">
        <v>0</v>
      </c>
      <c r="K40" s="283">
        <v>0</v>
      </c>
      <c r="L40" s="283">
        <v>7.6</v>
      </c>
      <c r="M40" s="283">
        <v>0</v>
      </c>
      <c r="N40" s="283">
        <v>0</v>
      </c>
      <c r="O40" s="283">
        <v>0</v>
      </c>
      <c r="P40" s="283">
        <v>0</v>
      </c>
      <c r="Q40" s="283">
        <v>0</v>
      </c>
      <c r="R40" s="283">
        <v>0</v>
      </c>
      <c r="S40" s="283">
        <v>0</v>
      </c>
      <c r="T40" s="283">
        <v>0</v>
      </c>
      <c r="U40" s="283">
        <v>0</v>
      </c>
      <c r="V40" s="283">
        <v>0</v>
      </c>
      <c r="W40" s="283">
        <v>0</v>
      </c>
      <c r="X40" s="283">
        <v>0</v>
      </c>
      <c r="Y40" s="283">
        <v>0</v>
      </c>
      <c r="Z40" s="283">
        <v>0</v>
      </c>
      <c r="AA40" s="283">
        <v>0</v>
      </c>
      <c r="AB40" s="281">
        <f t="shared" si="1"/>
        <v>7.6</v>
      </c>
      <c r="AC40" s="287">
        <v>0</v>
      </c>
    </row>
    <row r="41" spans="1:29" x14ac:dyDescent="0.25">
      <c r="A41" s="73" t="s">
        <v>158</v>
      </c>
      <c r="B41" s="48" t="s">
        <v>144</v>
      </c>
      <c r="C41" s="281">
        <v>0</v>
      </c>
      <c r="D41" s="281">
        <v>0</v>
      </c>
      <c r="E41" s="283">
        <v>0</v>
      </c>
      <c r="F41" s="283">
        <v>0</v>
      </c>
      <c r="G41" s="283">
        <v>0</v>
      </c>
      <c r="H41" s="283">
        <v>0</v>
      </c>
      <c r="I41" s="283">
        <v>0</v>
      </c>
      <c r="J41" s="283">
        <v>0</v>
      </c>
      <c r="K41" s="283">
        <v>0</v>
      </c>
      <c r="L41" s="283">
        <v>0</v>
      </c>
      <c r="M41" s="283">
        <v>0</v>
      </c>
      <c r="N41" s="283">
        <v>0</v>
      </c>
      <c r="O41" s="283">
        <v>0</v>
      </c>
      <c r="P41" s="283">
        <v>0</v>
      </c>
      <c r="Q41" s="283">
        <v>0</v>
      </c>
      <c r="R41" s="283">
        <v>0</v>
      </c>
      <c r="S41" s="283">
        <v>0</v>
      </c>
      <c r="T41" s="283">
        <v>0</v>
      </c>
      <c r="U41" s="283">
        <v>0</v>
      </c>
      <c r="V41" s="283">
        <v>0</v>
      </c>
      <c r="W41" s="283">
        <v>0</v>
      </c>
      <c r="X41" s="283">
        <v>0</v>
      </c>
      <c r="Y41" s="283">
        <v>0</v>
      </c>
      <c r="Z41" s="283">
        <v>0</v>
      </c>
      <c r="AA41" s="283">
        <v>0</v>
      </c>
      <c r="AB41" s="281">
        <f t="shared" si="1"/>
        <v>0</v>
      </c>
      <c r="AC41" s="287">
        <v>0</v>
      </c>
    </row>
    <row r="42" spans="1:29" ht="18.75" x14ac:dyDescent="0.25">
      <c r="A42" s="73" t="s">
        <v>157</v>
      </c>
      <c r="B42" s="72" t="s">
        <v>142</v>
      </c>
      <c r="C42" s="280">
        <v>0</v>
      </c>
      <c r="D42" s="281">
        <v>0</v>
      </c>
      <c r="E42" s="283">
        <v>0</v>
      </c>
      <c r="F42" s="283">
        <v>0</v>
      </c>
      <c r="G42" s="283">
        <v>0</v>
      </c>
      <c r="H42" s="283">
        <v>0</v>
      </c>
      <c r="I42" s="283">
        <v>0</v>
      </c>
      <c r="J42" s="283">
        <v>0</v>
      </c>
      <c r="K42" s="283">
        <v>0</v>
      </c>
      <c r="L42" s="283">
        <v>0</v>
      </c>
      <c r="M42" s="283">
        <v>0</v>
      </c>
      <c r="N42" s="283">
        <v>0</v>
      </c>
      <c r="O42" s="283">
        <v>0</v>
      </c>
      <c r="P42" s="283">
        <v>0</v>
      </c>
      <c r="Q42" s="283">
        <v>0</v>
      </c>
      <c r="R42" s="283">
        <v>0</v>
      </c>
      <c r="S42" s="283">
        <v>0</v>
      </c>
      <c r="T42" s="283">
        <v>0</v>
      </c>
      <c r="U42" s="283">
        <v>0</v>
      </c>
      <c r="V42" s="283">
        <v>0</v>
      </c>
      <c r="W42" s="283">
        <v>0</v>
      </c>
      <c r="X42" s="283">
        <v>0</v>
      </c>
      <c r="Y42" s="283">
        <v>0</v>
      </c>
      <c r="Z42" s="283">
        <v>0</v>
      </c>
      <c r="AA42" s="283">
        <v>0</v>
      </c>
      <c r="AB42" s="281">
        <f t="shared" si="1"/>
        <v>0</v>
      </c>
      <c r="AC42" s="287">
        <v>0</v>
      </c>
    </row>
    <row r="43" spans="1:29" x14ac:dyDescent="0.25">
      <c r="A43" s="76" t="s">
        <v>61</v>
      </c>
      <c r="B43" s="75" t="s">
        <v>156</v>
      </c>
      <c r="C43" s="281">
        <v>0</v>
      </c>
      <c r="D43" s="281">
        <v>0</v>
      </c>
      <c r="E43" s="281">
        <v>0</v>
      </c>
      <c r="F43" s="281">
        <v>0</v>
      </c>
      <c r="G43" s="281">
        <v>0</v>
      </c>
      <c r="H43" s="281">
        <v>0</v>
      </c>
      <c r="I43" s="281">
        <v>0</v>
      </c>
      <c r="J43" s="281">
        <v>0</v>
      </c>
      <c r="K43" s="281">
        <v>0</v>
      </c>
      <c r="L43" s="281">
        <v>0</v>
      </c>
      <c r="M43" s="281">
        <v>0</v>
      </c>
      <c r="N43" s="281">
        <v>0</v>
      </c>
      <c r="O43" s="281">
        <v>0</v>
      </c>
      <c r="P43" s="281">
        <v>0</v>
      </c>
      <c r="Q43" s="281">
        <v>0</v>
      </c>
      <c r="R43" s="281">
        <v>0</v>
      </c>
      <c r="S43" s="281">
        <v>0</v>
      </c>
      <c r="T43" s="281">
        <v>0</v>
      </c>
      <c r="U43" s="281">
        <v>0</v>
      </c>
      <c r="V43" s="281">
        <v>0</v>
      </c>
      <c r="W43" s="281">
        <v>0</v>
      </c>
      <c r="X43" s="281">
        <v>0</v>
      </c>
      <c r="Y43" s="281">
        <v>0</v>
      </c>
      <c r="Z43" s="281">
        <v>0</v>
      </c>
      <c r="AA43" s="281">
        <v>0</v>
      </c>
      <c r="AB43" s="281">
        <f t="shared" si="1"/>
        <v>0</v>
      </c>
      <c r="AC43" s="287">
        <v>0</v>
      </c>
    </row>
    <row r="44" spans="1:29" x14ac:dyDescent="0.25">
      <c r="A44" s="73" t="s">
        <v>155</v>
      </c>
      <c r="B44" s="48" t="s">
        <v>154</v>
      </c>
      <c r="C44" s="281">
        <v>0</v>
      </c>
      <c r="D44" s="281">
        <v>0</v>
      </c>
      <c r="E44" s="283">
        <v>0</v>
      </c>
      <c r="F44" s="283">
        <v>0</v>
      </c>
      <c r="G44" s="283">
        <v>0</v>
      </c>
      <c r="H44" s="283">
        <v>0</v>
      </c>
      <c r="I44" s="283">
        <v>0</v>
      </c>
      <c r="J44" s="283">
        <v>0</v>
      </c>
      <c r="K44" s="283">
        <v>0</v>
      </c>
      <c r="L44" s="283">
        <v>0</v>
      </c>
      <c r="M44" s="283">
        <v>0</v>
      </c>
      <c r="N44" s="283">
        <v>0</v>
      </c>
      <c r="O44" s="283">
        <v>0</v>
      </c>
      <c r="P44" s="283">
        <v>0</v>
      </c>
      <c r="Q44" s="283">
        <v>0</v>
      </c>
      <c r="R44" s="283">
        <v>0</v>
      </c>
      <c r="S44" s="283">
        <v>0</v>
      </c>
      <c r="T44" s="283">
        <v>0</v>
      </c>
      <c r="U44" s="283">
        <v>0</v>
      </c>
      <c r="V44" s="283">
        <v>0</v>
      </c>
      <c r="W44" s="283">
        <v>0</v>
      </c>
      <c r="X44" s="283">
        <v>0</v>
      </c>
      <c r="Y44" s="283">
        <v>0</v>
      </c>
      <c r="Z44" s="283">
        <v>0</v>
      </c>
      <c r="AA44" s="283">
        <v>0</v>
      </c>
      <c r="AB44" s="281">
        <f t="shared" si="1"/>
        <v>0</v>
      </c>
      <c r="AC44" s="287">
        <v>0</v>
      </c>
    </row>
    <row r="45" spans="1:29" x14ac:dyDescent="0.25">
      <c r="A45" s="73" t="s">
        <v>153</v>
      </c>
      <c r="B45" s="48" t="s">
        <v>152</v>
      </c>
      <c r="C45" s="281">
        <v>100</v>
      </c>
      <c r="D45" s="281">
        <v>0</v>
      </c>
      <c r="E45" s="283">
        <v>100</v>
      </c>
      <c r="F45" s="283">
        <v>100</v>
      </c>
      <c r="G45" s="283">
        <v>0</v>
      </c>
      <c r="H45" s="283">
        <v>0</v>
      </c>
      <c r="I45" s="283">
        <v>0</v>
      </c>
      <c r="J45" s="283">
        <v>0</v>
      </c>
      <c r="K45" s="283">
        <v>0</v>
      </c>
      <c r="L45" s="283">
        <v>100</v>
      </c>
      <c r="M45" s="283">
        <v>0</v>
      </c>
      <c r="N45" s="283">
        <v>0</v>
      </c>
      <c r="O45" s="283">
        <v>0</v>
      </c>
      <c r="P45" s="283">
        <v>0</v>
      </c>
      <c r="Q45" s="283">
        <v>0</v>
      </c>
      <c r="R45" s="283">
        <v>0</v>
      </c>
      <c r="S45" s="283">
        <v>0</v>
      </c>
      <c r="T45" s="283">
        <v>0</v>
      </c>
      <c r="U45" s="283">
        <v>0</v>
      </c>
      <c r="V45" s="283">
        <v>0</v>
      </c>
      <c r="W45" s="283">
        <v>0</v>
      </c>
      <c r="X45" s="283">
        <v>0</v>
      </c>
      <c r="Y45" s="283">
        <v>0</v>
      </c>
      <c r="Z45" s="283">
        <v>0</v>
      </c>
      <c r="AA45" s="283">
        <v>0</v>
      </c>
      <c r="AB45" s="281">
        <f t="shared" si="1"/>
        <v>100</v>
      </c>
      <c r="AC45" s="287">
        <v>0</v>
      </c>
    </row>
    <row r="46" spans="1:29" x14ac:dyDescent="0.25">
      <c r="A46" s="73" t="s">
        <v>151</v>
      </c>
      <c r="B46" s="48" t="s">
        <v>150</v>
      </c>
      <c r="C46" s="281">
        <v>0</v>
      </c>
      <c r="D46" s="281">
        <v>0</v>
      </c>
      <c r="E46" s="283">
        <v>0</v>
      </c>
      <c r="F46" s="283">
        <v>0</v>
      </c>
      <c r="G46" s="283">
        <v>0</v>
      </c>
      <c r="H46" s="283">
        <v>0</v>
      </c>
      <c r="I46" s="283">
        <v>0</v>
      </c>
      <c r="J46" s="283">
        <v>0</v>
      </c>
      <c r="K46" s="283">
        <v>0</v>
      </c>
      <c r="L46" s="283">
        <v>0</v>
      </c>
      <c r="M46" s="283">
        <v>0</v>
      </c>
      <c r="N46" s="283">
        <v>0</v>
      </c>
      <c r="O46" s="283">
        <v>0</v>
      </c>
      <c r="P46" s="283">
        <v>0</v>
      </c>
      <c r="Q46" s="283">
        <v>0</v>
      </c>
      <c r="R46" s="283">
        <v>0</v>
      </c>
      <c r="S46" s="283">
        <v>0</v>
      </c>
      <c r="T46" s="283">
        <v>0</v>
      </c>
      <c r="U46" s="283">
        <v>0</v>
      </c>
      <c r="V46" s="283">
        <v>0</v>
      </c>
      <c r="W46" s="283">
        <v>0</v>
      </c>
      <c r="X46" s="283">
        <v>0</v>
      </c>
      <c r="Y46" s="283">
        <v>0</v>
      </c>
      <c r="Z46" s="283">
        <v>0</v>
      </c>
      <c r="AA46" s="283">
        <v>0</v>
      </c>
      <c r="AB46" s="281">
        <f t="shared" si="1"/>
        <v>0</v>
      </c>
      <c r="AC46" s="287">
        <v>0</v>
      </c>
    </row>
    <row r="47" spans="1:29" ht="31.5" x14ac:dyDescent="0.25">
      <c r="A47" s="73" t="s">
        <v>149</v>
      </c>
      <c r="B47" s="48" t="s">
        <v>148</v>
      </c>
      <c r="C47" s="281">
        <v>0</v>
      </c>
      <c r="D47" s="281">
        <v>0</v>
      </c>
      <c r="E47" s="283">
        <v>0</v>
      </c>
      <c r="F47" s="283">
        <v>0</v>
      </c>
      <c r="G47" s="283">
        <v>0</v>
      </c>
      <c r="H47" s="283">
        <v>0</v>
      </c>
      <c r="I47" s="283">
        <v>0</v>
      </c>
      <c r="J47" s="283">
        <v>0</v>
      </c>
      <c r="K47" s="283">
        <v>0</v>
      </c>
      <c r="L47" s="283">
        <v>0</v>
      </c>
      <c r="M47" s="283">
        <v>0</v>
      </c>
      <c r="N47" s="283">
        <v>0</v>
      </c>
      <c r="O47" s="283">
        <v>0</v>
      </c>
      <c r="P47" s="283">
        <v>0</v>
      </c>
      <c r="Q47" s="283">
        <v>0</v>
      </c>
      <c r="R47" s="283">
        <v>0</v>
      </c>
      <c r="S47" s="283">
        <v>0</v>
      </c>
      <c r="T47" s="283">
        <v>0</v>
      </c>
      <c r="U47" s="283">
        <v>0</v>
      </c>
      <c r="V47" s="283">
        <v>0</v>
      </c>
      <c r="W47" s="283">
        <v>0</v>
      </c>
      <c r="X47" s="283">
        <v>0</v>
      </c>
      <c r="Y47" s="283">
        <v>0</v>
      </c>
      <c r="Z47" s="283">
        <v>0</v>
      </c>
      <c r="AA47" s="283">
        <v>0</v>
      </c>
      <c r="AB47" s="281">
        <f t="shared" si="1"/>
        <v>0</v>
      </c>
      <c r="AC47" s="287">
        <v>0</v>
      </c>
    </row>
    <row r="48" spans="1:29" ht="31.5" x14ac:dyDescent="0.25">
      <c r="A48" s="73" t="s">
        <v>147</v>
      </c>
      <c r="B48" s="48" t="s">
        <v>146</v>
      </c>
      <c r="C48" s="281">
        <v>7.6</v>
      </c>
      <c r="D48" s="281">
        <v>0</v>
      </c>
      <c r="E48" s="283">
        <v>7.6</v>
      </c>
      <c r="F48" s="283">
        <v>7.6</v>
      </c>
      <c r="G48" s="283">
        <v>0</v>
      </c>
      <c r="H48" s="283">
        <v>0</v>
      </c>
      <c r="I48" s="283">
        <v>0</v>
      </c>
      <c r="J48" s="283">
        <v>0</v>
      </c>
      <c r="K48" s="283">
        <v>0</v>
      </c>
      <c r="L48" s="283">
        <v>7.6</v>
      </c>
      <c r="M48" s="283">
        <v>0</v>
      </c>
      <c r="N48" s="283">
        <v>0</v>
      </c>
      <c r="O48" s="283">
        <v>0</v>
      </c>
      <c r="P48" s="283">
        <v>0</v>
      </c>
      <c r="Q48" s="283">
        <v>0</v>
      </c>
      <c r="R48" s="283">
        <v>0</v>
      </c>
      <c r="S48" s="283">
        <v>0</v>
      </c>
      <c r="T48" s="283">
        <v>0</v>
      </c>
      <c r="U48" s="283">
        <v>0</v>
      </c>
      <c r="V48" s="283">
        <v>0</v>
      </c>
      <c r="W48" s="283">
        <v>0</v>
      </c>
      <c r="X48" s="283">
        <v>0</v>
      </c>
      <c r="Y48" s="283">
        <v>0</v>
      </c>
      <c r="Z48" s="283">
        <v>0</v>
      </c>
      <c r="AA48" s="283">
        <v>0</v>
      </c>
      <c r="AB48" s="281">
        <f t="shared" si="1"/>
        <v>7.6</v>
      </c>
      <c r="AC48" s="287">
        <v>0</v>
      </c>
    </row>
    <row r="49" spans="1:29" x14ac:dyDescent="0.25">
      <c r="A49" s="73" t="s">
        <v>145</v>
      </c>
      <c r="B49" s="48" t="s">
        <v>144</v>
      </c>
      <c r="C49" s="281">
        <v>0</v>
      </c>
      <c r="D49" s="281">
        <v>0</v>
      </c>
      <c r="E49" s="283">
        <v>0</v>
      </c>
      <c r="F49" s="283">
        <v>0</v>
      </c>
      <c r="G49" s="283">
        <v>0</v>
      </c>
      <c r="H49" s="283">
        <v>0</v>
      </c>
      <c r="I49" s="283">
        <v>0</v>
      </c>
      <c r="J49" s="283">
        <v>0</v>
      </c>
      <c r="K49" s="283">
        <v>0</v>
      </c>
      <c r="L49" s="283">
        <v>0</v>
      </c>
      <c r="M49" s="283">
        <v>0</v>
      </c>
      <c r="N49" s="283">
        <v>0</v>
      </c>
      <c r="O49" s="283">
        <v>0</v>
      </c>
      <c r="P49" s="283">
        <v>0</v>
      </c>
      <c r="Q49" s="283">
        <v>0</v>
      </c>
      <c r="R49" s="283">
        <v>0</v>
      </c>
      <c r="S49" s="283">
        <v>0</v>
      </c>
      <c r="T49" s="283">
        <v>0</v>
      </c>
      <c r="U49" s="283">
        <v>0</v>
      </c>
      <c r="V49" s="283">
        <v>0</v>
      </c>
      <c r="W49" s="283">
        <v>0</v>
      </c>
      <c r="X49" s="283">
        <v>0</v>
      </c>
      <c r="Y49" s="283">
        <v>0</v>
      </c>
      <c r="Z49" s="283">
        <v>0</v>
      </c>
      <c r="AA49" s="283">
        <v>0</v>
      </c>
      <c r="AB49" s="281">
        <f t="shared" si="1"/>
        <v>0</v>
      </c>
      <c r="AC49" s="287">
        <v>0</v>
      </c>
    </row>
    <row r="50" spans="1:29" ht="18.75" x14ac:dyDescent="0.25">
      <c r="A50" s="73" t="s">
        <v>143</v>
      </c>
      <c r="B50" s="72" t="s">
        <v>142</v>
      </c>
      <c r="C50" s="280">
        <v>0</v>
      </c>
      <c r="D50" s="281">
        <v>0</v>
      </c>
      <c r="E50" s="283">
        <v>0</v>
      </c>
      <c r="F50" s="283">
        <v>0</v>
      </c>
      <c r="G50" s="283">
        <v>0</v>
      </c>
      <c r="H50" s="283">
        <v>0</v>
      </c>
      <c r="I50" s="283">
        <v>0</v>
      </c>
      <c r="J50" s="283">
        <v>0</v>
      </c>
      <c r="K50" s="283">
        <v>0</v>
      </c>
      <c r="L50" s="283">
        <v>0</v>
      </c>
      <c r="M50" s="283">
        <v>0</v>
      </c>
      <c r="N50" s="283">
        <v>0</v>
      </c>
      <c r="O50" s="283">
        <v>0</v>
      </c>
      <c r="P50" s="283">
        <v>0</v>
      </c>
      <c r="Q50" s="283">
        <v>0</v>
      </c>
      <c r="R50" s="283">
        <v>0</v>
      </c>
      <c r="S50" s="283">
        <v>0</v>
      </c>
      <c r="T50" s="283">
        <v>0</v>
      </c>
      <c r="U50" s="283">
        <v>0</v>
      </c>
      <c r="V50" s="283">
        <v>0</v>
      </c>
      <c r="W50" s="283">
        <v>0</v>
      </c>
      <c r="X50" s="283">
        <v>0</v>
      </c>
      <c r="Y50" s="283">
        <v>0</v>
      </c>
      <c r="Z50" s="283">
        <v>0</v>
      </c>
      <c r="AA50" s="283">
        <v>0</v>
      </c>
      <c r="AB50" s="281">
        <f t="shared" si="1"/>
        <v>0</v>
      </c>
      <c r="AC50" s="287">
        <v>0</v>
      </c>
    </row>
    <row r="51" spans="1:29" ht="35.25" customHeight="1" x14ac:dyDescent="0.25">
      <c r="A51" s="76" t="s">
        <v>59</v>
      </c>
      <c r="B51" s="75" t="s">
        <v>141</v>
      </c>
      <c r="C51" s="281">
        <v>0</v>
      </c>
      <c r="D51" s="281">
        <v>0</v>
      </c>
      <c r="E51" s="281">
        <v>0</v>
      </c>
      <c r="F51" s="281">
        <v>0</v>
      </c>
      <c r="G51" s="281">
        <v>0</v>
      </c>
      <c r="H51" s="281">
        <v>0</v>
      </c>
      <c r="I51" s="281">
        <v>0</v>
      </c>
      <c r="J51" s="281">
        <v>0</v>
      </c>
      <c r="K51" s="281">
        <v>0</v>
      </c>
      <c r="L51" s="281">
        <v>0</v>
      </c>
      <c r="M51" s="281">
        <v>0</v>
      </c>
      <c r="N51" s="281">
        <v>0</v>
      </c>
      <c r="O51" s="281">
        <v>0</v>
      </c>
      <c r="P51" s="281">
        <v>0</v>
      </c>
      <c r="Q51" s="281">
        <v>0</v>
      </c>
      <c r="R51" s="281">
        <v>0</v>
      </c>
      <c r="S51" s="281">
        <v>0</v>
      </c>
      <c r="T51" s="281">
        <v>0</v>
      </c>
      <c r="U51" s="281">
        <v>0</v>
      </c>
      <c r="V51" s="281">
        <v>0</v>
      </c>
      <c r="W51" s="281">
        <v>0</v>
      </c>
      <c r="X51" s="281">
        <v>0</v>
      </c>
      <c r="Y51" s="281">
        <v>0</v>
      </c>
      <c r="Z51" s="281">
        <v>0</v>
      </c>
      <c r="AA51" s="281">
        <v>0</v>
      </c>
      <c r="AB51" s="281">
        <f t="shared" si="1"/>
        <v>0</v>
      </c>
      <c r="AC51" s="287">
        <v>0</v>
      </c>
    </row>
    <row r="52" spans="1:29" x14ac:dyDescent="0.25">
      <c r="A52" s="73" t="s">
        <v>140</v>
      </c>
      <c r="B52" s="48" t="s">
        <v>139</v>
      </c>
      <c r="C52" s="281">
        <v>402.97542372881401</v>
      </c>
      <c r="D52" s="281">
        <v>0</v>
      </c>
      <c r="E52" s="283">
        <v>402.97542372881401</v>
      </c>
      <c r="F52" s="283">
        <v>402.97542372881401</v>
      </c>
      <c r="G52" s="283">
        <v>0</v>
      </c>
      <c r="H52" s="283">
        <v>0</v>
      </c>
      <c r="I52" s="283">
        <v>0</v>
      </c>
      <c r="J52" s="283">
        <v>0</v>
      </c>
      <c r="K52" s="283">
        <v>0</v>
      </c>
      <c r="L52" s="283">
        <v>402.97542372881401</v>
      </c>
      <c r="M52" s="283">
        <v>0</v>
      </c>
      <c r="N52" s="283">
        <v>0</v>
      </c>
      <c r="O52" s="283">
        <v>0</v>
      </c>
      <c r="P52" s="283">
        <v>0</v>
      </c>
      <c r="Q52" s="283">
        <v>0</v>
      </c>
      <c r="R52" s="283">
        <v>0</v>
      </c>
      <c r="S52" s="283">
        <v>0</v>
      </c>
      <c r="T52" s="283">
        <v>0</v>
      </c>
      <c r="U52" s="283">
        <v>0</v>
      </c>
      <c r="V52" s="283">
        <v>0</v>
      </c>
      <c r="W52" s="283">
        <v>0</v>
      </c>
      <c r="X52" s="283">
        <v>0</v>
      </c>
      <c r="Y52" s="283">
        <v>0</v>
      </c>
      <c r="Z52" s="283">
        <v>0</v>
      </c>
      <c r="AA52" s="283">
        <v>0</v>
      </c>
      <c r="AB52" s="281">
        <f t="shared" si="1"/>
        <v>402.97542372881401</v>
      </c>
      <c r="AC52" s="287">
        <v>0</v>
      </c>
    </row>
    <row r="53" spans="1:29" x14ac:dyDescent="0.25">
      <c r="A53" s="73" t="s">
        <v>138</v>
      </c>
      <c r="B53" s="48" t="s">
        <v>132</v>
      </c>
      <c r="C53" s="281">
        <v>0</v>
      </c>
      <c r="D53" s="281">
        <v>0</v>
      </c>
      <c r="E53" s="281">
        <v>0</v>
      </c>
      <c r="F53" s="281">
        <v>0</v>
      </c>
      <c r="G53" s="283">
        <v>0</v>
      </c>
      <c r="H53" s="283">
        <v>0</v>
      </c>
      <c r="I53" s="283">
        <v>0</v>
      </c>
      <c r="J53" s="283">
        <v>0</v>
      </c>
      <c r="K53" s="283">
        <v>0</v>
      </c>
      <c r="L53" s="283">
        <v>0</v>
      </c>
      <c r="M53" s="283">
        <v>0</v>
      </c>
      <c r="N53" s="283">
        <v>0</v>
      </c>
      <c r="O53" s="283">
        <v>0</v>
      </c>
      <c r="P53" s="283">
        <v>0</v>
      </c>
      <c r="Q53" s="283">
        <v>0</v>
      </c>
      <c r="R53" s="283">
        <v>0</v>
      </c>
      <c r="S53" s="283">
        <v>0</v>
      </c>
      <c r="T53" s="283">
        <v>0</v>
      </c>
      <c r="U53" s="283">
        <v>0</v>
      </c>
      <c r="V53" s="283">
        <v>0</v>
      </c>
      <c r="W53" s="283">
        <v>0</v>
      </c>
      <c r="X53" s="283">
        <v>0</v>
      </c>
      <c r="Y53" s="283">
        <v>0</v>
      </c>
      <c r="Z53" s="283">
        <v>0</v>
      </c>
      <c r="AA53" s="283">
        <v>0</v>
      </c>
      <c r="AB53" s="281">
        <f t="shared" si="1"/>
        <v>0</v>
      </c>
      <c r="AC53" s="287">
        <v>0</v>
      </c>
    </row>
    <row r="54" spans="1:29" x14ac:dyDescent="0.25">
      <c r="A54" s="73" t="s">
        <v>137</v>
      </c>
      <c r="B54" s="72" t="s">
        <v>131</v>
      </c>
      <c r="C54" s="280">
        <v>100</v>
      </c>
      <c r="D54" s="281">
        <v>0</v>
      </c>
      <c r="E54" s="283">
        <v>100</v>
      </c>
      <c r="F54" s="283">
        <v>100</v>
      </c>
      <c r="G54" s="283">
        <v>0</v>
      </c>
      <c r="H54" s="283">
        <v>0</v>
      </c>
      <c r="I54" s="283">
        <v>0</v>
      </c>
      <c r="J54" s="283">
        <v>0</v>
      </c>
      <c r="K54" s="283">
        <v>0</v>
      </c>
      <c r="L54" s="283">
        <v>100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1">
        <f t="shared" si="1"/>
        <v>100</v>
      </c>
      <c r="AC54" s="287">
        <v>0</v>
      </c>
    </row>
    <row r="55" spans="1:29" x14ac:dyDescent="0.25">
      <c r="A55" s="73" t="s">
        <v>136</v>
      </c>
      <c r="B55" s="72" t="s">
        <v>130</v>
      </c>
      <c r="C55" s="280">
        <v>0</v>
      </c>
      <c r="D55" s="281">
        <v>0</v>
      </c>
      <c r="E55" s="281">
        <v>0</v>
      </c>
      <c r="F55" s="281">
        <v>0</v>
      </c>
      <c r="G55" s="283">
        <v>0</v>
      </c>
      <c r="H55" s="283">
        <v>0</v>
      </c>
      <c r="I55" s="283">
        <v>0</v>
      </c>
      <c r="J55" s="283">
        <v>0</v>
      </c>
      <c r="K55" s="283">
        <v>0</v>
      </c>
      <c r="L55" s="283">
        <v>0</v>
      </c>
      <c r="M55" s="283">
        <v>0</v>
      </c>
      <c r="N55" s="283">
        <v>0</v>
      </c>
      <c r="O55" s="283">
        <v>0</v>
      </c>
      <c r="P55" s="283">
        <v>0</v>
      </c>
      <c r="Q55" s="283">
        <v>0</v>
      </c>
      <c r="R55" s="283">
        <v>0</v>
      </c>
      <c r="S55" s="283">
        <v>0</v>
      </c>
      <c r="T55" s="283">
        <v>0</v>
      </c>
      <c r="U55" s="283">
        <v>0</v>
      </c>
      <c r="V55" s="283">
        <v>0</v>
      </c>
      <c r="W55" s="283">
        <v>0</v>
      </c>
      <c r="X55" s="283">
        <v>0</v>
      </c>
      <c r="Y55" s="283">
        <v>0</v>
      </c>
      <c r="Z55" s="283">
        <v>0</v>
      </c>
      <c r="AA55" s="283">
        <v>0</v>
      </c>
      <c r="AB55" s="281">
        <f t="shared" si="1"/>
        <v>0</v>
      </c>
      <c r="AC55" s="287">
        <v>0</v>
      </c>
    </row>
    <row r="56" spans="1:29" x14ac:dyDescent="0.25">
      <c r="A56" s="73" t="s">
        <v>135</v>
      </c>
      <c r="B56" s="72" t="s">
        <v>129</v>
      </c>
      <c r="C56" s="280">
        <v>7.6</v>
      </c>
      <c r="D56" s="281">
        <v>0</v>
      </c>
      <c r="E56" s="283">
        <v>7.6</v>
      </c>
      <c r="F56" s="283">
        <v>7.6</v>
      </c>
      <c r="G56" s="283">
        <v>0</v>
      </c>
      <c r="H56" s="283">
        <v>0</v>
      </c>
      <c r="I56" s="283">
        <v>0</v>
      </c>
      <c r="J56" s="283">
        <v>0</v>
      </c>
      <c r="K56" s="283">
        <v>0</v>
      </c>
      <c r="L56" s="283">
        <v>7.6</v>
      </c>
      <c r="M56" s="283">
        <v>0</v>
      </c>
      <c r="N56" s="283">
        <v>0</v>
      </c>
      <c r="O56" s="283">
        <v>0</v>
      </c>
      <c r="P56" s="283">
        <v>0</v>
      </c>
      <c r="Q56" s="283">
        <v>0</v>
      </c>
      <c r="R56" s="283">
        <v>0</v>
      </c>
      <c r="S56" s="283">
        <v>0</v>
      </c>
      <c r="T56" s="283">
        <v>0</v>
      </c>
      <c r="U56" s="283">
        <v>0</v>
      </c>
      <c r="V56" s="283">
        <v>0</v>
      </c>
      <c r="W56" s="283">
        <v>0</v>
      </c>
      <c r="X56" s="283">
        <v>0</v>
      </c>
      <c r="Y56" s="283">
        <v>0</v>
      </c>
      <c r="Z56" s="283">
        <v>0</v>
      </c>
      <c r="AA56" s="283">
        <v>0</v>
      </c>
      <c r="AB56" s="281">
        <f t="shared" si="1"/>
        <v>7.6</v>
      </c>
      <c r="AC56" s="287">
        <v>0</v>
      </c>
    </row>
    <row r="57" spans="1:29" ht="18.75" x14ac:dyDescent="0.25">
      <c r="A57" s="73" t="s">
        <v>134</v>
      </c>
      <c r="B57" s="72" t="s">
        <v>128</v>
      </c>
      <c r="C57" s="280">
        <v>0</v>
      </c>
      <c r="D57" s="281">
        <v>0</v>
      </c>
      <c r="E57" s="281">
        <v>0</v>
      </c>
      <c r="F57" s="281">
        <v>0</v>
      </c>
      <c r="G57" s="283">
        <v>0</v>
      </c>
      <c r="H57" s="283">
        <v>0</v>
      </c>
      <c r="I57" s="283">
        <v>0</v>
      </c>
      <c r="J57" s="283">
        <v>0</v>
      </c>
      <c r="K57" s="283">
        <v>0</v>
      </c>
      <c r="L57" s="283">
        <v>0</v>
      </c>
      <c r="M57" s="283">
        <v>0</v>
      </c>
      <c r="N57" s="283">
        <v>0</v>
      </c>
      <c r="O57" s="283">
        <v>0</v>
      </c>
      <c r="P57" s="283">
        <v>0</v>
      </c>
      <c r="Q57" s="283">
        <v>0</v>
      </c>
      <c r="R57" s="283">
        <v>0</v>
      </c>
      <c r="S57" s="283">
        <v>0</v>
      </c>
      <c r="T57" s="283">
        <v>0</v>
      </c>
      <c r="U57" s="283">
        <v>0</v>
      </c>
      <c r="V57" s="283">
        <v>0</v>
      </c>
      <c r="W57" s="283">
        <v>0</v>
      </c>
      <c r="X57" s="283">
        <v>0</v>
      </c>
      <c r="Y57" s="283">
        <v>0</v>
      </c>
      <c r="Z57" s="283">
        <v>0</v>
      </c>
      <c r="AA57" s="283">
        <v>0</v>
      </c>
      <c r="AB57" s="281">
        <f t="shared" si="1"/>
        <v>0</v>
      </c>
      <c r="AC57" s="287">
        <v>0</v>
      </c>
    </row>
    <row r="58" spans="1:29" ht="36.75" customHeight="1" x14ac:dyDescent="0.25">
      <c r="A58" s="76" t="s">
        <v>58</v>
      </c>
      <c r="B58" s="90" t="s">
        <v>217</v>
      </c>
      <c r="C58" s="281">
        <v>0</v>
      </c>
      <c r="D58" s="281">
        <v>0</v>
      </c>
      <c r="E58" s="281">
        <v>0</v>
      </c>
      <c r="F58" s="281">
        <v>0</v>
      </c>
      <c r="G58" s="281">
        <v>0</v>
      </c>
      <c r="H58" s="281">
        <v>0</v>
      </c>
      <c r="I58" s="281">
        <v>0</v>
      </c>
      <c r="J58" s="281">
        <v>0</v>
      </c>
      <c r="K58" s="281">
        <v>0</v>
      </c>
      <c r="L58" s="281">
        <v>0</v>
      </c>
      <c r="M58" s="281">
        <v>0</v>
      </c>
      <c r="N58" s="281">
        <v>0</v>
      </c>
      <c r="O58" s="281">
        <v>0</v>
      </c>
      <c r="P58" s="281">
        <v>0</v>
      </c>
      <c r="Q58" s="281">
        <v>0</v>
      </c>
      <c r="R58" s="281">
        <v>0</v>
      </c>
      <c r="S58" s="281">
        <v>0</v>
      </c>
      <c r="T58" s="281">
        <v>0</v>
      </c>
      <c r="U58" s="281">
        <v>0</v>
      </c>
      <c r="V58" s="281">
        <v>0</v>
      </c>
      <c r="W58" s="281">
        <v>0</v>
      </c>
      <c r="X58" s="281">
        <v>0</v>
      </c>
      <c r="Y58" s="281">
        <v>0</v>
      </c>
      <c r="Z58" s="281">
        <v>0</v>
      </c>
      <c r="AA58" s="281">
        <v>0</v>
      </c>
      <c r="AB58" s="281">
        <f t="shared" si="1"/>
        <v>0</v>
      </c>
      <c r="AC58" s="287">
        <v>0</v>
      </c>
    </row>
    <row r="59" spans="1:29" x14ac:dyDescent="0.25">
      <c r="A59" s="76" t="s">
        <v>56</v>
      </c>
      <c r="B59" s="75" t="s">
        <v>133</v>
      </c>
      <c r="C59" s="281">
        <v>0</v>
      </c>
      <c r="D59" s="281">
        <v>0</v>
      </c>
      <c r="E59" s="281">
        <v>0</v>
      </c>
      <c r="F59" s="281">
        <v>0</v>
      </c>
      <c r="G59" s="281">
        <v>0</v>
      </c>
      <c r="H59" s="281">
        <v>0</v>
      </c>
      <c r="I59" s="281">
        <v>0</v>
      </c>
      <c r="J59" s="281">
        <v>0</v>
      </c>
      <c r="K59" s="281">
        <v>0</v>
      </c>
      <c r="L59" s="281">
        <v>0</v>
      </c>
      <c r="M59" s="281">
        <v>0</v>
      </c>
      <c r="N59" s="281">
        <v>0</v>
      </c>
      <c r="O59" s="281">
        <v>0</v>
      </c>
      <c r="P59" s="281">
        <v>0</v>
      </c>
      <c r="Q59" s="281">
        <v>0</v>
      </c>
      <c r="R59" s="281">
        <v>0</v>
      </c>
      <c r="S59" s="281">
        <v>0</v>
      </c>
      <c r="T59" s="281">
        <v>0</v>
      </c>
      <c r="U59" s="281">
        <v>0</v>
      </c>
      <c r="V59" s="281">
        <v>0</v>
      </c>
      <c r="W59" s="281">
        <v>0</v>
      </c>
      <c r="X59" s="281">
        <v>0</v>
      </c>
      <c r="Y59" s="281">
        <v>0</v>
      </c>
      <c r="Z59" s="281">
        <v>0</v>
      </c>
      <c r="AA59" s="281">
        <v>0</v>
      </c>
      <c r="AB59" s="281">
        <f t="shared" si="1"/>
        <v>0</v>
      </c>
      <c r="AC59" s="287">
        <v>0</v>
      </c>
    </row>
    <row r="60" spans="1:29" x14ac:dyDescent="0.25">
      <c r="A60" s="73" t="s">
        <v>211</v>
      </c>
      <c r="B60" s="74" t="s">
        <v>154</v>
      </c>
      <c r="C60" s="279">
        <v>0</v>
      </c>
      <c r="D60" s="281">
        <v>0</v>
      </c>
      <c r="E60" s="283">
        <v>0</v>
      </c>
      <c r="F60" s="283">
        <v>0</v>
      </c>
      <c r="G60" s="283">
        <v>0</v>
      </c>
      <c r="H60" s="283">
        <v>0</v>
      </c>
      <c r="I60" s="283">
        <v>0</v>
      </c>
      <c r="J60" s="283">
        <v>0</v>
      </c>
      <c r="K60" s="283">
        <v>0</v>
      </c>
      <c r="L60" s="283">
        <v>0</v>
      </c>
      <c r="M60" s="283">
        <v>0</v>
      </c>
      <c r="N60" s="283">
        <v>0</v>
      </c>
      <c r="O60" s="283">
        <v>0</v>
      </c>
      <c r="P60" s="283">
        <v>0</v>
      </c>
      <c r="Q60" s="283">
        <v>0</v>
      </c>
      <c r="R60" s="283">
        <v>0</v>
      </c>
      <c r="S60" s="283">
        <v>0</v>
      </c>
      <c r="T60" s="283">
        <v>0</v>
      </c>
      <c r="U60" s="283">
        <v>0</v>
      </c>
      <c r="V60" s="283">
        <v>0</v>
      </c>
      <c r="W60" s="283">
        <v>0</v>
      </c>
      <c r="X60" s="283">
        <v>0</v>
      </c>
      <c r="Y60" s="283">
        <v>0</v>
      </c>
      <c r="Z60" s="283">
        <v>0</v>
      </c>
      <c r="AA60" s="283">
        <v>0</v>
      </c>
      <c r="AB60" s="281">
        <f t="shared" si="1"/>
        <v>0</v>
      </c>
      <c r="AC60" s="287">
        <v>0</v>
      </c>
    </row>
    <row r="61" spans="1:29" x14ac:dyDescent="0.25">
      <c r="A61" s="73" t="s">
        <v>212</v>
      </c>
      <c r="B61" s="74" t="s">
        <v>152</v>
      </c>
      <c r="C61" s="279">
        <v>0</v>
      </c>
      <c r="D61" s="281">
        <v>0</v>
      </c>
      <c r="E61" s="283">
        <v>0</v>
      </c>
      <c r="F61" s="283">
        <v>0</v>
      </c>
      <c r="G61" s="283">
        <v>0</v>
      </c>
      <c r="H61" s="283">
        <v>0</v>
      </c>
      <c r="I61" s="283">
        <v>0</v>
      </c>
      <c r="J61" s="283">
        <v>0</v>
      </c>
      <c r="K61" s="283">
        <v>0</v>
      </c>
      <c r="L61" s="283">
        <v>0</v>
      </c>
      <c r="M61" s="283">
        <v>0</v>
      </c>
      <c r="N61" s="283">
        <v>0</v>
      </c>
      <c r="O61" s="283">
        <v>0</v>
      </c>
      <c r="P61" s="283">
        <v>0</v>
      </c>
      <c r="Q61" s="283">
        <v>0</v>
      </c>
      <c r="R61" s="283">
        <v>0</v>
      </c>
      <c r="S61" s="283">
        <v>0</v>
      </c>
      <c r="T61" s="283">
        <v>0</v>
      </c>
      <c r="U61" s="283">
        <v>0</v>
      </c>
      <c r="V61" s="283">
        <v>0</v>
      </c>
      <c r="W61" s="283">
        <v>0</v>
      </c>
      <c r="X61" s="283">
        <v>0</v>
      </c>
      <c r="Y61" s="283">
        <v>0</v>
      </c>
      <c r="Z61" s="283">
        <v>0</v>
      </c>
      <c r="AA61" s="283">
        <v>0</v>
      </c>
      <c r="AB61" s="281">
        <f t="shared" si="1"/>
        <v>0</v>
      </c>
      <c r="AC61" s="287">
        <v>0</v>
      </c>
    </row>
    <row r="62" spans="1:29" x14ac:dyDescent="0.25">
      <c r="A62" s="73" t="s">
        <v>213</v>
      </c>
      <c r="B62" s="74" t="s">
        <v>150</v>
      </c>
      <c r="C62" s="279">
        <v>0</v>
      </c>
      <c r="D62" s="281">
        <v>0</v>
      </c>
      <c r="E62" s="283">
        <v>0</v>
      </c>
      <c r="F62" s="283">
        <v>0</v>
      </c>
      <c r="G62" s="283">
        <v>0</v>
      </c>
      <c r="H62" s="283">
        <v>0</v>
      </c>
      <c r="I62" s="283">
        <v>0</v>
      </c>
      <c r="J62" s="283">
        <v>0</v>
      </c>
      <c r="K62" s="283">
        <v>0</v>
      </c>
      <c r="L62" s="283">
        <v>0</v>
      </c>
      <c r="M62" s="283">
        <v>0</v>
      </c>
      <c r="N62" s="283">
        <v>0</v>
      </c>
      <c r="O62" s="283">
        <v>0</v>
      </c>
      <c r="P62" s="283">
        <v>0</v>
      </c>
      <c r="Q62" s="283">
        <v>0</v>
      </c>
      <c r="R62" s="283">
        <v>0</v>
      </c>
      <c r="S62" s="283">
        <v>0</v>
      </c>
      <c r="T62" s="283">
        <v>0</v>
      </c>
      <c r="U62" s="283">
        <v>0</v>
      </c>
      <c r="V62" s="283">
        <v>0</v>
      </c>
      <c r="W62" s="283">
        <v>0</v>
      </c>
      <c r="X62" s="283">
        <v>0</v>
      </c>
      <c r="Y62" s="283">
        <v>0</v>
      </c>
      <c r="Z62" s="283">
        <v>0</v>
      </c>
      <c r="AA62" s="283">
        <v>0</v>
      </c>
      <c r="AB62" s="281">
        <f t="shared" si="1"/>
        <v>0</v>
      </c>
      <c r="AC62" s="287">
        <v>0</v>
      </c>
    </row>
    <row r="63" spans="1:29" x14ac:dyDescent="0.25">
      <c r="A63" s="73" t="s">
        <v>214</v>
      </c>
      <c r="B63" s="74" t="s">
        <v>216</v>
      </c>
      <c r="C63" s="279">
        <v>0</v>
      </c>
      <c r="D63" s="281">
        <v>0</v>
      </c>
      <c r="E63" s="283">
        <v>0</v>
      </c>
      <c r="F63" s="283">
        <v>0</v>
      </c>
      <c r="G63" s="283">
        <v>0</v>
      </c>
      <c r="H63" s="283">
        <v>0</v>
      </c>
      <c r="I63" s="283">
        <v>0</v>
      </c>
      <c r="J63" s="283">
        <v>0</v>
      </c>
      <c r="K63" s="283">
        <v>0</v>
      </c>
      <c r="L63" s="283">
        <v>0</v>
      </c>
      <c r="M63" s="283">
        <v>0</v>
      </c>
      <c r="N63" s="283">
        <v>0</v>
      </c>
      <c r="O63" s="283">
        <v>0</v>
      </c>
      <c r="P63" s="283">
        <v>0</v>
      </c>
      <c r="Q63" s="283">
        <v>0</v>
      </c>
      <c r="R63" s="283">
        <v>0</v>
      </c>
      <c r="S63" s="283">
        <v>0</v>
      </c>
      <c r="T63" s="283">
        <v>0</v>
      </c>
      <c r="U63" s="283">
        <v>0</v>
      </c>
      <c r="V63" s="283">
        <v>0</v>
      </c>
      <c r="W63" s="283">
        <v>0</v>
      </c>
      <c r="X63" s="283">
        <v>0</v>
      </c>
      <c r="Y63" s="283">
        <v>0</v>
      </c>
      <c r="Z63" s="283">
        <v>0</v>
      </c>
      <c r="AA63" s="283">
        <v>0</v>
      </c>
      <c r="AB63" s="281">
        <f t="shared" si="1"/>
        <v>0</v>
      </c>
      <c r="AC63" s="287">
        <v>0</v>
      </c>
    </row>
    <row r="64" spans="1:29" ht="18.75" x14ac:dyDescent="0.25">
      <c r="A64" s="73" t="s">
        <v>215</v>
      </c>
      <c r="B64" s="72" t="s">
        <v>128</v>
      </c>
      <c r="C64" s="280">
        <v>0</v>
      </c>
      <c r="D64" s="281">
        <v>0</v>
      </c>
      <c r="E64" s="283">
        <v>0</v>
      </c>
      <c r="F64" s="283">
        <v>0</v>
      </c>
      <c r="G64" s="283">
        <v>0</v>
      </c>
      <c r="H64" s="283">
        <v>0</v>
      </c>
      <c r="I64" s="283">
        <v>0</v>
      </c>
      <c r="J64" s="283">
        <v>0</v>
      </c>
      <c r="K64" s="283">
        <v>0</v>
      </c>
      <c r="L64" s="283">
        <v>0</v>
      </c>
      <c r="M64" s="283">
        <v>0</v>
      </c>
      <c r="N64" s="283">
        <v>0</v>
      </c>
      <c r="O64" s="283">
        <v>0</v>
      </c>
      <c r="P64" s="283">
        <v>0</v>
      </c>
      <c r="Q64" s="283">
        <v>0</v>
      </c>
      <c r="R64" s="283">
        <v>0</v>
      </c>
      <c r="S64" s="283">
        <v>0</v>
      </c>
      <c r="T64" s="283">
        <v>0</v>
      </c>
      <c r="U64" s="283">
        <v>0</v>
      </c>
      <c r="V64" s="283">
        <v>0</v>
      </c>
      <c r="W64" s="283">
        <v>0</v>
      </c>
      <c r="X64" s="283">
        <v>0</v>
      </c>
      <c r="Y64" s="283">
        <v>0</v>
      </c>
      <c r="Z64" s="283">
        <v>0</v>
      </c>
      <c r="AA64" s="283">
        <v>0</v>
      </c>
      <c r="AB64" s="281">
        <f t="shared" si="1"/>
        <v>0</v>
      </c>
      <c r="AC64" s="287">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379"/>
      <c r="C66" s="379"/>
      <c r="D66" s="379"/>
      <c r="E66" s="379"/>
      <c r="F66" s="379"/>
      <c r="G66" s="379"/>
      <c r="H66" s="379"/>
      <c r="I66" s="379"/>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380"/>
      <c r="C68" s="380"/>
      <c r="D68" s="380"/>
      <c r="E68" s="380"/>
      <c r="F68" s="380"/>
      <c r="G68" s="380"/>
      <c r="H68" s="380"/>
      <c r="I68" s="380"/>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379"/>
      <c r="C70" s="379"/>
      <c r="D70" s="379"/>
      <c r="E70" s="379"/>
      <c r="F70" s="379"/>
      <c r="G70" s="379"/>
      <c r="H70" s="379"/>
      <c r="I70" s="379"/>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379"/>
      <c r="C72" s="379"/>
      <c r="D72" s="379"/>
      <c r="E72" s="379"/>
      <c r="F72" s="379"/>
      <c r="G72" s="379"/>
      <c r="H72" s="379"/>
      <c r="I72" s="379"/>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380"/>
      <c r="C73" s="380"/>
      <c r="D73" s="380"/>
      <c r="E73" s="380"/>
      <c r="F73" s="380"/>
      <c r="G73" s="380"/>
      <c r="H73" s="380"/>
      <c r="I73" s="380"/>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379"/>
      <c r="C74" s="379"/>
      <c r="D74" s="379"/>
      <c r="E74" s="379"/>
      <c r="F74" s="379"/>
      <c r="G74" s="379"/>
      <c r="H74" s="379"/>
      <c r="I74" s="379"/>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381"/>
      <c r="C75" s="381"/>
      <c r="D75" s="381"/>
      <c r="E75" s="381"/>
      <c r="F75" s="381"/>
      <c r="G75" s="381"/>
      <c r="H75" s="381"/>
      <c r="I75" s="381"/>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378"/>
      <c r="C77" s="378"/>
      <c r="D77" s="378"/>
      <c r="E77" s="378"/>
      <c r="F77" s="378"/>
      <c r="G77" s="378"/>
      <c r="H77" s="378"/>
      <c r="I77" s="378"/>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X24:AB64 C24:O64">
    <cfRule type="cellIs" dxfId="3" priority="4" operator="notEqual">
      <formula>0</formula>
    </cfRule>
  </conditionalFormatting>
  <conditionalFormatting sqref="AC24:AC64">
    <cfRule type="cellIs" dxfId="2" priority="3" operator="notEqual">
      <formula>0</formula>
    </cfRule>
  </conditionalFormatting>
  <conditionalFormatting sqref="P24:S64">
    <cfRule type="cellIs" dxfId="1" priority="2" operator="notEqual">
      <formula>0</formula>
    </cfRule>
  </conditionalFormatting>
  <conditionalFormatting sqref="T24:W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0"/>
  <sheetViews>
    <sheetView view="pageBreakPreview" topLeftCell="P47" zoomScale="85" zoomScaleSheetLayoutView="85" workbookViewId="0">
      <selection activeCell="S56" sqref="S56"/>
    </sheetView>
  </sheetViews>
  <sheetFormatPr defaultColWidth="9.140625" defaultRowHeight="15" x14ac:dyDescent="0.25"/>
  <cols>
    <col min="1" max="1" width="6.140625" style="275" customWidth="1"/>
    <col min="2" max="2" width="23.140625" style="18" customWidth="1"/>
    <col min="3" max="3" width="13.85546875" style="18" customWidth="1"/>
    <col min="4" max="4" width="15.140625" style="18" customWidth="1"/>
    <col min="5" max="12" width="7.7109375" style="18" customWidth="1"/>
    <col min="13" max="13" width="18" style="18" customWidth="1"/>
    <col min="14" max="14" width="35.140625" style="18" customWidth="1"/>
    <col min="15" max="15" width="24.5703125" style="18" customWidth="1"/>
    <col min="16" max="16" width="23.140625" style="18" customWidth="1"/>
    <col min="17" max="17" width="21.85546875" style="18" customWidth="1"/>
    <col min="18" max="18" width="20.140625" style="18" customWidth="1"/>
    <col min="19" max="19" width="14.28515625" style="18" customWidth="1"/>
    <col min="20" max="20" width="12.42578125" style="18" customWidth="1"/>
    <col min="21" max="21" width="11.42578125" style="18" customWidth="1"/>
    <col min="22" max="22" width="12.7109375" style="18" customWidth="1"/>
    <col min="23" max="23" width="27.85546875" style="18" customWidth="1"/>
    <col min="24" max="24" width="21.28515625" style="18" customWidth="1"/>
    <col min="25" max="25" width="21.140625" style="18" customWidth="1"/>
    <col min="26" max="26" width="7.7109375" style="18" customWidth="1"/>
    <col min="27" max="27" width="23.28515625" style="18" customWidth="1"/>
    <col min="28" max="28" width="21.28515625" style="18" customWidth="1"/>
    <col min="29" max="29" width="28.5703125" style="18" customWidth="1"/>
    <col min="30" max="30" width="17.42578125" style="18" customWidth="1"/>
    <col min="31" max="31" width="25.7109375" style="18" customWidth="1"/>
    <col min="32" max="32" width="17.42578125" style="18" customWidth="1"/>
    <col min="33" max="33" width="17.28515625" style="18" customWidth="1"/>
    <col min="34" max="34" width="14.7109375" style="18" customWidth="1"/>
    <col min="35" max="35" width="15.42578125" style="18" customWidth="1"/>
    <col min="36" max="36" width="20" style="18" customWidth="1"/>
    <col min="37" max="37" width="19.85546875" style="18" customWidth="1"/>
    <col min="38" max="38" width="26.7109375" style="18" customWidth="1"/>
    <col min="39" max="39" width="20.140625" style="18" customWidth="1"/>
    <col min="40" max="40" width="16.140625" style="18" customWidth="1"/>
    <col min="41" max="41" width="16.5703125" style="18" customWidth="1"/>
    <col min="42" max="42" width="16.28515625" style="18" customWidth="1"/>
    <col min="43" max="43" width="17.140625" style="18" customWidth="1"/>
    <col min="44" max="44" width="18" style="18" customWidth="1"/>
    <col min="45" max="45" width="16.140625" style="18" customWidth="1"/>
    <col min="46" max="46" width="18" style="18" customWidth="1"/>
    <col min="47" max="47" width="16.28515625" style="18" customWidth="1"/>
    <col min="48" max="48" width="19.7109375" style="18" customWidth="1"/>
    <col min="49" max="16384" width="9.140625" style="18"/>
  </cols>
  <sheetData>
    <row r="1" spans="1:48" ht="18.75" x14ac:dyDescent="0.25">
      <c r="AV1" s="38" t="s">
        <v>69</v>
      </c>
    </row>
    <row r="2" spans="1:48" ht="18.75" x14ac:dyDescent="0.3">
      <c r="AV2" s="14" t="s">
        <v>10</v>
      </c>
    </row>
    <row r="3" spans="1:48" ht="18.75" x14ac:dyDescent="0.3">
      <c r="AV3" s="14" t="s">
        <v>68</v>
      </c>
    </row>
    <row r="4" spans="1:48" ht="18.75" x14ac:dyDescent="0.3">
      <c r="AV4" s="14"/>
    </row>
    <row r="5" spans="1:48" ht="18.75" customHeight="1" x14ac:dyDescent="0.25">
      <c r="A5" s="310" t="str">
        <f>'1. паспорт местоположение'!A5:C5</f>
        <v>Год раскрытия информации: 2016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row>
    <row r="6" spans="1:48" ht="18.75" x14ac:dyDescent="0.3">
      <c r="AV6" s="14"/>
    </row>
    <row r="7" spans="1:48" ht="18.75" x14ac:dyDescent="0.25">
      <c r="A7" s="303" t="s">
        <v>9</v>
      </c>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c r="AK7" s="303"/>
      <c r="AL7" s="303"/>
      <c r="AM7" s="303"/>
      <c r="AN7" s="303"/>
      <c r="AO7" s="303"/>
      <c r="AP7" s="303"/>
      <c r="AQ7" s="303"/>
      <c r="AR7" s="303"/>
      <c r="AS7" s="303"/>
      <c r="AT7" s="303"/>
      <c r="AU7" s="303"/>
      <c r="AV7" s="303"/>
    </row>
    <row r="8" spans="1:48" ht="18.75" x14ac:dyDescent="0.25">
      <c r="A8" s="303"/>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303"/>
      <c r="AE8" s="303"/>
      <c r="AF8" s="303"/>
      <c r="AG8" s="303"/>
      <c r="AH8" s="303"/>
      <c r="AI8" s="303"/>
      <c r="AJ8" s="303"/>
      <c r="AK8" s="303"/>
      <c r="AL8" s="303"/>
      <c r="AM8" s="303"/>
      <c r="AN8" s="303"/>
      <c r="AO8" s="303"/>
      <c r="AP8" s="303"/>
      <c r="AQ8" s="303"/>
      <c r="AR8" s="303"/>
      <c r="AS8" s="303"/>
      <c r="AT8" s="303"/>
      <c r="AU8" s="303"/>
      <c r="AV8" s="303"/>
    </row>
    <row r="9" spans="1:48" ht="15.75" x14ac:dyDescent="0.25">
      <c r="A9" s="306" t="str">
        <f>'1. паспорт местоположение'!A9:C9</f>
        <v>АО "Янтарьэнерго"</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6"/>
      <c r="AR9" s="306"/>
      <c r="AS9" s="306"/>
      <c r="AT9" s="306"/>
      <c r="AU9" s="306"/>
      <c r="AV9" s="306"/>
    </row>
    <row r="10" spans="1:48" ht="15.75" x14ac:dyDescent="0.25">
      <c r="A10" s="300" t="s">
        <v>8</v>
      </c>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300"/>
      <c r="AB10" s="300"/>
      <c r="AC10" s="300"/>
      <c r="AD10" s="300"/>
      <c r="AE10" s="300"/>
      <c r="AF10" s="300"/>
      <c r="AG10" s="300"/>
      <c r="AH10" s="300"/>
      <c r="AI10" s="300"/>
      <c r="AJ10" s="300"/>
      <c r="AK10" s="300"/>
      <c r="AL10" s="300"/>
      <c r="AM10" s="300"/>
      <c r="AN10" s="300"/>
      <c r="AO10" s="300"/>
      <c r="AP10" s="300"/>
      <c r="AQ10" s="300"/>
      <c r="AR10" s="300"/>
      <c r="AS10" s="300"/>
      <c r="AT10" s="300"/>
      <c r="AU10" s="300"/>
      <c r="AV10" s="300"/>
    </row>
    <row r="11" spans="1:48" ht="18.75" x14ac:dyDescent="0.25">
      <c r="A11" s="303"/>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c r="AD11" s="303"/>
      <c r="AE11" s="303"/>
      <c r="AF11" s="303"/>
      <c r="AG11" s="303"/>
      <c r="AH11" s="303"/>
      <c r="AI11" s="303"/>
      <c r="AJ11" s="303"/>
      <c r="AK11" s="303"/>
      <c r="AL11" s="303"/>
      <c r="AM11" s="303"/>
      <c r="AN11" s="303"/>
      <c r="AO11" s="303"/>
      <c r="AP11" s="303"/>
      <c r="AQ11" s="303"/>
      <c r="AR11" s="303"/>
      <c r="AS11" s="303"/>
      <c r="AT11" s="303"/>
      <c r="AU11" s="303"/>
      <c r="AV11" s="303"/>
    </row>
    <row r="12" spans="1:48" ht="15.75" x14ac:dyDescent="0.25">
      <c r="A12" s="306" t="str">
        <f>'1. паспорт местоположение'!A12:C12</f>
        <v>E_prj_111001_2501</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6"/>
      <c r="AR12" s="306"/>
      <c r="AS12" s="306"/>
      <c r="AT12" s="306"/>
      <c r="AU12" s="306"/>
      <c r="AV12" s="306"/>
    </row>
    <row r="13" spans="1:48" ht="15.75" x14ac:dyDescent="0.25">
      <c r="A13" s="300" t="s">
        <v>7</v>
      </c>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c r="AI13" s="300"/>
      <c r="AJ13" s="300"/>
      <c r="AK13" s="300"/>
      <c r="AL13" s="300"/>
      <c r="AM13" s="300"/>
      <c r="AN13" s="300"/>
      <c r="AO13" s="300"/>
      <c r="AP13" s="300"/>
      <c r="AQ13" s="300"/>
      <c r="AR13" s="300"/>
      <c r="AS13" s="300"/>
      <c r="AT13" s="300"/>
      <c r="AU13" s="300"/>
      <c r="AV13" s="300"/>
    </row>
    <row r="14" spans="1:48"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row>
    <row r="15" spans="1:48" ht="15.75" x14ac:dyDescent="0.25">
      <c r="A15" s="306" t="str">
        <f>'1. паспорт местоположение'!A15:C15</f>
        <v>Строительство ПС 110 кВ "Храброво" с заходами, г. Калининград</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c r="AD15" s="306"/>
      <c r="AE15" s="306"/>
      <c r="AF15" s="306"/>
      <c r="AG15" s="306"/>
      <c r="AH15" s="306"/>
      <c r="AI15" s="306"/>
      <c r="AJ15" s="306"/>
      <c r="AK15" s="306"/>
      <c r="AL15" s="306"/>
      <c r="AM15" s="306"/>
      <c r="AN15" s="306"/>
      <c r="AO15" s="306"/>
      <c r="AP15" s="306"/>
      <c r="AQ15" s="306"/>
      <c r="AR15" s="306"/>
      <c r="AS15" s="306"/>
      <c r="AT15" s="306"/>
      <c r="AU15" s="306"/>
      <c r="AV15" s="306"/>
    </row>
    <row r="16" spans="1:48" ht="15.75" x14ac:dyDescent="0.25">
      <c r="A16" s="300" t="s">
        <v>6</v>
      </c>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c r="AP16" s="300"/>
      <c r="AQ16" s="300"/>
      <c r="AR16" s="300"/>
      <c r="AS16" s="300"/>
      <c r="AT16" s="300"/>
      <c r="AU16" s="300"/>
      <c r="AV16" s="300"/>
    </row>
    <row r="17" spans="1:4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c r="AN17" s="342"/>
      <c r="AO17" s="342"/>
      <c r="AP17" s="342"/>
      <c r="AQ17" s="342"/>
      <c r="AR17" s="342"/>
      <c r="AS17" s="342"/>
      <c r="AT17" s="342"/>
      <c r="AU17" s="342"/>
      <c r="AV17" s="342"/>
    </row>
    <row r="18" spans="1:48" ht="14.25" customHeight="1"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s="21" customFormat="1"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343"/>
      <c r="AP20" s="343"/>
      <c r="AQ20" s="343"/>
      <c r="AR20" s="343"/>
      <c r="AS20" s="343"/>
      <c r="AT20" s="343"/>
      <c r="AU20" s="343"/>
      <c r="AV20" s="343"/>
    </row>
    <row r="21" spans="1:48" s="21" customFormat="1" x14ac:dyDescent="0.25">
      <c r="A21" s="382" t="s">
        <v>461</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8" s="21" customFormat="1" ht="58.5" customHeight="1" x14ac:dyDescent="0.25">
      <c r="A22" s="383" t="s">
        <v>52</v>
      </c>
      <c r="B22" s="389" t="s">
        <v>24</v>
      </c>
      <c r="C22" s="386" t="s">
        <v>51</v>
      </c>
      <c r="D22" s="386" t="s">
        <v>50</v>
      </c>
      <c r="E22" s="392" t="s">
        <v>472</v>
      </c>
      <c r="F22" s="393"/>
      <c r="G22" s="393"/>
      <c r="H22" s="393"/>
      <c r="I22" s="393"/>
      <c r="J22" s="393"/>
      <c r="K22" s="393"/>
      <c r="L22" s="394"/>
      <c r="M22" s="386" t="s">
        <v>49</v>
      </c>
      <c r="N22" s="386" t="s">
        <v>48</v>
      </c>
      <c r="O22" s="386" t="s">
        <v>47</v>
      </c>
      <c r="P22" s="395" t="s">
        <v>247</v>
      </c>
      <c r="Q22" s="395" t="s">
        <v>46</v>
      </c>
      <c r="R22" s="395" t="s">
        <v>45</v>
      </c>
      <c r="S22" s="395" t="s">
        <v>44</v>
      </c>
      <c r="T22" s="395"/>
      <c r="U22" s="396" t="s">
        <v>43</v>
      </c>
      <c r="V22" s="396" t="s">
        <v>42</v>
      </c>
      <c r="W22" s="395" t="s">
        <v>41</v>
      </c>
      <c r="X22" s="395" t="s">
        <v>40</v>
      </c>
      <c r="Y22" s="395" t="s">
        <v>39</v>
      </c>
      <c r="Z22" s="409" t="s">
        <v>38</v>
      </c>
      <c r="AA22" s="395" t="s">
        <v>37</v>
      </c>
      <c r="AB22" s="395" t="s">
        <v>36</v>
      </c>
      <c r="AC22" s="395" t="s">
        <v>35</v>
      </c>
      <c r="AD22" s="395" t="s">
        <v>34</v>
      </c>
      <c r="AE22" s="395" t="s">
        <v>33</v>
      </c>
      <c r="AF22" s="395" t="s">
        <v>32</v>
      </c>
      <c r="AG22" s="395"/>
      <c r="AH22" s="395"/>
      <c r="AI22" s="395"/>
      <c r="AJ22" s="395"/>
      <c r="AK22" s="395"/>
      <c r="AL22" s="395" t="s">
        <v>31</v>
      </c>
      <c r="AM22" s="395"/>
      <c r="AN22" s="395"/>
      <c r="AO22" s="395"/>
      <c r="AP22" s="395" t="s">
        <v>30</v>
      </c>
      <c r="AQ22" s="395"/>
      <c r="AR22" s="395" t="s">
        <v>29</v>
      </c>
      <c r="AS22" s="395" t="s">
        <v>28</v>
      </c>
      <c r="AT22" s="395" t="s">
        <v>27</v>
      </c>
      <c r="AU22" s="395" t="s">
        <v>26</v>
      </c>
      <c r="AV22" s="399" t="s">
        <v>25</v>
      </c>
    </row>
    <row r="23" spans="1:48" s="21" customFormat="1" ht="64.5" customHeight="1" x14ac:dyDescent="0.25">
      <c r="A23" s="384"/>
      <c r="B23" s="390"/>
      <c r="C23" s="387"/>
      <c r="D23" s="387"/>
      <c r="E23" s="401" t="s">
        <v>23</v>
      </c>
      <c r="F23" s="403" t="s">
        <v>132</v>
      </c>
      <c r="G23" s="403" t="s">
        <v>131</v>
      </c>
      <c r="H23" s="403" t="s">
        <v>130</v>
      </c>
      <c r="I23" s="407" t="s">
        <v>408</v>
      </c>
      <c r="J23" s="407" t="s">
        <v>409</v>
      </c>
      <c r="K23" s="407" t="s">
        <v>410</v>
      </c>
      <c r="L23" s="403" t="s">
        <v>80</v>
      </c>
      <c r="M23" s="387"/>
      <c r="N23" s="387"/>
      <c r="O23" s="387"/>
      <c r="P23" s="395"/>
      <c r="Q23" s="395"/>
      <c r="R23" s="395"/>
      <c r="S23" s="405" t="s">
        <v>2</v>
      </c>
      <c r="T23" s="405" t="s">
        <v>11</v>
      </c>
      <c r="U23" s="396"/>
      <c r="V23" s="396"/>
      <c r="W23" s="395"/>
      <c r="X23" s="395"/>
      <c r="Y23" s="395"/>
      <c r="Z23" s="395"/>
      <c r="AA23" s="395"/>
      <c r="AB23" s="395"/>
      <c r="AC23" s="395"/>
      <c r="AD23" s="395"/>
      <c r="AE23" s="395"/>
      <c r="AF23" s="395" t="s">
        <v>22</v>
      </c>
      <c r="AG23" s="395"/>
      <c r="AH23" s="395" t="s">
        <v>21</v>
      </c>
      <c r="AI23" s="395"/>
      <c r="AJ23" s="386" t="s">
        <v>20</v>
      </c>
      <c r="AK23" s="386" t="s">
        <v>19</v>
      </c>
      <c r="AL23" s="386" t="s">
        <v>18</v>
      </c>
      <c r="AM23" s="386" t="s">
        <v>17</v>
      </c>
      <c r="AN23" s="386" t="s">
        <v>16</v>
      </c>
      <c r="AO23" s="386" t="s">
        <v>15</v>
      </c>
      <c r="AP23" s="386" t="s">
        <v>14</v>
      </c>
      <c r="AQ23" s="397" t="s">
        <v>11</v>
      </c>
      <c r="AR23" s="395"/>
      <c r="AS23" s="395"/>
      <c r="AT23" s="395"/>
      <c r="AU23" s="395"/>
      <c r="AV23" s="400"/>
    </row>
    <row r="24" spans="1:48" s="21" customFormat="1" ht="96.75" customHeight="1" x14ac:dyDescent="0.25">
      <c r="A24" s="385"/>
      <c r="B24" s="391"/>
      <c r="C24" s="388"/>
      <c r="D24" s="388"/>
      <c r="E24" s="402"/>
      <c r="F24" s="404"/>
      <c r="G24" s="404"/>
      <c r="H24" s="404"/>
      <c r="I24" s="408"/>
      <c r="J24" s="408"/>
      <c r="K24" s="408"/>
      <c r="L24" s="404"/>
      <c r="M24" s="388"/>
      <c r="N24" s="388"/>
      <c r="O24" s="388"/>
      <c r="P24" s="395"/>
      <c r="Q24" s="395"/>
      <c r="R24" s="395"/>
      <c r="S24" s="406"/>
      <c r="T24" s="406"/>
      <c r="U24" s="396"/>
      <c r="V24" s="396"/>
      <c r="W24" s="395"/>
      <c r="X24" s="395"/>
      <c r="Y24" s="395"/>
      <c r="Z24" s="395"/>
      <c r="AA24" s="395"/>
      <c r="AB24" s="395"/>
      <c r="AC24" s="395"/>
      <c r="AD24" s="395"/>
      <c r="AE24" s="395"/>
      <c r="AF24" s="137" t="s">
        <v>13</v>
      </c>
      <c r="AG24" s="137" t="s">
        <v>12</v>
      </c>
      <c r="AH24" s="138" t="s">
        <v>2</v>
      </c>
      <c r="AI24" s="138" t="s">
        <v>11</v>
      </c>
      <c r="AJ24" s="388"/>
      <c r="AK24" s="388"/>
      <c r="AL24" s="388"/>
      <c r="AM24" s="388"/>
      <c r="AN24" s="388"/>
      <c r="AO24" s="388"/>
      <c r="AP24" s="388"/>
      <c r="AQ24" s="398"/>
      <c r="AR24" s="395"/>
      <c r="AS24" s="395"/>
      <c r="AT24" s="395"/>
      <c r="AU24" s="395"/>
      <c r="AV24" s="400"/>
    </row>
    <row r="25" spans="1:48" s="19" customFormat="1" ht="11.25" x14ac:dyDescent="0.2">
      <c r="A25" s="276">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63" customFormat="1" ht="63" x14ac:dyDescent="0.25">
      <c r="A26" s="247">
        <v>1</v>
      </c>
      <c r="B26" s="255" t="s">
        <v>481</v>
      </c>
      <c r="C26" s="255" t="s">
        <v>65</v>
      </c>
      <c r="D26" s="255">
        <v>42887</v>
      </c>
      <c r="E26" s="255"/>
      <c r="F26" s="255"/>
      <c r="G26" s="255">
        <v>20</v>
      </c>
      <c r="H26" s="255"/>
      <c r="I26" s="255"/>
      <c r="J26" s="255"/>
      <c r="K26" s="255">
        <v>7.52</v>
      </c>
      <c r="L26" s="255"/>
      <c r="M26" s="255" t="s">
        <v>625</v>
      </c>
      <c r="N26" s="255" t="s">
        <v>624</v>
      </c>
      <c r="O26" s="260" t="s">
        <v>575</v>
      </c>
      <c r="P26" s="253">
        <v>23681.29</v>
      </c>
      <c r="Q26" s="255" t="s">
        <v>626</v>
      </c>
      <c r="R26" s="253">
        <v>23681.29</v>
      </c>
      <c r="S26" s="260" t="s">
        <v>586</v>
      </c>
      <c r="T26" s="260" t="s">
        <v>586</v>
      </c>
      <c r="U26" s="260">
        <v>16</v>
      </c>
      <c r="V26" s="260">
        <v>16</v>
      </c>
      <c r="W26" s="260" t="s">
        <v>597</v>
      </c>
      <c r="X26" s="260">
        <v>16370</v>
      </c>
      <c r="Y26" s="260"/>
      <c r="Z26" s="260">
        <v>1</v>
      </c>
      <c r="AA26" s="260">
        <v>13914.5</v>
      </c>
      <c r="AB26" s="260">
        <f>AA26</f>
        <v>13914.5</v>
      </c>
      <c r="AC26" s="260" t="s">
        <v>597</v>
      </c>
      <c r="AD26" s="255">
        <v>16419.11</v>
      </c>
      <c r="AE26" s="255"/>
      <c r="AF26" s="252">
        <v>39255</v>
      </c>
      <c r="AG26" s="256" t="s">
        <v>594</v>
      </c>
      <c r="AH26" s="257">
        <v>41712</v>
      </c>
      <c r="AI26" s="257">
        <v>41683</v>
      </c>
      <c r="AJ26" s="257">
        <v>41726</v>
      </c>
      <c r="AK26" s="257">
        <v>41771</v>
      </c>
      <c r="AL26" s="255"/>
      <c r="AM26" s="255"/>
      <c r="AN26" s="255"/>
      <c r="AO26" s="255"/>
      <c r="AP26" s="257">
        <v>41817</v>
      </c>
      <c r="AQ26" s="257">
        <v>41806</v>
      </c>
      <c r="AR26" s="257">
        <v>41806</v>
      </c>
      <c r="AS26" s="257">
        <v>41806</v>
      </c>
      <c r="AT26" s="257">
        <v>41898</v>
      </c>
      <c r="AU26" s="255"/>
      <c r="AV26" s="255"/>
    </row>
    <row r="27" spans="1:48" s="249" customFormat="1" ht="47.25" x14ac:dyDescent="0.25">
      <c r="A27" s="247"/>
      <c r="B27" s="258"/>
      <c r="C27" s="258"/>
      <c r="D27" s="258"/>
      <c r="E27" s="258"/>
      <c r="F27" s="258"/>
      <c r="G27" s="258"/>
      <c r="H27" s="258"/>
      <c r="I27" s="258"/>
      <c r="J27" s="258"/>
      <c r="K27" s="258"/>
      <c r="L27" s="258"/>
      <c r="M27" s="258"/>
      <c r="N27" s="258"/>
      <c r="O27" s="258"/>
      <c r="P27" s="258"/>
      <c r="Q27" s="258"/>
      <c r="R27" s="258"/>
      <c r="S27" s="258"/>
      <c r="T27" s="258"/>
      <c r="U27" s="258"/>
      <c r="V27" s="258"/>
      <c r="W27" s="252" t="s">
        <v>627</v>
      </c>
      <c r="X27" s="260">
        <v>6404.6570000000002</v>
      </c>
      <c r="Y27" s="252" t="s">
        <v>627</v>
      </c>
      <c r="Z27" s="252"/>
      <c r="AA27" s="260"/>
      <c r="AB27" s="260"/>
      <c r="AC27" s="258"/>
      <c r="AD27" s="258"/>
      <c r="AE27" s="258"/>
      <c r="AF27" s="258"/>
      <c r="AG27" s="258"/>
      <c r="AH27" s="258"/>
      <c r="AI27" s="258"/>
      <c r="AJ27" s="258"/>
      <c r="AK27" s="258"/>
      <c r="AL27" s="258"/>
      <c r="AM27" s="258"/>
      <c r="AN27" s="258"/>
      <c r="AO27" s="258"/>
      <c r="AP27" s="258"/>
      <c r="AQ27" s="258"/>
      <c r="AR27" s="258"/>
      <c r="AS27" s="258"/>
      <c r="AT27" s="258"/>
      <c r="AU27" s="258"/>
      <c r="AV27" s="258"/>
    </row>
    <row r="28" spans="1:48" s="249" customFormat="1" ht="31.5" x14ac:dyDescent="0.25">
      <c r="A28" s="247"/>
      <c r="B28" s="258"/>
      <c r="C28" s="258"/>
      <c r="D28" s="258"/>
      <c r="E28" s="258"/>
      <c r="F28" s="258"/>
      <c r="G28" s="258"/>
      <c r="H28" s="258"/>
      <c r="I28" s="258"/>
      <c r="J28" s="258"/>
      <c r="K28" s="258"/>
      <c r="L28" s="258"/>
      <c r="M28" s="258"/>
      <c r="N28" s="258"/>
      <c r="O28" s="258"/>
      <c r="P28" s="258"/>
      <c r="Q28" s="258"/>
      <c r="R28" s="258"/>
      <c r="S28" s="258"/>
      <c r="T28" s="258"/>
      <c r="U28" s="258"/>
      <c r="V28" s="258"/>
      <c r="W28" s="252" t="s">
        <v>628</v>
      </c>
      <c r="X28" s="260">
        <v>10236.800999999999</v>
      </c>
      <c r="Y28" s="252" t="s">
        <v>628</v>
      </c>
      <c r="Z28" s="252"/>
      <c r="AA28" s="260"/>
      <c r="AB28" s="260"/>
      <c r="AC28" s="258"/>
      <c r="AD28" s="258"/>
      <c r="AE28" s="258"/>
      <c r="AF28" s="258"/>
      <c r="AG28" s="258"/>
      <c r="AH28" s="258"/>
      <c r="AI28" s="258"/>
      <c r="AJ28" s="258"/>
      <c r="AK28" s="258"/>
      <c r="AL28" s="258"/>
      <c r="AM28" s="258"/>
      <c r="AN28" s="258"/>
      <c r="AO28" s="258"/>
      <c r="AP28" s="258"/>
      <c r="AQ28" s="258"/>
      <c r="AR28" s="258"/>
      <c r="AS28" s="258"/>
      <c r="AT28" s="258"/>
      <c r="AU28" s="258"/>
      <c r="AV28" s="258"/>
    </row>
    <row r="29" spans="1:48" s="249" customFormat="1" ht="31.5" x14ac:dyDescent="0.25">
      <c r="A29" s="247"/>
      <c r="B29" s="258"/>
      <c r="C29" s="258"/>
      <c r="D29" s="258"/>
      <c r="E29" s="258"/>
      <c r="F29" s="258"/>
      <c r="G29" s="258"/>
      <c r="H29" s="258"/>
      <c r="I29" s="258"/>
      <c r="J29" s="258"/>
      <c r="K29" s="258"/>
      <c r="L29" s="258"/>
      <c r="M29" s="258"/>
      <c r="N29" s="258"/>
      <c r="O29" s="258"/>
      <c r="P29" s="258"/>
      <c r="Q29" s="258"/>
      <c r="R29" s="258"/>
      <c r="S29" s="258"/>
      <c r="T29" s="258"/>
      <c r="U29" s="258"/>
      <c r="V29" s="258"/>
      <c r="W29" s="252" t="s">
        <v>629</v>
      </c>
      <c r="X29" s="260">
        <v>10483.816000000001</v>
      </c>
      <c r="Y29" s="252" t="s">
        <v>629</v>
      </c>
      <c r="Z29" s="252"/>
      <c r="AA29" s="260"/>
      <c r="AB29" s="260"/>
      <c r="AC29" s="258"/>
      <c r="AD29" s="258"/>
      <c r="AE29" s="258"/>
      <c r="AF29" s="258"/>
      <c r="AG29" s="258"/>
      <c r="AH29" s="258"/>
      <c r="AI29" s="258"/>
      <c r="AJ29" s="258"/>
      <c r="AK29" s="258"/>
      <c r="AL29" s="258"/>
      <c r="AM29" s="258"/>
      <c r="AN29" s="258"/>
      <c r="AO29" s="258"/>
      <c r="AP29" s="258"/>
      <c r="AQ29" s="258"/>
      <c r="AR29" s="258"/>
      <c r="AS29" s="258"/>
      <c r="AT29" s="258"/>
      <c r="AU29" s="258"/>
      <c r="AV29" s="258"/>
    </row>
    <row r="30" spans="1:48" s="249" customFormat="1" ht="47.25" x14ac:dyDescent="0.25">
      <c r="A30" s="247"/>
      <c r="B30" s="258"/>
      <c r="C30" s="258"/>
      <c r="D30" s="258"/>
      <c r="E30" s="258"/>
      <c r="F30" s="258"/>
      <c r="G30" s="258"/>
      <c r="H30" s="258"/>
      <c r="I30" s="258"/>
      <c r="J30" s="258"/>
      <c r="K30" s="258"/>
      <c r="L30" s="258"/>
      <c r="M30" s="258"/>
      <c r="N30" s="258"/>
      <c r="O30" s="258"/>
      <c r="P30" s="258"/>
      <c r="Q30" s="258"/>
      <c r="R30" s="258"/>
      <c r="S30" s="258"/>
      <c r="T30" s="258"/>
      <c r="U30" s="258"/>
      <c r="V30" s="258"/>
      <c r="W30" s="252" t="s">
        <v>630</v>
      </c>
      <c r="X30" s="260">
        <v>15794.771000000001</v>
      </c>
      <c r="Y30" s="252" t="s">
        <v>630</v>
      </c>
      <c r="Z30" s="252"/>
      <c r="AA30" s="260"/>
      <c r="AB30" s="260"/>
      <c r="AC30" s="258"/>
      <c r="AD30" s="258"/>
      <c r="AE30" s="258"/>
      <c r="AF30" s="258"/>
      <c r="AG30" s="258"/>
      <c r="AH30" s="258"/>
      <c r="AI30" s="258"/>
      <c r="AJ30" s="258"/>
      <c r="AK30" s="258"/>
      <c r="AL30" s="258"/>
      <c r="AM30" s="258"/>
      <c r="AN30" s="258"/>
      <c r="AO30" s="258"/>
      <c r="AP30" s="258"/>
      <c r="AQ30" s="258"/>
      <c r="AR30" s="258"/>
      <c r="AS30" s="258"/>
      <c r="AT30" s="258"/>
      <c r="AU30" s="258"/>
      <c r="AV30" s="258"/>
    </row>
    <row r="31" spans="1:48" s="249" customFormat="1" ht="78.75" x14ac:dyDescent="0.25">
      <c r="A31" s="247"/>
      <c r="B31" s="258"/>
      <c r="C31" s="258"/>
      <c r="D31" s="258"/>
      <c r="E31" s="258"/>
      <c r="F31" s="258"/>
      <c r="G31" s="258"/>
      <c r="H31" s="258"/>
      <c r="I31" s="258"/>
      <c r="J31" s="258"/>
      <c r="K31" s="258"/>
      <c r="L31" s="258"/>
      <c r="M31" s="258"/>
      <c r="N31" s="258"/>
      <c r="O31" s="258"/>
      <c r="P31" s="258"/>
      <c r="Q31" s="258"/>
      <c r="R31" s="258"/>
      <c r="S31" s="258"/>
      <c r="T31" s="258"/>
      <c r="U31" s="258"/>
      <c r="V31" s="258"/>
      <c r="W31" s="252" t="s">
        <v>631</v>
      </c>
      <c r="X31" s="260">
        <v>16115.45</v>
      </c>
      <c r="Y31" s="252" t="s">
        <v>631</v>
      </c>
      <c r="Z31" s="252"/>
      <c r="AA31" s="260"/>
      <c r="AB31" s="260"/>
      <c r="AC31" s="258"/>
      <c r="AD31" s="258"/>
      <c r="AE31" s="258"/>
      <c r="AF31" s="258"/>
      <c r="AG31" s="258"/>
      <c r="AH31" s="258"/>
      <c r="AI31" s="258"/>
      <c r="AJ31" s="258"/>
      <c r="AK31" s="258"/>
      <c r="AL31" s="258"/>
      <c r="AM31" s="258"/>
      <c r="AN31" s="258"/>
      <c r="AO31" s="258"/>
      <c r="AP31" s="258"/>
      <c r="AQ31" s="258"/>
      <c r="AR31" s="258"/>
      <c r="AS31" s="258"/>
      <c r="AT31" s="258"/>
      <c r="AU31" s="258"/>
      <c r="AV31" s="258"/>
    </row>
    <row r="32" spans="1:48" s="249" customFormat="1" ht="15.75" x14ac:dyDescent="0.25">
      <c r="A32" s="247"/>
      <c r="B32" s="258"/>
      <c r="C32" s="258"/>
      <c r="D32" s="258"/>
      <c r="E32" s="258"/>
      <c r="F32" s="258"/>
      <c r="G32" s="258"/>
      <c r="H32" s="258"/>
      <c r="I32" s="258"/>
      <c r="J32" s="258"/>
      <c r="K32" s="258"/>
      <c r="L32" s="258"/>
      <c r="M32" s="258"/>
      <c r="N32" s="258"/>
      <c r="O32" s="258"/>
      <c r="P32" s="258"/>
      <c r="Q32" s="258"/>
      <c r="R32" s="258"/>
      <c r="S32" s="258"/>
      <c r="T32" s="258"/>
      <c r="U32" s="258"/>
      <c r="V32" s="258"/>
      <c r="W32" s="252" t="s">
        <v>632</v>
      </c>
      <c r="X32" s="260">
        <v>17269.699000000001</v>
      </c>
      <c r="Y32" s="252"/>
      <c r="Z32" s="252"/>
      <c r="AA32" s="260">
        <v>12434.183000000001</v>
      </c>
      <c r="AB32" s="260"/>
      <c r="AC32" s="258"/>
      <c r="AD32" s="258"/>
      <c r="AE32" s="258"/>
      <c r="AF32" s="258"/>
      <c r="AG32" s="258"/>
      <c r="AH32" s="258"/>
      <c r="AI32" s="258"/>
      <c r="AJ32" s="258"/>
      <c r="AK32" s="258"/>
      <c r="AL32" s="258"/>
      <c r="AM32" s="258"/>
      <c r="AN32" s="258"/>
      <c r="AO32" s="258"/>
      <c r="AP32" s="258"/>
      <c r="AQ32" s="258"/>
      <c r="AR32" s="258"/>
      <c r="AS32" s="258"/>
      <c r="AT32" s="258"/>
      <c r="AU32" s="258"/>
      <c r="AV32" s="258"/>
    </row>
    <row r="33" spans="1:48" s="249" customFormat="1" ht="31.5" x14ac:dyDescent="0.25">
      <c r="A33" s="247"/>
      <c r="B33" s="258"/>
      <c r="C33" s="258"/>
      <c r="D33" s="258"/>
      <c r="E33" s="258"/>
      <c r="F33" s="258"/>
      <c r="G33" s="258"/>
      <c r="H33" s="258"/>
      <c r="I33" s="258"/>
      <c r="J33" s="258"/>
      <c r="K33" s="258"/>
      <c r="L33" s="258"/>
      <c r="M33" s="258"/>
      <c r="N33" s="258"/>
      <c r="O33" s="258"/>
      <c r="P33" s="258"/>
      <c r="Q33" s="258"/>
      <c r="R33" s="258"/>
      <c r="S33" s="258"/>
      <c r="T33" s="258"/>
      <c r="U33" s="258"/>
      <c r="V33" s="258"/>
      <c r="W33" s="252" t="s">
        <v>633</v>
      </c>
      <c r="X33" s="260">
        <v>18933.534</v>
      </c>
      <c r="Y33" s="252" t="s">
        <v>633</v>
      </c>
      <c r="Z33" s="252"/>
      <c r="AA33" s="260"/>
      <c r="AB33" s="260"/>
      <c r="AC33" s="258"/>
      <c r="AD33" s="258"/>
      <c r="AE33" s="258"/>
      <c r="AF33" s="258"/>
      <c r="AG33" s="258"/>
      <c r="AH33" s="258"/>
      <c r="AI33" s="258"/>
      <c r="AJ33" s="258"/>
      <c r="AK33" s="258"/>
      <c r="AL33" s="258"/>
      <c r="AM33" s="258"/>
      <c r="AN33" s="258"/>
      <c r="AO33" s="258"/>
      <c r="AP33" s="258"/>
      <c r="AQ33" s="258"/>
      <c r="AR33" s="258"/>
      <c r="AS33" s="258"/>
      <c r="AT33" s="258"/>
      <c r="AU33" s="258"/>
      <c r="AV33" s="258"/>
    </row>
    <row r="34" spans="1:48" s="249" customFormat="1" ht="31.5" x14ac:dyDescent="0.25">
      <c r="A34" s="247"/>
      <c r="B34" s="258"/>
      <c r="C34" s="258"/>
      <c r="D34" s="258"/>
      <c r="E34" s="258"/>
      <c r="F34" s="258"/>
      <c r="G34" s="258"/>
      <c r="H34" s="258"/>
      <c r="I34" s="258"/>
      <c r="J34" s="258"/>
      <c r="K34" s="258"/>
      <c r="L34" s="258"/>
      <c r="M34" s="258"/>
      <c r="N34" s="258"/>
      <c r="O34" s="258"/>
      <c r="P34" s="258"/>
      <c r="Q34" s="258"/>
      <c r="R34" s="258"/>
      <c r="S34" s="258"/>
      <c r="T34" s="258"/>
      <c r="U34" s="258"/>
      <c r="V34" s="258"/>
      <c r="W34" s="252" t="s">
        <v>634</v>
      </c>
      <c r="X34" s="260">
        <v>19704.16</v>
      </c>
      <c r="Y34" s="252" t="s">
        <v>634</v>
      </c>
      <c r="Z34" s="252"/>
      <c r="AA34" s="260"/>
      <c r="AB34" s="260"/>
      <c r="AC34" s="258"/>
      <c r="AD34" s="258"/>
      <c r="AE34" s="258"/>
      <c r="AF34" s="258"/>
      <c r="AG34" s="258"/>
      <c r="AH34" s="258"/>
      <c r="AI34" s="258"/>
      <c r="AJ34" s="258"/>
      <c r="AK34" s="258"/>
      <c r="AL34" s="258"/>
      <c r="AM34" s="258"/>
      <c r="AN34" s="258"/>
      <c r="AO34" s="258"/>
      <c r="AP34" s="258"/>
      <c r="AQ34" s="258"/>
      <c r="AR34" s="258"/>
      <c r="AS34" s="258"/>
      <c r="AT34" s="258"/>
      <c r="AU34" s="258"/>
      <c r="AV34" s="258"/>
    </row>
    <row r="35" spans="1:48" s="249" customFormat="1" ht="31.5" x14ac:dyDescent="0.25">
      <c r="A35" s="247"/>
      <c r="B35" s="258"/>
      <c r="C35" s="258"/>
      <c r="D35" s="258"/>
      <c r="E35" s="258"/>
      <c r="F35" s="258"/>
      <c r="G35" s="258"/>
      <c r="H35" s="258"/>
      <c r="I35" s="258"/>
      <c r="J35" s="258"/>
      <c r="K35" s="258"/>
      <c r="L35" s="258"/>
      <c r="M35" s="258"/>
      <c r="N35" s="258"/>
      <c r="O35" s="258"/>
      <c r="P35" s="258"/>
      <c r="Q35" s="258"/>
      <c r="R35" s="258"/>
      <c r="S35" s="258"/>
      <c r="T35" s="258"/>
      <c r="U35" s="258"/>
      <c r="V35" s="258"/>
      <c r="W35" s="252" t="s">
        <v>635</v>
      </c>
      <c r="X35" s="260">
        <v>19876.740000000002</v>
      </c>
      <c r="Y35" s="252" t="s">
        <v>635</v>
      </c>
      <c r="Z35" s="252"/>
      <c r="AA35" s="260"/>
      <c r="AB35" s="260"/>
      <c r="AC35" s="258"/>
      <c r="AD35" s="258"/>
      <c r="AE35" s="258"/>
      <c r="AF35" s="258"/>
      <c r="AG35" s="258"/>
      <c r="AH35" s="258"/>
      <c r="AI35" s="258"/>
      <c r="AJ35" s="258"/>
      <c r="AK35" s="258"/>
      <c r="AL35" s="258"/>
      <c r="AM35" s="258"/>
      <c r="AN35" s="258"/>
      <c r="AO35" s="258"/>
      <c r="AP35" s="258"/>
      <c r="AQ35" s="258"/>
      <c r="AR35" s="258"/>
      <c r="AS35" s="258"/>
      <c r="AT35" s="258"/>
      <c r="AU35" s="258"/>
      <c r="AV35" s="258"/>
    </row>
    <row r="36" spans="1:48" s="249" customFormat="1" ht="31.5" x14ac:dyDescent="0.25">
      <c r="A36" s="247"/>
      <c r="B36" s="258"/>
      <c r="C36" s="258"/>
      <c r="D36" s="258"/>
      <c r="E36" s="258"/>
      <c r="F36" s="258"/>
      <c r="G36" s="258"/>
      <c r="H36" s="258"/>
      <c r="I36" s="258"/>
      <c r="J36" s="258"/>
      <c r="K36" s="258"/>
      <c r="L36" s="258"/>
      <c r="M36" s="258"/>
      <c r="N36" s="258"/>
      <c r="O36" s="258"/>
      <c r="P36" s="258"/>
      <c r="Q36" s="258"/>
      <c r="R36" s="258"/>
      <c r="S36" s="258"/>
      <c r="T36" s="258"/>
      <c r="U36" s="258"/>
      <c r="V36" s="258"/>
      <c r="W36" s="252" t="s">
        <v>636</v>
      </c>
      <c r="X36" s="260">
        <v>21187</v>
      </c>
      <c r="Y36" s="252" t="s">
        <v>636</v>
      </c>
      <c r="Z36" s="252"/>
      <c r="AA36" s="260"/>
      <c r="AB36" s="260"/>
      <c r="AC36" s="258"/>
      <c r="AD36" s="258"/>
      <c r="AE36" s="258"/>
      <c r="AF36" s="258"/>
      <c r="AG36" s="258"/>
      <c r="AH36" s="258"/>
      <c r="AI36" s="258"/>
      <c r="AJ36" s="258"/>
      <c r="AK36" s="258"/>
      <c r="AL36" s="258"/>
      <c r="AM36" s="258"/>
      <c r="AN36" s="258"/>
      <c r="AO36" s="258"/>
      <c r="AP36" s="258"/>
      <c r="AQ36" s="258"/>
      <c r="AR36" s="258"/>
      <c r="AS36" s="258"/>
      <c r="AT36" s="258"/>
      <c r="AU36" s="258"/>
      <c r="AV36" s="258"/>
    </row>
    <row r="37" spans="1:48" s="249" customFormat="1" ht="63" x14ac:dyDescent="0.25">
      <c r="A37" s="247"/>
      <c r="B37" s="258"/>
      <c r="C37" s="258"/>
      <c r="D37" s="258"/>
      <c r="E37" s="258"/>
      <c r="F37" s="258"/>
      <c r="G37" s="258"/>
      <c r="H37" s="258"/>
      <c r="I37" s="258"/>
      <c r="J37" s="258"/>
      <c r="K37" s="258"/>
      <c r="L37" s="258"/>
      <c r="M37" s="258"/>
      <c r="N37" s="258"/>
      <c r="O37" s="258"/>
      <c r="P37" s="258"/>
      <c r="Q37" s="258"/>
      <c r="R37" s="258"/>
      <c r="S37" s="258"/>
      <c r="T37" s="258"/>
      <c r="U37" s="258"/>
      <c r="V37" s="258"/>
      <c r="W37" s="252" t="s">
        <v>637</v>
      </c>
      <c r="X37" s="260">
        <v>21271.19</v>
      </c>
      <c r="Y37" s="252" t="s">
        <v>637</v>
      </c>
      <c r="Z37" s="252"/>
      <c r="AA37" s="260"/>
      <c r="AB37" s="260"/>
      <c r="AC37" s="258"/>
      <c r="AD37" s="258"/>
      <c r="AE37" s="258"/>
      <c r="AF37" s="258"/>
      <c r="AG37" s="258"/>
      <c r="AH37" s="258"/>
      <c r="AI37" s="258"/>
      <c r="AJ37" s="258"/>
      <c r="AK37" s="258"/>
      <c r="AL37" s="258"/>
      <c r="AM37" s="258"/>
      <c r="AN37" s="258"/>
      <c r="AO37" s="258"/>
      <c r="AP37" s="258"/>
      <c r="AQ37" s="258"/>
      <c r="AR37" s="258"/>
      <c r="AS37" s="258"/>
      <c r="AT37" s="258"/>
      <c r="AU37" s="258"/>
      <c r="AV37" s="258"/>
    </row>
    <row r="38" spans="1:48" s="249" customFormat="1" ht="31.5" x14ac:dyDescent="0.25">
      <c r="A38" s="247"/>
      <c r="B38" s="258"/>
      <c r="C38" s="258"/>
      <c r="D38" s="258"/>
      <c r="E38" s="258"/>
      <c r="F38" s="258"/>
      <c r="G38" s="258"/>
      <c r="H38" s="258"/>
      <c r="I38" s="258"/>
      <c r="J38" s="258"/>
      <c r="K38" s="258"/>
      <c r="L38" s="258"/>
      <c r="M38" s="258"/>
      <c r="N38" s="258"/>
      <c r="O38" s="258"/>
      <c r="P38" s="258"/>
      <c r="Q38" s="258"/>
      <c r="R38" s="258"/>
      <c r="S38" s="258"/>
      <c r="T38" s="258"/>
      <c r="U38" s="258"/>
      <c r="V38" s="258"/>
      <c r="W38" s="252" t="s">
        <v>638</v>
      </c>
      <c r="X38" s="260">
        <v>21986.278999999999</v>
      </c>
      <c r="Y38" s="252"/>
      <c r="Z38" s="252"/>
      <c r="AA38" s="260">
        <v>11934.656000000001</v>
      </c>
      <c r="AB38" s="260"/>
      <c r="AC38" s="258"/>
      <c r="AD38" s="258"/>
      <c r="AE38" s="258"/>
      <c r="AF38" s="258"/>
      <c r="AG38" s="258"/>
      <c r="AH38" s="258"/>
      <c r="AI38" s="258"/>
      <c r="AJ38" s="258"/>
      <c r="AK38" s="258"/>
      <c r="AL38" s="258"/>
      <c r="AM38" s="258"/>
      <c r="AN38" s="258"/>
      <c r="AO38" s="258"/>
      <c r="AP38" s="258"/>
      <c r="AQ38" s="258"/>
      <c r="AR38" s="258"/>
      <c r="AS38" s="258"/>
      <c r="AT38" s="258"/>
      <c r="AU38" s="258"/>
      <c r="AV38" s="258"/>
    </row>
    <row r="39" spans="1:48" s="249" customFormat="1" ht="31.5" x14ac:dyDescent="0.25">
      <c r="A39" s="247"/>
      <c r="B39" s="258"/>
      <c r="C39" s="258"/>
      <c r="D39" s="258"/>
      <c r="E39" s="258"/>
      <c r="F39" s="258"/>
      <c r="G39" s="258"/>
      <c r="H39" s="258"/>
      <c r="I39" s="258"/>
      <c r="J39" s="258"/>
      <c r="K39" s="258"/>
      <c r="L39" s="258"/>
      <c r="M39" s="258"/>
      <c r="N39" s="258"/>
      <c r="O39" s="258"/>
      <c r="P39" s="258"/>
      <c r="Q39" s="258"/>
      <c r="R39" s="258"/>
      <c r="S39" s="258"/>
      <c r="T39" s="258"/>
      <c r="U39" s="258"/>
      <c r="V39" s="258"/>
      <c r="W39" s="252" t="s">
        <v>639</v>
      </c>
      <c r="X39" s="260">
        <v>22076.181</v>
      </c>
      <c r="Y39" s="252" t="s">
        <v>639</v>
      </c>
      <c r="Z39" s="252"/>
      <c r="AA39" s="260"/>
      <c r="AB39" s="260"/>
      <c r="AC39" s="258"/>
      <c r="AD39" s="258"/>
      <c r="AE39" s="258"/>
      <c r="AF39" s="258"/>
      <c r="AG39" s="258"/>
      <c r="AH39" s="258"/>
      <c r="AI39" s="258"/>
      <c r="AJ39" s="258"/>
      <c r="AK39" s="258"/>
      <c r="AL39" s="258"/>
      <c r="AM39" s="258"/>
      <c r="AN39" s="258"/>
      <c r="AO39" s="258"/>
      <c r="AP39" s="258"/>
      <c r="AQ39" s="258"/>
      <c r="AR39" s="258"/>
      <c r="AS39" s="258"/>
      <c r="AT39" s="258"/>
      <c r="AU39" s="258"/>
      <c r="AV39" s="258"/>
    </row>
    <row r="40" spans="1:48" s="249" customFormat="1" ht="31.5" x14ac:dyDescent="0.25">
      <c r="A40" s="247"/>
      <c r="B40" s="258"/>
      <c r="C40" s="258"/>
      <c r="D40" s="258"/>
      <c r="E40" s="258"/>
      <c r="F40" s="258"/>
      <c r="G40" s="258"/>
      <c r="H40" s="258"/>
      <c r="I40" s="258"/>
      <c r="J40" s="258"/>
      <c r="K40" s="258"/>
      <c r="L40" s="258"/>
      <c r="M40" s="258"/>
      <c r="N40" s="258"/>
      <c r="O40" s="258"/>
      <c r="P40" s="258"/>
      <c r="Q40" s="258"/>
      <c r="R40" s="258"/>
      <c r="S40" s="258"/>
      <c r="T40" s="258"/>
      <c r="U40" s="258"/>
      <c r="V40" s="258"/>
      <c r="W40" s="252" t="s">
        <v>640</v>
      </c>
      <c r="X40" s="260">
        <v>23617.562000000002</v>
      </c>
      <c r="Y40" s="252"/>
      <c r="Z40" s="252"/>
      <c r="AA40" s="260">
        <v>23617.562000000002</v>
      </c>
      <c r="AB40" s="260"/>
      <c r="AC40" s="258"/>
      <c r="AD40" s="258"/>
      <c r="AE40" s="258"/>
      <c r="AF40" s="258"/>
      <c r="AG40" s="258"/>
      <c r="AH40" s="258"/>
      <c r="AI40" s="258"/>
      <c r="AJ40" s="258"/>
      <c r="AK40" s="258"/>
      <c r="AL40" s="258"/>
      <c r="AM40" s="258"/>
      <c r="AN40" s="258"/>
      <c r="AO40" s="258"/>
      <c r="AP40" s="258"/>
      <c r="AQ40" s="258"/>
      <c r="AR40" s="258"/>
      <c r="AS40" s="258"/>
      <c r="AT40" s="258"/>
      <c r="AU40" s="258"/>
      <c r="AV40" s="258"/>
    </row>
    <row r="41" spans="1:48" s="249" customFormat="1" ht="31.5" x14ac:dyDescent="0.25">
      <c r="A41" s="247"/>
      <c r="B41" s="258"/>
      <c r="C41" s="258"/>
      <c r="D41" s="258"/>
      <c r="E41" s="258"/>
      <c r="F41" s="258"/>
      <c r="G41" s="258"/>
      <c r="H41" s="258"/>
      <c r="I41" s="258"/>
      <c r="J41" s="258"/>
      <c r="K41" s="258"/>
      <c r="L41" s="258"/>
      <c r="M41" s="258"/>
      <c r="N41" s="258"/>
      <c r="O41" s="258"/>
      <c r="P41" s="258"/>
      <c r="Q41" s="258"/>
      <c r="R41" s="258"/>
      <c r="S41" s="258"/>
      <c r="T41" s="258"/>
      <c r="U41" s="258"/>
      <c r="V41" s="258"/>
      <c r="W41" s="252" t="s">
        <v>641</v>
      </c>
      <c r="X41" s="260">
        <v>23680.508000000002</v>
      </c>
      <c r="Y41" s="252" t="s">
        <v>641</v>
      </c>
      <c r="Z41" s="252"/>
      <c r="AA41" s="260"/>
      <c r="AB41" s="260"/>
      <c r="AC41" s="258"/>
      <c r="AD41" s="258"/>
      <c r="AE41" s="258"/>
      <c r="AF41" s="258"/>
      <c r="AG41" s="258"/>
      <c r="AH41" s="258"/>
      <c r="AI41" s="258"/>
      <c r="AJ41" s="258"/>
      <c r="AK41" s="258"/>
      <c r="AL41" s="258"/>
      <c r="AM41" s="258"/>
      <c r="AN41" s="258"/>
      <c r="AO41" s="258"/>
      <c r="AP41" s="258"/>
      <c r="AQ41" s="258"/>
      <c r="AR41" s="258"/>
      <c r="AS41" s="258"/>
      <c r="AT41" s="258"/>
      <c r="AU41" s="258"/>
      <c r="AV41" s="258"/>
    </row>
    <row r="42" spans="1:48" s="263" customFormat="1" ht="78.75" x14ac:dyDescent="0.25">
      <c r="A42" s="247">
        <v>2</v>
      </c>
      <c r="B42" s="255" t="s">
        <v>481</v>
      </c>
      <c r="C42" s="255" t="s">
        <v>65</v>
      </c>
      <c r="D42" s="248">
        <v>42887</v>
      </c>
      <c r="E42" s="255"/>
      <c r="F42" s="255"/>
      <c r="G42" s="255">
        <v>20</v>
      </c>
      <c r="H42" s="255"/>
      <c r="I42" s="255"/>
      <c r="J42" s="255"/>
      <c r="K42" s="255">
        <v>7.52</v>
      </c>
      <c r="L42" s="255"/>
      <c r="M42" s="255" t="s">
        <v>574</v>
      </c>
      <c r="N42" s="255" t="s">
        <v>573</v>
      </c>
      <c r="O42" s="260" t="s">
        <v>575</v>
      </c>
      <c r="P42" s="253">
        <v>530.98400000000004</v>
      </c>
      <c r="Q42" s="255" t="s">
        <v>576</v>
      </c>
      <c r="R42" s="253">
        <v>530.98400000000004</v>
      </c>
      <c r="S42" s="253" t="s">
        <v>577</v>
      </c>
      <c r="T42" s="253" t="s">
        <v>578</v>
      </c>
      <c r="U42" s="253">
        <v>1</v>
      </c>
      <c r="V42" s="253">
        <v>1</v>
      </c>
      <c r="W42" s="253" t="s">
        <v>579</v>
      </c>
      <c r="X42" s="255">
        <v>530.98400000000004</v>
      </c>
      <c r="Y42" s="255"/>
      <c r="Z42" s="255"/>
      <c r="AA42" s="255"/>
      <c r="AB42" s="255">
        <v>530.98400000000004</v>
      </c>
      <c r="AC42" s="253" t="s">
        <v>579</v>
      </c>
      <c r="AD42" s="255">
        <v>626.55999999999995</v>
      </c>
      <c r="AE42" s="255"/>
      <c r="AF42" s="260" t="s">
        <v>580</v>
      </c>
      <c r="AG42" s="260" t="s">
        <v>580</v>
      </c>
      <c r="AH42" s="260">
        <v>42004</v>
      </c>
      <c r="AI42" s="260">
        <v>42004</v>
      </c>
      <c r="AJ42" s="260">
        <v>42004</v>
      </c>
      <c r="AK42" s="260">
        <v>42004</v>
      </c>
      <c r="AL42" s="255"/>
      <c r="AM42" s="255" t="s">
        <v>581</v>
      </c>
      <c r="AN42" s="255">
        <v>42004</v>
      </c>
      <c r="AO42" s="255" t="s">
        <v>582</v>
      </c>
      <c r="AP42" s="255"/>
      <c r="AQ42" s="255"/>
      <c r="AR42" s="255"/>
      <c r="AS42" s="255"/>
      <c r="AT42" s="255"/>
      <c r="AU42" s="255"/>
      <c r="AV42" s="255"/>
    </row>
    <row r="43" spans="1:48" s="261" customFormat="1" ht="63" x14ac:dyDescent="0.25">
      <c r="A43" s="247">
        <v>3</v>
      </c>
      <c r="B43" s="255" t="s">
        <v>481</v>
      </c>
      <c r="C43" s="255" t="s">
        <v>65</v>
      </c>
      <c r="D43" s="248">
        <v>42887</v>
      </c>
      <c r="E43" s="255"/>
      <c r="F43" s="255"/>
      <c r="G43" s="255">
        <v>20</v>
      </c>
      <c r="H43" s="255"/>
      <c r="I43" s="255"/>
      <c r="J43" s="255"/>
      <c r="K43" s="255">
        <v>7.52</v>
      </c>
      <c r="L43" s="255"/>
      <c r="M43" s="255" t="s">
        <v>584</v>
      </c>
      <c r="N43" s="255" t="s">
        <v>583</v>
      </c>
      <c r="O43" s="260" t="s">
        <v>575</v>
      </c>
      <c r="P43" s="253">
        <v>382286.17</v>
      </c>
      <c r="Q43" s="255" t="s">
        <v>585</v>
      </c>
      <c r="R43" s="253">
        <v>382286.17</v>
      </c>
      <c r="S43" s="253" t="s">
        <v>586</v>
      </c>
      <c r="T43" s="253" t="s">
        <v>586</v>
      </c>
      <c r="U43" s="255">
        <v>13</v>
      </c>
      <c r="V43" s="255">
        <v>7</v>
      </c>
      <c r="W43" s="253" t="s">
        <v>587</v>
      </c>
      <c r="X43" s="253">
        <v>380428.37199999997</v>
      </c>
      <c r="Y43" s="253"/>
      <c r="Z43" s="253">
        <v>1</v>
      </c>
      <c r="AA43" s="253">
        <v>374381.45699999999</v>
      </c>
      <c r="AB43" s="253">
        <v>374381.46</v>
      </c>
      <c r="AC43" s="253" t="s">
        <v>587</v>
      </c>
      <c r="AD43" s="255">
        <v>437303.28</v>
      </c>
      <c r="AE43" s="255"/>
      <c r="AF43" s="254">
        <v>45117</v>
      </c>
      <c r="AG43" s="254" t="s">
        <v>594</v>
      </c>
      <c r="AH43" s="262">
        <v>42124</v>
      </c>
      <c r="AI43" s="262">
        <v>42124</v>
      </c>
      <c r="AJ43" s="262">
        <v>42158</v>
      </c>
      <c r="AK43" s="262">
        <v>42199</v>
      </c>
      <c r="AL43" s="255"/>
      <c r="AM43" s="255"/>
      <c r="AN43" s="255"/>
      <c r="AO43" s="255"/>
      <c r="AP43" s="262">
        <v>42209</v>
      </c>
      <c r="AQ43" s="262">
        <v>42209</v>
      </c>
      <c r="AR43" s="262">
        <v>42209</v>
      </c>
      <c r="AS43" s="262">
        <v>42209</v>
      </c>
      <c r="AT43" s="262">
        <v>42818</v>
      </c>
      <c r="AU43" s="255"/>
      <c r="AV43" s="255" t="s">
        <v>601</v>
      </c>
    </row>
    <row r="44" spans="1:48" s="259" customFormat="1" ht="47.25" x14ac:dyDescent="0.25">
      <c r="A44" s="247"/>
      <c r="B44" s="258"/>
      <c r="C44" s="258"/>
      <c r="D44" s="258"/>
      <c r="E44" s="258"/>
      <c r="F44" s="258"/>
      <c r="G44" s="258"/>
      <c r="H44" s="258"/>
      <c r="I44" s="258"/>
      <c r="J44" s="258"/>
      <c r="K44" s="258"/>
      <c r="L44" s="258"/>
      <c r="M44" s="258"/>
      <c r="N44" s="258"/>
      <c r="O44" s="258"/>
      <c r="P44" s="258"/>
      <c r="Q44" s="258"/>
      <c r="R44" s="258"/>
      <c r="S44" s="258"/>
      <c r="T44" s="258"/>
      <c r="U44" s="258"/>
      <c r="V44" s="258"/>
      <c r="W44" s="254" t="s">
        <v>588</v>
      </c>
      <c r="X44" s="253">
        <v>378460.58</v>
      </c>
      <c r="Y44" s="254" t="s">
        <v>588</v>
      </c>
      <c r="Z44" s="258"/>
      <c r="AA44" s="258"/>
      <c r="AB44" s="258"/>
      <c r="AC44" s="258"/>
      <c r="AD44" s="258"/>
      <c r="AE44" s="258"/>
      <c r="AF44" s="258"/>
      <c r="AG44" s="258"/>
      <c r="AH44" s="258"/>
      <c r="AI44" s="258"/>
      <c r="AJ44" s="258"/>
      <c r="AK44" s="258"/>
      <c r="AL44" s="258"/>
      <c r="AM44" s="258"/>
      <c r="AN44" s="258"/>
      <c r="AO44" s="258"/>
      <c r="AP44" s="258"/>
      <c r="AQ44" s="258"/>
      <c r="AR44" s="258"/>
      <c r="AS44" s="258"/>
      <c r="AT44" s="258"/>
      <c r="AU44" s="258"/>
      <c r="AV44" s="258"/>
    </row>
    <row r="45" spans="1:48" s="259" customFormat="1" ht="31.5" x14ac:dyDescent="0.25">
      <c r="A45" s="247"/>
      <c r="B45" s="258"/>
      <c r="C45" s="258"/>
      <c r="D45" s="258"/>
      <c r="E45" s="258"/>
      <c r="F45" s="258"/>
      <c r="G45" s="258"/>
      <c r="H45" s="258"/>
      <c r="I45" s="258"/>
      <c r="J45" s="258"/>
      <c r="K45" s="258"/>
      <c r="L45" s="258"/>
      <c r="M45" s="258"/>
      <c r="N45" s="258"/>
      <c r="O45" s="258"/>
      <c r="P45" s="258"/>
      <c r="Q45" s="258"/>
      <c r="R45" s="258"/>
      <c r="S45" s="258"/>
      <c r="T45" s="258"/>
      <c r="U45" s="258"/>
      <c r="V45" s="258"/>
      <c r="W45" s="254" t="s">
        <v>589</v>
      </c>
      <c r="X45" s="253">
        <v>381862.44099999999</v>
      </c>
      <c r="Y45" s="254" t="s">
        <v>589</v>
      </c>
      <c r="Z45" s="258"/>
      <c r="AA45" s="258"/>
      <c r="AB45" s="258"/>
      <c r="AC45" s="258"/>
      <c r="AD45" s="258"/>
      <c r="AE45" s="258"/>
      <c r="AF45" s="258"/>
      <c r="AG45" s="258"/>
      <c r="AH45" s="258"/>
      <c r="AI45" s="258"/>
      <c r="AJ45" s="258"/>
      <c r="AK45" s="258"/>
      <c r="AL45" s="258"/>
      <c r="AM45" s="258"/>
      <c r="AN45" s="258"/>
      <c r="AO45" s="258"/>
      <c r="AP45" s="258"/>
      <c r="AQ45" s="258"/>
      <c r="AR45" s="258"/>
      <c r="AS45" s="258"/>
      <c r="AT45" s="258"/>
      <c r="AU45" s="258"/>
      <c r="AV45" s="258"/>
    </row>
    <row r="46" spans="1:48" s="259" customFormat="1" ht="15.75" x14ac:dyDescent="0.25">
      <c r="A46" s="247"/>
      <c r="B46" s="258"/>
      <c r="C46" s="258"/>
      <c r="D46" s="258"/>
      <c r="E46" s="258"/>
      <c r="F46" s="258"/>
      <c r="G46" s="258"/>
      <c r="H46" s="258"/>
      <c r="I46" s="258"/>
      <c r="J46" s="258"/>
      <c r="K46" s="258"/>
      <c r="L46" s="258"/>
      <c r="M46" s="258"/>
      <c r="N46" s="258"/>
      <c r="O46" s="258"/>
      <c r="P46" s="258"/>
      <c r="Q46" s="258"/>
      <c r="R46" s="258"/>
      <c r="S46" s="258"/>
      <c r="T46" s="258"/>
      <c r="U46" s="258"/>
      <c r="V46" s="258"/>
      <c r="W46" s="254" t="s">
        <v>590</v>
      </c>
      <c r="X46" s="253">
        <v>370817.57199999999</v>
      </c>
      <c r="Y46" s="254" t="s">
        <v>590</v>
      </c>
      <c r="Z46" s="258"/>
      <c r="AA46" s="258"/>
      <c r="AB46" s="258"/>
      <c r="AC46" s="258"/>
      <c r="AD46" s="258"/>
      <c r="AE46" s="258"/>
      <c r="AF46" s="258"/>
      <c r="AG46" s="258"/>
      <c r="AH46" s="258"/>
      <c r="AI46" s="258"/>
      <c r="AJ46" s="258"/>
      <c r="AK46" s="258"/>
      <c r="AL46" s="258"/>
      <c r="AM46" s="258"/>
      <c r="AN46" s="258"/>
      <c r="AO46" s="258"/>
      <c r="AP46" s="258"/>
      <c r="AQ46" s="258"/>
      <c r="AR46" s="258"/>
      <c r="AS46" s="258"/>
      <c r="AT46" s="258"/>
      <c r="AU46" s="258"/>
      <c r="AV46" s="258"/>
    </row>
    <row r="47" spans="1:48" s="259" customFormat="1" ht="63" x14ac:dyDescent="0.25">
      <c r="A47" s="247"/>
      <c r="B47" s="258"/>
      <c r="C47" s="258"/>
      <c r="D47" s="258"/>
      <c r="E47" s="258"/>
      <c r="F47" s="258"/>
      <c r="G47" s="258"/>
      <c r="H47" s="258"/>
      <c r="I47" s="258"/>
      <c r="J47" s="258"/>
      <c r="K47" s="258"/>
      <c r="L47" s="258"/>
      <c r="M47" s="258"/>
      <c r="N47" s="258"/>
      <c r="O47" s="258"/>
      <c r="P47" s="258"/>
      <c r="Q47" s="258"/>
      <c r="R47" s="258"/>
      <c r="S47" s="258"/>
      <c r="T47" s="258"/>
      <c r="U47" s="258"/>
      <c r="V47" s="258"/>
      <c r="W47" s="254" t="s">
        <v>591</v>
      </c>
      <c r="X47" s="253">
        <v>382286.16700000002</v>
      </c>
      <c r="Y47" s="254"/>
      <c r="Z47" s="258"/>
      <c r="AA47" s="253">
        <v>380736.16700000002</v>
      </c>
      <c r="AB47" s="258"/>
      <c r="AC47" s="258"/>
      <c r="AD47" s="258"/>
      <c r="AE47" s="258"/>
      <c r="AF47" s="258"/>
      <c r="AG47" s="258"/>
      <c r="AH47" s="258"/>
      <c r="AI47" s="258"/>
      <c r="AJ47" s="258"/>
      <c r="AK47" s="258"/>
      <c r="AL47" s="258"/>
      <c r="AM47" s="258"/>
      <c r="AN47" s="258"/>
      <c r="AO47" s="258"/>
      <c r="AP47" s="258"/>
      <c r="AQ47" s="258"/>
      <c r="AR47" s="258"/>
      <c r="AS47" s="258"/>
      <c r="AT47" s="258"/>
      <c r="AU47" s="258"/>
      <c r="AV47" s="258"/>
    </row>
    <row r="48" spans="1:48" s="259" customFormat="1" ht="15.75" x14ac:dyDescent="0.25">
      <c r="A48" s="247"/>
      <c r="B48" s="258"/>
      <c r="C48" s="258"/>
      <c r="D48" s="258"/>
      <c r="E48" s="258"/>
      <c r="F48" s="258"/>
      <c r="G48" s="258"/>
      <c r="H48" s="258"/>
      <c r="I48" s="258"/>
      <c r="J48" s="258"/>
      <c r="K48" s="258"/>
      <c r="L48" s="258"/>
      <c r="M48" s="258"/>
      <c r="N48" s="258"/>
      <c r="O48" s="258"/>
      <c r="P48" s="258"/>
      <c r="Q48" s="258"/>
      <c r="R48" s="258"/>
      <c r="S48" s="258"/>
      <c r="T48" s="258"/>
      <c r="U48" s="258"/>
      <c r="V48" s="258"/>
      <c r="W48" s="254" t="s">
        <v>592</v>
      </c>
      <c r="X48" s="253">
        <v>378796.58500000002</v>
      </c>
      <c r="Y48" s="254"/>
      <c r="Z48" s="258"/>
      <c r="AA48" s="253">
        <v>378796.58500000002</v>
      </c>
      <c r="AB48" s="258"/>
      <c r="AC48" s="258"/>
      <c r="AD48" s="258"/>
      <c r="AE48" s="258"/>
      <c r="AF48" s="258"/>
      <c r="AG48" s="258"/>
      <c r="AH48" s="258"/>
      <c r="AI48" s="258"/>
      <c r="AJ48" s="258"/>
      <c r="AK48" s="258"/>
      <c r="AL48" s="258"/>
      <c r="AM48" s="258"/>
      <c r="AN48" s="258"/>
      <c r="AO48" s="258"/>
      <c r="AP48" s="258"/>
      <c r="AQ48" s="258"/>
      <c r="AR48" s="258"/>
      <c r="AS48" s="258"/>
      <c r="AT48" s="258"/>
      <c r="AU48" s="258"/>
      <c r="AV48" s="258"/>
    </row>
    <row r="49" spans="1:48" s="259" customFormat="1" ht="63" x14ac:dyDescent="0.25">
      <c r="A49" s="247"/>
      <c r="B49" s="258"/>
      <c r="C49" s="258"/>
      <c r="D49" s="258"/>
      <c r="E49" s="258"/>
      <c r="F49" s="258"/>
      <c r="G49" s="258"/>
      <c r="H49" s="258"/>
      <c r="I49" s="258"/>
      <c r="J49" s="258"/>
      <c r="K49" s="258"/>
      <c r="L49" s="258"/>
      <c r="M49" s="258"/>
      <c r="N49" s="258"/>
      <c r="O49" s="258"/>
      <c r="P49" s="258"/>
      <c r="Q49" s="258"/>
      <c r="R49" s="258"/>
      <c r="S49" s="258"/>
      <c r="T49" s="258"/>
      <c r="U49" s="258"/>
      <c r="V49" s="258"/>
      <c r="W49" s="254" t="s">
        <v>593</v>
      </c>
      <c r="X49" s="253">
        <v>372635.60200000001</v>
      </c>
      <c r="Y49" s="254" t="s">
        <v>593</v>
      </c>
      <c r="Z49" s="258"/>
      <c r="AA49" s="258"/>
      <c r="AB49" s="258"/>
      <c r="AC49" s="258"/>
      <c r="AD49" s="258"/>
      <c r="AE49" s="258"/>
      <c r="AF49" s="258"/>
      <c r="AG49" s="258"/>
      <c r="AH49" s="258"/>
      <c r="AI49" s="258"/>
      <c r="AJ49" s="258"/>
      <c r="AK49" s="258"/>
      <c r="AL49" s="258"/>
      <c r="AM49" s="258"/>
      <c r="AN49" s="258"/>
      <c r="AO49" s="258"/>
      <c r="AP49" s="258"/>
      <c r="AQ49" s="258"/>
      <c r="AR49" s="258"/>
      <c r="AS49" s="258"/>
      <c r="AT49" s="258"/>
      <c r="AU49" s="258"/>
      <c r="AV49" s="258"/>
    </row>
    <row r="50" spans="1:48" s="259" customFormat="1" ht="63" x14ac:dyDescent="0.25">
      <c r="A50" s="247">
        <v>4</v>
      </c>
      <c r="B50" s="255" t="s">
        <v>481</v>
      </c>
      <c r="C50" s="258">
        <v>1</v>
      </c>
      <c r="D50" s="248">
        <v>42887</v>
      </c>
      <c r="E50" s="255"/>
      <c r="F50" s="255"/>
      <c r="G50" s="255">
        <v>20</v>
      </c>
      <c r="H50" s="255"/>
      <c r="I50" s="255"/>
      <c r="J50" s="255"/>
      <c r="K50" s="255">
        <v>7.52</v>
      </c>
      <c r="L50" s="258"/>
      <c r="M50" s="258" t="s">
        <v>574</v>
      </c>
      <c r="N50" s="258" t="s">
        <v>595</v>
      </c>
      <c r="O50" s="260" t="s">
        <v>575</v>
      </c>
      <c r="P50" s="253">
        <v>739.83</v>
      </c>
      <c r="Q50" s="254" t="s">
        <v>596</v>
      </c>
      <c r="R50" s="253">
        <v>739.83</v>
      </c>
      <c r="S50" s="254" t="s">
        <v>578</v>
      </c>
      <c r="T50" s="254" t="s">
        <v>578</v>
      </c>
      <c r="U50" s="258">
        <v>1</v>
      </c>
      <c r="V50" s="258">
        <v>1</v>
      </c>
      <c r="W50" s="254" t="s">
        <v>597</v>
      </c>
      <c r="X50" s="253">
        <v>739.83</v>
      </c>
      <c r="Y50" s="258"/>
      <c r="Z50" s="258"/>
      <c r="AA50" s="253"/>
      <c r="AB50" s="253">
        <v>739.83</v>
      </c>
      <c r="AC50" s="254" t="s">
        <v>597</v>
      </c>
      <c r="AD50" s="258">
        <v>872.99</v>
      </c>
      <c r="AE50" s="258"/>
      <c r="AF50" s="254">
        <v>315026916</v>
      </c>
      <c r="AG50" s="254" t="s">
        <v>598</v>
      </c>
      <c r="AH50" s="262">
        <v>42237</v>
      </c>
      <c r="AI50" s="262">
        <v>42237</v>
      </c>
      <c r="AJ50" s="262">
        <v>42237</v>
      </c>
      <c r="AK50" s="262">
        <v>42237</v>
      </c>
      <c r="AL50" s="254" t="s">
        <v>599</v>
      </c>
      <c r="AM50" s="254" t="s">
        <v>581</v>
      </c>
      <c r="AN50" s="262">
        <v>42237</v>
      </c>
      <c r="AO50" s="264" t="s">
        <v>600</v>
      </c>
      <c r="AP50" s="258"/>
      <c r="AQ50" s="258"/>
      <c r="AR50" s="258"/>
      <c r="AS50" s="258"/>
      <c r="AT50" s="258"/>
      <c r="AU50" s="258"/>
      <c r="AV50" s="258"/>
    </row>
    <row r="51" spans="1:48" s="273" customFormat="1" ht="63" x14ac:dyDescent="0.25">
      <c r="A51" s="277">
        <v>5</v>
      </c>
      <c r="B51" s="268" t="s">
        <v>481</v>
      </c>
      <c r="C51" s="267">
        <v>1</v>
      </c>
      <c r="D51" s="269">
        <v>42887</v>
      </c>
      <c r="E51" s="268"/>
      <c r="F51" s="268"/>
      <c r="G51" s="268">
        <v>20</v>
      </c>
      <c r="H51" s="268"/>
      <c r="I51" s="268"/>
      <c r="J51" s="268"/>
      <c r="K51" s="268">
        <v>7.52</v>
      </c>
      <c r="L51" s="267"/>
      <c r="M51" s="267" t="s">
        <v>584</v>
      </c>
      <c r="N51" s="267" t="s">
        <v>602</v>
      </c>
      <c r="O51" s="270" t="s">
        <v>575</v>
      </c>
      <c r="P51" s="271">
        <v>272180.02</v>
      </c>
      <c r="Q51" s="267" t="s">
        <v>585</v>
      </c>
      <c r="R51" s="271">
        <v>272180.02</v>
      </c>
      <c r="S51" s="272" t="s">
        <v>603</v>
      </c>
      <c r="T51" s="272" t="s">
        <v>604</v>
      </c>
      <c r="U51" s="272" t="s">
        <v>65</v>
      </c>
      <c r="V51" s="272" t="s">
        <v>65</v>
      </c>
      <c r="W51" s="272" t="s">
        <v>605</v>
      </c>
      <c r="X51" s="271">
        <v>272180.02</v>
      </c>
      <c r="Y51" s="267"/>
      <c r="Z51" s="267"/>
      <c r="AA51" s="267"/>
      <c r="AB51" s="271">
        <v>272180.02</v>
      </c>
      <c r="AC51" s="272" t="s">
        <v>605</v>
      </c>
      <c r="AD51" s="271">
        <v>321172.42</v>
      </c>
      <c r="AE51" s="267"/>
      <c r="AF51" s="266" t="s">
        <v>606</v>
      </c>
      <c r="AG51" s="266" t="s">
        <v>598</v>
      </c>
      <c r="AH51" s="266" t="s">
        <v>607</v>
      </c>
      <c r="AI51" s="274">
        <v>42405</v>
      </c>
      <c r="AJ51" s="266" t="s">
        <v>608</v>
      </c>
      <c r="AK51" s="266" t="s">
        <v>609</v>
      </c>
      <c r="AL51" s="267"/>
      <c r="AM51" s="267"/>
      <c r="AN51" s="267"/>
      <c r="AO51" s="267"/>
      <c r="AP51" s="266" t="s">
        <v>610</v>
      </c>
      <c r="AQ51" s="266" t="s">
        <v>610</v>
      </c>
      <c r="AR51" s="266" t="s">
        <v>610</v>
      </c>
      <c r="AS51" s="266" t="s">
        <v>610</v>
      </c>
      <c r="AT51" s="266" t="s">
        <v>612</v>
      </c>
      <c r="AU51" s="267"/>
      <c r="AV51" s="266" t="s">
        <v>611</v>
      </c>
    </row>
    <row r="52" spans="1:48" s="259" customFormat="1" ht="63" x14ac:dyDescent="0.25">
      <c r="A52" s="247">
        <v>6</v>
      </c>
      <c r="B52" s="268" t="s">
        <v>481</v>
      </c>
      <c r="C52" s="267">
        <v>1</v>
      </c>
      <c r="D52" s="269">
        <v>42887</v>
      </c>
      <c r="E52" s="268"/>
      <c r="F52" s="268"/>
      <c r="G52" s="268">
        <v>20</v>
      </c>
      <c r="H52" s="268"/>
      <c r="I52" s="268"/>
      <c r="J52" s="268"/>
      <c r="K52" s="268">
        <v>7.52</v>
      </c>
      <c r="L52" s="258"/>
      <c r="M52" s="258" t="s">
        <v>574</v>
      </c>
      <c r="N52" s="258" t="s">
        <v>613</v>
      </c>
      <c r="O52" s="270" t="s">
        <v>575</v>
      </c>
      <c r="P52" s="265">
        <v>4949.2709999999997</v>
      </c>
      <c r="Q52" s="258" t="s">
        <v>585</v>
      </c>
      <c r="R52" s="265">
        <v>4949.2709999999997</v>
      </c>
      <c r="S52" s="266" t="s">
        <v>614</v>
      </c>
      <c r="T52" s="266" t="s">
        <v>614</v>
      </c>
      <c r="U52" s="266" t="s">
        <v>63</v>
      </c>
      <c r="V52" s="266" t="s">
        <v>63</v>
      </c>
      <c r="W52" s="266" t="s">
        <v>615</v>
      </c>
      <c r="X52" s="265">
        <v>4850.2849999999999</v>
      </c>
      <c r="Y52" s="258"/>
      <c r="Z52" s="258"/>
      <c r="AA52" s="258"/>
      <c r="AB52" s="265">
        <v>4850.2849999999999</v>
      </c>
      <c r="AC52" s="266" t="s">
        <v>615</v>
      </c>
      <c r="AD52" s="258">
        <v>5723.34</v>
      </c>
      <c r="AE52" s="258">
        <v>5723.34</v>
      </c>
      <c r="AF52" s="266" t="s">
        <v>617</v>
      </c>
      <c r="AG52" s="266" t="s">
        <v>598</v>
      </c>
      <c r="AH52" s="266" t="s">
        <v>618</v>
      </c>
      <c r="AI52" s="266" t="s">
        <v>618</v>
      </c>
      <c r="AJ52" s="266" t="s">
        <v>619</v>
      </c>
      <c r="AK52" s="266" t="s">
        <v>620</v>
      </c>
      <c r="AL52" s="258"/>
      <c r="AM52" s="258"/>
      <c r="AN52" s="258"/>
      <c r="AO52" s="258"/>
      <c r="AP52" s="266" t="s">
        <v>621</v>
      </c>
      <c r="AQ52" s="266" t="s">
        <v>621</v>
      </c>
      <c r="AR52" s="266" t="s">
        <v>622</v>
      </c>
      <c r="AS52" s="266" t="s">
        <v>622</v>
      </c>
      <c r="AT52" s="266" t="s">
        <v>612</v>
      </c>
      <c r="AU52" s="258"/>
      <c r="AV52" s="266" t="s">
        <v>623</v>
      </c>
    </row>
    <row r="53" spans="1:48" s="259" customFormat="1" ht="15.75" x14ac:dyDescent="0.25">
      <c r="A53" s="247"/>
      <c r="B53" s="258"/>
      <c r="C53" s="258"/>
      <c r="D53" s="258"/>
      <c r="E53" s="258"/>
      <c r="F53" s="258"/>
      <c r="G53" s="258"/>
      <c r="H53" s="258"/>
      <c r="I53" s="258"/>
      <c r="J53" s="258"/>
      <c r="K53" s="258"/>
      <c r="L53" s="258"/>
      <c r="M53" s="258"/>
      <c r="N53" s="258"/>
      <c r="O53" s="258"/>
      <c r="P53" s="258"/>
      <c r="Q53" s="258"/>
      <c r="R53" s="258"/>
      <c r="S53" s="258"/>
      <c r="T53" s="258"/>
      <c r="U53" s="258"/>
      <c r="V53" s="258"/>
      <c r="W53" s="266" t="s">
        <v>616</v>
      </c>
      <c r="X53" s="265">
        <v>4946.72</v>
      </c>
      <c r="Y53" s="258"/>
      <c r="Z53" s="258"/>
      <c r="AA53" s="258"/>
      <c r="AB53" s="258"/>
      <c r="AC53" s="258"/>
      <c r="AD53" s="258"/>
      <c r="AE53" s="258"/>
      <c r="AF53" s="258"/>
      <c r="AG53" s="258"/>
      <c r="AH53" s="258"/>
      <c r="AI53" s="258"/>
      <c r="AJ53" s="258"/>
      <c r="AK53" s="258"/>
      <c r="AL53" s="258"/>
      <c r="AM53" s="258"/>
      <c r="AN53" s="258"/>
      <c r="AO53" s="258"/>
      <c r="AP53" s="258"/>
      <c r="AQ53" s="258"/>
      <c r="AR53" s="258"/>
      <c r="AS53" s="258"/>
      <c r="AT53" s="258"/>
      <c r="AU53" s="258"/>
      <c r="AV53" s="258"/>
    </row>
    <row r="54" spans="1:48" s="259" customFormat="1" ht="15.75" x14ac:dyDescent="0.25">
      <c r="A54" s="247"/>
      <c r="B54" s="258"/>
      <c r="C54" s="258"/>
      <c r="D54" s="258"/>
      <c r="E54" s="258"/>
      <c r="F54" s="258"/>
      <c r="G54" s="258"/>
      <c r="H54" s="258"/>
      <c r="I54" s="258"/>
      <c r="J54" s="258"/>
      <c r="K54" s="258"/>
      <c r="L54" s="258"/>
      <c r="M54" s="258"/>
      <c r="N54" s="258"/>
      <c r="O54" s="258"/>
      <c r="P54" s="258"/>
      <c r="Q54" s="258"/>
      <c r="R54" s="258"/>
      <c r="S54" s="258"/>
      <c r="T54" s="258"/>
      <c r="U54" s="258"/>
      <c r="V54" s="258"/>
      <c r="W54" s="258"/>
      <c r="X54" s="258"/>
      <c r="Y54" s="258"/>
      <c r="Z54" s="258"/>
      <c r="AA54" s="258"/>
      <c r="AB54" s="258"/>
      <c r="AC54" s="258"/>
      <c r="AD54" s="258"/>
      <c r="AE54" s="258"/>
      <c r="AF54" s="258"/>
      <c r="AG54" s="258"/>
      <c r="AH54" s="258"/>
      <c r="AI54" s="258"/>
      <c r="AJ54" s="258"/>
      <c r="AK54" s="258"/>
      <c r="AL54" s="258"/>
      <c r="AM54" s="258"/>
      <c r="AN54" s="258"/>
      <c r="AO54" s="258"/>
      <c r="AP54" s="258"/>
      <c r="AQ54" s="258"/>
      <c r="AR54" s="258"/>
      <c r="AS54" s="258"/>
      <c r="AT54" s="258"/>
      <c r="AU54" s="258"/>
      <c r="AV54" s="258"/>
    </row>
    <row r="55" spans="1:48" s="259" customFormat="1" ht="15.75" x14ac:dyDescent="0.25">
      <c r="A55" s="247"/>
      <c r="B55" s="258"/>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58"/>
      <c r="AL55" s="258"/>
      <c r="AM55" s="258"/>
      <c r="AN55" s="258"/>
      <c r="AO55" s="258"/>
      <c r="AP55" s="258"/>
      <c r="AQ55" s="258"/>
      <c r="AR55" s="258"/>
      <c r="AS55" s="258"/>
      <c r="AT55" s="258"/>
      <c r="AU55" s="258"/>
      <c r="AV55" s="258"/>
    </row>
    <row r="56" spans="1:48" s="259" customFormat="1" ht="15.75" x14ac:dyDescent="0.25">
      <c r="A56" s="247"/>
      <c r="B56" s="258"/>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8"/>
      <c r="AD56" s="258"/>
      <c r="AE56" s="258"/>
      <c r="AF56" s="258"/>
      <c r="AG56" s="258"/>
      <c r="AH56" s="258"/>
      <c r="AI56" s="258"/>
      <c r="AJ56" s="258"/>
      <c r="AK56" s="258"/>
      <c r="AL56" s="258"/>
      <c r="AM56" s="258"/>
      <c r="AN56" s="258"/>
      <c r="AO56" s="258"/>
      <c r="AP56" s="258"/>
      <c r="AQ56" s="258"/>
      <c r="AR56" s="258"/>
      <c r="AS56" s="258"/>
      <c r="AT56" s="258"/>
      <c r="AU56" s="258"/>
      <c r="AV56" s="258"/>
    </row>
    <row r="57" spans="1:48" s="259" customFormat="1" ht="15.75" x14ac:dyDescent="0.25">
      <c r="A57" s="247"/>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258"/>
      <c r="AI57" s="258"/>
      <c r="AJ57" s="258"/>
      <c r="AK57" s="258"/>
      <c r="AL57" s="258"/>
      <c r="AM57" s="258"/>
      <c r="AN57" s="258"/>
      <c r="AO57" s="258"/>
      <c r="AP57" s="258"/>
      <c r="AQ57" s="258"/>
      <c r="AR57" s="258"/>
      <c r="AS57" s="258"/>
      <c r="AT57" s="258"/>
      <c r="AU57" s="258"/>
      <c r="AV57" s="258"/>
    </row>
    <row r="58" spans="1:48" s="259" customFormat="1" ht="15.75" x14ac:dyDescent="0.25">
      <c r="A58" s="247"/>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58"/>
      <c r="AL58" s="258"/>
      <c r="AM58" s="258"/>
      <c r="AN58" s="258"/>
      <c r="AO58" s="258"/>
      <c r="AP58" s="258"/>
      <c r="AQ58" s="258"/>
      <c r="AR58" s="258"/>
      <c r="AS58" s="258"/>
      <c r="AT58" s="258"/>
      <c r="AU58" s="258"/>
      <c r="AV58" s="258"/>
    </row>
    <row r="59" spans="1:48" s="259" customFormat="1" ht="15.75" x14ac:dyDescent="0.25">
      <c r="A59" s="247"/>
      <c r="B59" s="258"/>
      <c r="C59" s="258"/>
      <c r="D59" s="258"/>
      <c r="E59" s="258"/>
      <c r="F59" s="258"/>
      <c r="G59" s="258"/>
      <c r="H59" s="258"/>
      <c r="I59" s="258"/>
      <c r="J59" s="258"/>
      <c r="K59" s="258"/>
      <c r="L59" s="258"/>
      <c r="M59" s="258"/>
      <c r="N59" s="258"/>
      <c r="O59" s="258"/>
      <c r="P59" s="258"/>
      <c r="Q59" s="258"/>
      <c r="R59" s="258"/>
      <c r="S59" s="258"/>
      <c r="T59" s="258"/>
      <c r="U59" s="258"/>
      <c r="V59" s="258"/>
      <c r="W59" s="258"/>
      <c r="X59" s="258"/>
      <c r="Y59" s="258"/>
      <c r="Z59" s="258"/>
      <c r="AA59" s="258"/>
      <c r="AB59" s="258"/>
      <c r="AC59" s="258"/>
      <c r="AD59" s="258"/>
      <c r="AE59" s="258"/>
      <c r="AF59" s="258"/>
      <c r="AG59" s="258"/>
      <c r="AH59" s="258"/>
      <c r="AI59" s="258"/>
      <c r="AJ59" s="258"/>
      <c r="AK59" s="258"/>
      <c r="AL59" s="258"/>
      <c r="AM59" s="258"/>
      <c r="AN59" s="258"/>
      <c r="AO59" s="258"/>
      <c r="AP59" s="258"/>
      <c r="AQ59" s="258"/>
      <c r="AR59" s="258"/>
      <c r="AS59" s="258"/>
      <c r="AT59" s="258"/>
      <c r="AU59" s="258"/>
      <c r="AV59" s="258"/>
    </row>
    <row r="60" spans="1:48" s="251" customFormat="1" x14ac:dyDescent="0.25">
      <c r="A60" s="278"/>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0"/>
      <c r="AL60" s="250"/>
      <c r="AM60" s="250"/>
      <c r="AN60" s="250"/>
      <c r="AO60" s="250"/>
      <c r="AP60" s="250"/>
      <c r="AQ60" s="250"/>
      <c r="AR60" s="250"/>
      <c r="AS60" s="250"/>
      <c r="AT60" s="250"/>
      <c r="AU60" s="250"/>
      <c r="AV60" s="25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0"/>
  <sheetViews>
    <sheetView tabSelected="1" view="pageBreakPreview" topLeftCell="A10" zoomScale="90" zoomScaleNormal="90" zoomScaleSheetLayoutView="90" workbookViewId="0">
      <selection activeCell="B27" sqref="B27"/>
    </sheetView>
  </sheetViews>
  <sheetFormatPr defaultRowHeight="15.75" x14ac:dyDescent="0.25"/>
  <cols>
    <col min="1" max="2" width="66.140625" style="113" customWidth="1"/>
    <col min="3" max="3" width="8.85546875" style="114" hidden="1" customWidth="1"/>
    <col min="4" max="4" width="0" style="114" hidden="1" customWidth="1"/>
    <col min="5"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8" t="s">
        <v>69</v>
      </c>
    </row>
    <row r="2" spans="1:8" ht="18.75" x14ac:dyDescent="0.3">
      <c r="B2" s="14" t="s">
        <v>10</v>
      </c>
    </row>
    <row r="3" spans="1:8" ht="18.75" x14ac:dyDescent="0.3">
      <c r="B3" s="14" t="s">
        <v>479</v>
      </c>
    </row>
    <row r="4" spans="1:8" x14ac:dyDescent="0.25">
      <c r="B4" s="43"/>
    </row>
    <row r="5" spans="1:8" ht="18.75" x14ac:dyDescent="0.3">
      <c r="A5" s="410" t="str">
        <f>'1. паспорт местоположение'!A5:C5</f>
        <v>Год раскрытия информации: 2016 год</v>
      </c>
      <c r="B5" s="410"/>
      <c r="C5" s="84"/>
      <c r="D5" s="84"/>
      <c r="E5" s="84"/>
      <c r="F5" s="84"/>
      <c r="G5" s="84"/>
      <c r="H5" s="84"/>
    </row>
    <row r="6" spans="1:8" ht="18.75" x14ac:dyDescent="0.3">
      <c r="A6" s="139"/>
      <c r="B6" s="139"/>
      <c r="C6" s="139"/>
      <c r="D6" s="139"/>
      <c r="E6" s="139"/>
      <c r="F6" s="139"/>
      <c r="G6" s="139"/>
      <c r="H6" s="139"/>
    </row>
    <row r="7" spans="1:8" ht="18.75" x14ac:dyDescent="0.25">
      <c r="A7" s="303" t="s">
        <v>9</v>
      </c>
      <c r="B7" s="303"/>
      <c r="C7" s="144"/>
      <c r="D7" s="144"/>
      <c r="E7" s="144"/>
      <c r="F7" s="144"/>
      <c r="G7" s="144"/>
      <c r="H7" s="144"/>
    </row>
    <row r="8" spans="1:8" ht="18.75" x14ac:dyDescent="0.25">
      <c r="A8" s="144"/>
      <c r="B8" s="144"/>
      <c r="C8" s="144"/>
      <c r="D8" s="144"/>
      <c r="E8" s="144"/>
      <c r="F8" s="144"/>
      <c r="G8" s="144"/>
      <c r="H8" s="144"/>
    </row>
    <row r="9" spans="1:8" x14ac:dyDescent="0.25">
      <c r="A9" s="306" t="str">
        <f>'1. паспорт местоположение'!A9:C9</f>
        <v>АО "Янтарьэнерго"</v>
      </c>
      <c r="B9" s="306"/>
      <c r="C9" s="145"/>
      <c r="D9" s="145"/>
      <c r="E9" s="145"/>
      <c r="F9" s="145"/>
      <c r="G9" s="145"/>
      <c r="H9" s="145"/>
    </row>
    <row r="10" spans="1:8" x14ac:dyDescent="0.25">
      <c r="A10" s="300" t="s">
        <v>8</v>
      </c>
      <c r="B10" s="300"/>
      <c r="C10" s="146"/>
      <c r="D10" s="146"/>
      <c r="E10" s="146"/>
      <c r="F10" s="146"/>
      <c r="G10" s="146"/>
      <c r="H10" s="146"/>
    </row>
    <row r="11" spans="1:8" ht="18.75" x14ac:dyDescent="0.25">
      <c r="A11" s="144"/>
      <c r="B11" s="144"/>
      <c r="C11" s="144"/>
      <c r="D11" s="144"/>
      <c r="E11" s="144"/>
      <c r="F11" s="144"/>
      <c r="G11" s="144"/>
      <c r="H11" s="144"/>
    </row>
    <row r="12" spans="1:8" ht="30.75" customHeight="1" x14ac:dyDescent="0.25">
      <c r="A12" s="306" t="str">
        <f>'1. паспорт местоположение'!A12:C12</f>
        <v>E_prj_111001_2501</v>
      </c>
      <c r="B12" s="306"/>
      <c r="C12" s="145"/>
      <c r="D12" s="145"/>
      <c r="E12" s="145"/>
      <c r="F12" s="145"/>
      <c r="G12" s="145"/>
      <c r="H12" s="145"/>
    </row>
    <row r="13" spans="1:8" x14ac:dyDescent="0.25">
      <c r="A13" s="300" t="s">
        <v>7</v>
      </c>
      <c r="B13" s="300"/>
      <c r="C13" s="146"/>
      <c r="D13" s="146"/>
      <c r="E13" s="146"/>
      <c r="F13" s="146"/>
      <c r="G13" s="146"/>
      <c r="H13" s="146"/>
    </row>
    <row r="14" spans="1:8" ht="18.75" x14ac:dyDescent="0.25">
      <c r="A14" s="10"/>
      <c r="B14" s="10"/>
      <c r="C14" s="10"/>
      <c r="D14" s="10"/>
      <c r="E14" s="10"/>
      <c r="F14" s="10"/>
      <c r="G14" s="10"/>
      <c r="H14" s="10"/>
    </row>
    <row r="15" spans="1:8" ht="63.6" customHeight="1" x14ac:dyDescent="0.25">
      <c r="A15" s="341" t="str">
        <f>'1. паспорт местоположение'!A15:C15</f>
        <v>Строительство ПС 110 кВ "Храброво" с заходами, г. Калининград</v>
      </c>
      <c r="B15" s="341"/>
      <c r="C15" s="145"/>
      <c r="D15" s="145"/>
      <c r="E15" s="145"/>
      <c r="F15" s="145"/>
      <c r="G15" s="145"/>
      <c r="H15" s="145"/>
    </row>
    <row r="16" spans="1:8" x14ac:dyDescent="0.25">
      <c r="A16" s="300" t="s">
        <v>6</v>
      </c>
      <c r="B16" s="300"/>
      <c r="C16" s="146"/>
      <c r="D16" s="146"/>
      <c r="E16" s="146"/>
      <c r="F16" s="146"/>
      <c r="G16" s="146"/>
      <c r="H16" s="146"/>
    </row>
    <row r="17" spans="1:2" x14ac:dyDescent="0.25">
      <c r="B17" s="115"/>
    </row>
    <row r="18" spans="1:2" ht="33.75" customHeight="1" x14ac:dyDescent="0.25">
      <c r="A18" s="414" t="s">
        <v>462</v>
      </c>
      <c r="B18" s="415"/>
    </row>
    <row r="19" spans="1:2" x14ac:dyDescent="0.25">
      <c r="B19" s="43"/>
    </row>
    <row r="20" spans="1:2" ht="16.5" thickBot="1" x14ac:dyDescent="0.3">
      <c r="B20" s="116"/>
    </row>
    <row r="21" spans="1:2" ht="39" customHeight="1" thickBot="1" x14ac:dyDescent="0.3">
      <c r="A21" s="117" t="s">
        <v>355</v>
      </c>
      <c r="B21" s="293" t="str">
        <f>A15</f>
        <v>Строительство ПС 110 кВ "Храброво" с заходами, г. Калининград</v>
      </c>
    </row>
    <row r="22" spans="1:2" ht="30.75" thickBot="1" x14ac:dyDescent="0.3">
      <c r="A22" s="117" t="s">
        <v>356</v>
      </c>
      <c r="B22" s="118" t="str">
        <f>'1. паспорт местоположение'!C27</f>
        <v>Зеленоградский район, вблизь п.Луговское, Привольное, Новосельское, кад.номер 39:05:051215:158</v>
      </c>
    </row>
    <row r="23" spans="1:2" ht="16.5" thickBot="1" x14ac:dyDescent="0.3">
      <c r="A23" s="117" t="s">
        <v>322</v>
      </c>
      <c r="B23" s="119" t="s">
        <v>514</v>
      </c>
    </row>
    <row r="24" spans="1:2" ht="16.5" thickBot="1" x14ac:dyDescent="0.3">
      <c r="A24" s="117" t="s">
        <v>357</v>
      </c>
      <c r="B24" s="119" t="s">
        <v>658</v>
      </c>
    </row>
    <row r="25" spans="1:2" ht="16.5" thickBot="1" x14ac:dyDescent="0.3">
      <c r="A25" s="120" t="s">
        <v>358</v>
      </c>
      <c r="B25" s="118" t="s">
        <v>485</v>
      </c>
    </row>
    <row r="26" spans="1:2" ht="16.5" thickBot="1" x14ac:dyDescent="0.3">
      <c r="A26" s="121" t="s">
        <v>359</v>
      </c>
      <c r="B26" s="291" t="str">
        <f>'3.3 паспорт описание'!C30</f>
        <v>С</v>
      </c>
    </row>
    <row r="27" spans="1:2" ht="29.25" thickBot="1" x14ac:dyDescent="0.3">
      <c r="A27" s="128" t="s">
        <v>662</v>
      </c>
      <c r="B27" s="295">
        <v>443.63902999999999</v>
      </c>
    </row>
    <row r="28" spans="1:2" ht="16.5" thickBot="1" x14ac:dyDescent="0.3">
      <c r="A28" s="123" t="s">
        <v>360</v>
      </c>
      <c r="B28" s="123" t="s">
        <v>661</v>
      </c>
    </row>
    <row r="29" spans="1:2" ht="29.25" thickBot="1" x14ac:dyDescent="0.3">
      <c r="A29" s="129" t="s">
        <v>361</v>
      </c>
      <c r="B29" s="123"/>
    </row>
    <row r="30" spans="1:2" ht="29.25" thickBot="1" x14ac:dyDescent="0.3">
      <c r="A30" s="129" t="s">
        <v>362</v>
      </c>
      <c r="B30" s="235">
        <f>B32+B53+B70</f>
        <v>352.12165640000001</v>
      </c>
    </row>
    <row r="31" spans="1:2" ht="16.5" thickBot="1" x14ac:dyDescent="0.3">
      <c r="A31" s="123" t="s">
        <v>363</v>
      </c>
      <c r="B31" s="235"/>
    </row>
    <row r="32" spans="1:2" ht="29.25" thickBot="1" x14ac:dyDescent="0.3">
      <c r="A32" s="129" t="s">
        <v>364</v>
      </c>
      <c r="B32" s="235">
        <f xml:space="preserve"> SUMIF(C33:C110, 10,B33:B110)</f>
        <v>327.71527980000002</v>
      </c>
    </row>
    <row r="33" spans="1:3" s="238" customFormat="1" ht="30.75" thickBot="1" x14ac:dyDescent="0.3">
      <c r="A33" s="294" t="s">
        <v>550</v>
      </c>
      <c r="B33" s="294">
        <v>6.5428562000000001</v>
      </c>
      <c r="C33" s="238">
        <v>10</v>
      </c>
    </row>
    <row r="34" spans="1:3" ht="16.5" thickBot="1" x14ac:dyDescent="0.3">
      <c r="A34" s="123" t="s">
        <v>366</v>
      </c>
      <c r="B34" s="239">
        <f>B33/$B$27</f>
        <v>1.474815279440134E-2</v>
      </c>
    </row>
    <row r="35" spans="1:3" ht="16.5" thickBot="1" x14ac:dyDescent="0.3">
      <c r="A35" s="123" t="s">
        <v>367</v>
      </c>
      <c r="B35" s="235">
        <v>6.5428562000000001</v>
      </c>
      <c r="C35" s="114">
        <v>1</v>
      </c>
    </row>
    <row r="36" spans="1:3" ht="16.5" thickBot="1" x14ac:dyDescent="0.3">
      <c r="A36" s="123" t="s">
        <v>368</v>
      </c>
      <c r="B36" s="235">
        <v>6.5428562000000001</v>
      </c>
      <c r="C36" s="114">
        <v>2</v>
      </c>
    </row>
    <row r="37" spans="1:3" s="238" customFormat="1" ht="30.75" thickBot="1" x14ac:dyDescent="0.3">
      <c r="A37" s="237" t="s">
        <v>652</v>
      </c>
      <c r="B37" s="237">
        <v>321.1724236</v>
      </c>
      <c r="C37" s="238">
        <v>10</v>
      </c>
    </row>
    <row r="38" spans="1:3" ht="16.5" thickBot="1" x14ac:dyDescent="0.3">
      <c r="A38" s="123" t="s">
        <v>366</v>
      </c>
      <c r="B38" s="239">
        <f>B37/$B$27</f>
        <v>0.72394988240777647</v>
      </c>
    </row>
    <row r="39" spans="1:3" ht="16.5" thickBot="1" x14ac:dyDescent="0.3">
      <c r="A39" s="123" t="s">
        <v>367</v>
      </c>
      <c r="B39" s="235">
        <v>161.57054950999995</v>
      </c>
      <c r="C39" s="114">
        <v>1</v>
      </c>
    </row>
    <row r="40" spans="1:3" ht="16.5" thickBot="1" x14ac:dyDescent="0.3">
      <c r="A40" s="123" t="s">
        <v>368</v>
      </c>
      <c r="B40" s="235">
        <v>211.90892449999998</v>
      </c>
      <c r="C40" s="114">
        <v>2</v>
      </c>
    </row>
    <row r="41" spans="1:3" ht="16.5" thickBot="1" x14ac:dyDescent="0.3">
      <c r="A41" s="236" t="s">
        <v>365</v>
      </c>
      <c r="B41" s="237"/>
      <c r="C41" s="238">
        <v>10</v>
      </c>
    </row>
    <row r="42" spans="1:3" ht="16.5" thickBot="1" x14ac:dyDescent="0.3">
      <c r="A42" s="123" t="s">
        <v>366</v>
      </c>
      <c r="B42" s="239">
        <f>B41/$B$27</f>
        <v>0</v>
      </c>
    </row>
    <row r="43" spans="1:3" ht="16.5" thickBot="1" x14ac:dyDescent="0.3">
      <c r="A43" s="123" t="s">
        <v>367</v>
      </c>
      <c r="B43" s="235"/>
      <c r="C43" s="114">
        <v>1</v>
      </c>
    </row>
    <row r="44" spans="1:3" ht="16.5" thickBot="1" x14ac:dyDescent="0.3">
      <c r="A44" s="123" t="s">
        <v>368</v>
      </c>
      <c r="B44" s="235"/>
      <c r="C44" s="114">
        <v>2</v>
      </c>
    </row>
    <row r="45" spans="1:3" ht="16.5" thickBot="1" x14ac:dyDescent="0.3">
      <c r="A45" s="236" t="s">
        <v>365</v>
      </c>
      <c r="B45" s="237"/>
      <c r="C45" s="238">
        <v>10</v>
      </c>
    </row>
    <row r="46" spans="1:3" ht="16.5" thickBot="1" x14ac:dyDescent="0.3">
      <c r="A46" s="123" t="s">
        <v>366</v>
      </c>
      <c r="B46" s="239">
        <f>B45/$B$27</f>
        <v>0</v>
      </c>
    </row>
    <row r="47" spans="1:3" ht="16.5" thickBot="1" x14ac:dyDescent="0.3">
      <c r="A47" s="123" t="s">
        <v>367</v>
      </c>
      <c r="B47" s="235"/>
      <c r="C47" s="114">
        <v>1</v>
      </c>
    </row>
    <row r="48" spans="1:3" ht="16.5" thickBot="1" x14ac:dyDescent="0.3">
      <c r="A48" s="123" t="s">
        <v>368</v>
      </c>
      <c r="B48" s="235"/>
      <c r="C48" s="114">
        <v>2</v>
      </c>
    </row>
    <row r="49" spans="1:3" ht="16.5" thickBot="1" x14ac:dyDescent="0.3">
      <c r="A49" s="236" t="s">
        <v>365</v>
      </c>
      <c r="B49" s="237"/>
      <c r="C49" s="238">
        <v>10</v>
      </c>
    </row>
    <row r="50" spans="1:3" ht="16.5" thickBot="1" x14ac:dyDescent="0.3">
      <c r="A50" s="123" t="s">
        <v>366</v>
      </c>
      <c r="B50" s="239">
        <f>B49/$B$27</f>
        <v>0</v>
      </c>
    </row>
    <row r="51" spans="1:3" ht="16.5" thickBot="1" x14ac:dyDescent="0.3">
      <c r="A51" s="123" t="s">
        <v>367</v>
      </c>
      <c r="B51" s="235"/>
      <c r="C51" s="114">
        <v>1</v>
      </c>
    </row>
    <row r="52" spans="1:3" ht="16.5" thickBot="1" x14ac:dyDescent="0.3">
      <c r="A52" s="123" t="s">
        <v>368</v>
      </c>
      <c r="B52" s="235"/>
      <c r="C52" s="114">
        <v>2</v>
      </c>
    </row>
    <row r="53" spans="1:3" ht="29.25" thickBot="1" x14ac:dyDescent="0.3">
      <c r="A53" s="129" t="s">
        <v>369</v>
      </c>
      <c r="B53" s="235">
        <f xml:space="preserve"> SUMIF(C54:C110, 20,B54:B110)</f>
        <v>0</v>
      </c>
    </row>
    <row r="54" spans="1:3" s="238" customFormat="1" ht="16.5" thickBot="1" x14ac:dyDescent="0.3">
      <c r="A54" s="236" t="s">
        <v>365</v>
      </c>
      <c r="B54" s="237"/>
      <c r="C54" s="238">
        <v>20</v>
      </c>
    </row>
    <row r="55" spans="1:3" ht="16.5" thickBot="1" x14ac:dyDescent="0.3">
      <c r="A55" s="123" t="s">
        <v>366</v>
      </c>
      <c r="B55" s="239">
        <f>B54/$B$27</f>
        <v>0</v>
      </c>
    </row>
    <row r="56" spans="1:3" ht="16.5" thickBot="1" x14ac:dyDescent="0.3">
      <c r="A56" s="123" t="s">
        <v>367</v>
      </c>
      <c r="B56" s="235"/>
      <c r="C56" s="114">
        <v>1</v>
      </c>
    </row>
    <row r="57" spans="1:3" ht="16.5" thickBot="1" x14ac:dyDescent="0.3">
      <c r="A57" s="123" t="s">
        <v>368</v>
      </c>
      <c r="B57" s="235"/>
      <c r="C57" s="114">
        <v>2</v>
      </c>
    </row>
    <row r="58" spans="1:3" s="238" customFormat="1" ht="16.5" thickBot="1" x14ac:dyDescent="0.3">
      <c r="A58" s="236" t="s">
        <v>365</v>
      </c>
      <c r="B58" s="237"/>
      <c r="C58" s="238">
        <v>20</v>
      </c>
    </row>
    <row r="59" spans="1:3" ht="16.5" thickBot="1" x14ac:dyDescent="0.3">
      <c r="A59" s="123" t="s">
        <v>366</v>
      </c>
      <c r="B59" s="239">
        <f>B58/$B$27</f>
        <v>0</v>
      </c>
    </row>
    <row r="60" spans="1:3" ht="16.5" thickBot="1" x14ac:dyDescent="0.3">
      <c r="A60" s="123" t="s">
        <v>367</v>
      </c>
      <c r="B60" s="235"/>
      <c r="C60" s="114">
        <v>1</v>
      </c>
    </row>
    <row r="61" spans="1:3" ht="16.5" thickBot="1" x14ac:dyDescent="0.3">
      <c r="A61" s="123" t="s">
        <v>368</v>
      </c>
      <c r="B61" s="235"/>
      <c r="C61" s="114">
        <v>2</v>
      </c>
    </row>
    <row r="62" spans="1:3" s="238" customFormat="1" ht="16.5" thickBot="1" x14ac:dyDescent="0.3">
      <c r="A62" s="236" t="s">
        <v>365</v>
      </c>
      <c r="B62" s="237"/>
      <c r="C62" s="238">
        <v>20</v>
      </c>
    </row>
    <row r="63" spans="1:3" ht="16.5" thickBot="1" x14ac:dyDescent="0.3">
      <c r="A63" s="123" t="s">
        <v>366</v>
      </c>
      <c r="B63" s="239">
        <f>B62/$B$27</f>
        <v>0</v>
      </c>
    </row>
    <row r="64" spans="1:3" ht="16.5" thickBot="1" x14ac:dyDescent="0.3">
      <c r="A64" s="123" t="s">
        <v>367</v>
      </c>
      <c r="B64" s="235"/>
      <c r="C64" s="114">
        <v>1</v>
      </c>
    </row>
    <row r="65" spans="1:3" ht="16.5" thickBot="1" x14ac:dyDescent="0.3">
      <c r="A65" s="123" t="s">
        <v>368</v>
      </c>
      <c r="B65" s="235"/>
      <c r="C65" s="114">
        <v>2</v>
      </c>
    </row>
    <row r="66" spans="1:3" s="238" customFormat="1" ht="16.5" thickBot="1" x14ac:dyDescent="0.3">
      <c r="A66" s="236" t="s">
        <v>365</v>
      </c>
      <c r="B66" s="237"/>
      <c r="C66" s="238">
        <v>20</v>
      </c>
    </row>
    <row r="67" spans="1:3" ht="16.5" thickBot="1" x14ac:dyDescent="0.3">
      <c r="A67" s="123" t="s">
        <v>366</v>
      </c>
      <c r="B67" s="239">
        <f>B66/$B$27</f>
        <v>0</v>
      </c>
    </row>
    <row r="68" spans="1:3" ht="16.5" thickBot="1" x14ac:dyDescent="0.3">
      <c r="A68" s="123" t="s">
        <v>367</v>
      </c>
      <c r="B68" s="235"/>
      <c r="C68" s="114">
        <v>1</v>
      </c>
    </row>
    <row r="69" spans="1:3" ht="16.5" thickBot="1" x14ac:dyDescent="0.3">
      <c r="A69" s="123" t="s">
        <v>368</v>
      </c>
      <c r="B69" s="235"/>
      <c r="C69" s="114">
        <v>2</v>
      </c>
    </row>
    <row r="70" spans="1:3" ht="29.25" thickBot="1" x14ac:dyDescent="0.3">
      <c r="A70" s="129" t="s">
        <v>370</v>
      </c>
      <c r="B70" s="235">
        <f xml:space="preserve"> SUMIF(C71:C138, 30,B71:B138)</f>
        <v>24.406376599999994</v>
      </c>
    </row>
    <row r="71" spans="1:3" s="238" customFormat="1" ht="30.75" thickBot="1" x14ac:dyDescent="0.3">
      <c r="A71" s="237" t="s">
        <v>549</v>
      </c>
      <c r="B71" s="237">
        <v>15.521203160000001</v>
      </c>
      <c r="C71" s="238">
        <v>30</v>
      </c>
    </row>
    <row r="72" spans="1:3" ht="16.5" thickBot="1" x14ac:dyDescent="0.3">
      <c r="A72" s="123" t="s">
        <v>366</v>
      </c>
      <c r="B72" s="239">
        <f>B71/$B$27</f>
        <v>3.4986108323246494E-2</v>
      </c>
    </row>
    <row r="73" spans="1:3" ht="16.5" thickBot="1" x14ac:dyDescent="0.3">
      <c r="A73" s="123" t="s">
        <v>367</v>
      </c>
      <c r="B73" s="235">
        <v>9.3953959999999999</v>
      </c>
      <c r="C73" s="114">
        <v>1</v>
      </c>
    </row>
    <row r="74" spans="1:3" ht="16.5" thickBot="1" x14ac:dyDescent="0.3">
      <c r="A74" s="123" t="s">
        <v>368</v>
      </c>
      <c r="B74" s="235">
        <v>9.3953959999999999</v>
      </c>
      <c r="C74" s="114">
        <v>2</v>
      </c>
    </row>
    <row r="75" spans="1:3" s="238" customFormat="1" ht="30.75" thickBot="1" x14ac:dyDescent="0.3">
      <c r="A75" s="294" t="s">
        <v>548</v>
      </c>
      <c r="B75" s="294">
        <v>0.602962</v>
      </c>
      <c r="C75" s="238">
        <v>30</v>
      </c>
    </row>
    <row r="76" spans="1:3" ht="16.5" thickBot="1" x14ac:dyDescent="0.3">
      <c r="A76" s="123" t="s">
        <v>366</v>
      </c>
      <c r="B76" s="239">
        <f>B75/$B$27</f>
        <v>1.3591274870472961E-3</v>
      </c>
    </row>
    <row r="77" spans="1:3" ht="16.5" thickBot="1" x14ac:dyDescent="0.3">
      <c r="A77" s="123" t="s">
        <v>367</v>
      </c>
      <c r="B77" s="235">
        <v>0.602962</v>
      </c>
      <c r="C77" s="114">
        <v>1</v>
      </c>
    </row>
    <row r="78" spans="1:3" ht="16.5" thickBot="1" x14ac:dyDescent="0.3">
      <c r="A78" s="123" t="s">
        <v>368</v>
      </c>
      <c r="B78" s="235">
        <v>0.602962</v>
      </c>
      <c r="C78" s="114">
        <v>2</v>
      </c>
    </row>
    <row r="79" spans="1:3" s="238" customFormat="1" ht="30.75" thickBot="1" x14ac:dyDescent="0.3">
      <c r="A79" s="294" t="s">
        <v>547</v>
      </c>
      <c r="B79" s="294">
        <v>2.3599999999999999E-2</v>
      </c>
      <c r="C79" s="238">
        <v>30</v>
      </c>
    </row>
    <row r="80" spans="1:3" ht="16.5" thickBot="1" x14ac:dyDescent="0.3">
      <c r="A80" s="123" t="s">
        <v>366</v>
      </c>
      <c r="B80" s="239">
        <f>B79/$B$27</f>
        <v>5.3196401588020782E-5</v>
      </c>
    </row>
    <row r="81" spans="1:3" ht="16.5" thickBot="1" x14ac:dyDescent="0.3">
      <c r="A81" s="123" t="s">
        <v>367</v>
      </c>
      <c r="B81" s="235">
        <v>2.3599999999999999E-2</v>
      </c>
      <c r="C81" s="114">
        <v>1</v>
      </c>
    </row>
    <row r="82" spans="1:3" ht="16.5" thickBot="1" x14ac:dyDescent="0.3">
      <c r="A82" s="123" t="s">
        <v>368</v>
      </c>
      <c r="B82" s="235">
        <v>2.3599999999999999E-2</v>
      </c>
      <c r="C82" s="114">
        <v>2</v>
      </c>
    </row>
    <row r="83" spans="1:3" s="238" customFormat="1" ht="45.75" thickBot="1" x14ac:dyDescent="0.3">
      <c r="A83" s="294" t="s">
        <v>546</v>
      </c>
      <c r="B83" s="294">
        <v>0.02</v>
      </c>
      <c r="C83" s="238">
        <v>30</v>
      </c>
    </row>
    <row r="84" spans="1:3" ht="16.5" thickBot="1" x14ac:dyDescent="0.3">
      <c r="A84" s="123" t="s">
        <v>366</v>
      </c>
      <c r="B84" s="239">
        <f>B83/$B$27</f>
        <v>4.5081696261034563E-5</v>
      </c>
    </row>
    <row r="85" spans="1:3" ht="16.5" thickBot="1" x14ac:dyDescent="0.3">
      <c r="A85" s="123" t="s">
        <v>367</v>
      </c>
      <c r="B85" s="235">
        <v>0.02</v>
      </c>
      <c r="C85" s="114">
        <v>1</v>
      </c>
    </row>
    <row r="86" spans="1:3" ht="16.5" thickBot="1" x14ac:dyDescent="0.3">
      <c r="A86" s="123" t="s">
        <v>368</v>
      </c>
      <c r="B86" s="235">
        <v>0.02</v>
      </c>
      <c r="C86" s="114">
        <v>2</v>
      </c>
    </row>
    <row r="87" spans="1:3" s="238" customFormat="1" ht="30.75" thickBot="1" x14ac:dyDescent="0.3">
      <c r="A87" s="237" t="s">
        <v>545</v>
      </c>
      <c r="B87" s="237">
        <v>0.34004700000000004</v>
      </c>
      <c r="C87" s="238">
        <v>30</v>
      </c>
    </row>
    <row r="88" spans="1:3" ht="16.5" thickBot="1" x14ac:dyDescent="0.3">
      <c r="A88" s="123" t="s">
        <v>366</v>
      </c>
      <c r="B88" s="239">
        <f>B87/$B$27</f>
        <v>7.6649477842380105E-4</v>
      </c>
    </row>
    <row r="89" spans="1:3" ht="16.5" thickBot="1" x14ac:dyDescent="0.3">
      <c r="A89" s="123" t="s">
        <v>367</v>
      </c>
      <c r="B89" s="235">
        <v>0.30226400000000003</v>
      </c>
      <c r="C89" s="114">
        <v>1</v>
      </c>
    </row>
    <row r="90" spans="1:3" ht="16.5" thickBot="1" x14ac:dyDescent="0.3">
      <c r="A90" s="123" t="s">
        <v>368</v>
      </c>
      <c r="B90" s="235">
        <v>0.34004700000000004</v>
      </c>
      <c r="C90" s="114">
        <v>2</v>
      </c>
    </row>
    <row r="91" spans="1:3" s="238" customFormat="1" ht="30.75" thickBot="1" x14ac:dyDescent="0.3">
      <c r="A91" s="294" t="s">
        <v>653</v>
      </c>
      <c r="B91" s="294">
        <v>0.640598</v>
      </c>
      <c r="C91" s="238">
        <v>30</v>
      </c>
    </row>
    <row r="92" spans="1:3" ht="16.5" thickBot="1" x14ac:dyDescent="0.3">
      <c r="A92" s="123" t="s">
        <v>366</v>
      </c>
      <c r="B92" s="239">
        <f>B91/$B$27</f>
        <v>1.443962223071311E-3</v>
      </c>
    </row>
    <row r="93" spans="1:3" ht="16.5" thickBot="1" x14ac:dyDescent="0.3">
      <c r="A93" s="123" t="s">
        <v>367</v>
      </c>
      <c r="B93" s="235">
        <v>0.640598</v>
      </c>
      <c r="C93" s="114">
        <v>1</v>
      </c>
    </row>
    <row r="94" spans="1:3" ht="16.5" thickBot="1" x14ac:dyDescent="0.3">
      <c r="A94" s="123" t="s">
        <v>368</v>
      </c>
      <c r="B94" s="235">
        <v>0.640598</v>
      </c>
      <c r="C94" s="114">
        <v>2</v>
      </c>
    </row>
    <row r="95" spans="1:3" s="238" customFormat="1" ht="30.75" thickBot="1" x14ac:dyDescent="0.3">
      <c r="A95" s="294" t="s">
        <v>654</v>
      </c>
      <c r="B95" s="294">
        <v>2.3600000000000003E-2</v>
      </c>
      <c r="C95" s="238">
        <v>30</v>
      </c>
    </row>
    <row r="96" spans="1:3" ht="16.5" thickBot="1" x14ac:dyDescent="0.3">
      <c r="A96" s="123" t="s">
        <v>366</v>
      </c>
      <c r="B96" s="239">
        <f>B95/$B$27</f>
        <v>5.3196401588020789E-5</v>
      </c>
    </row>
    <row r="97" spans="1:3" ht="16.5" thickBot="1" x14ac:dyDescent="0.3">
      <c r="A97" s="123" t="s">
        <v>367</v>
      </c>
      <c r="B97" s="235">
        <v>2.3600000000000003E-2</v>
      </c>
      <c r="C97" s="114">
        <v>1</v>
      </c>
    </row>
    <row r="98" spans="1:3" ht="16.5" thickBot="1" x14ac:dyDescent="0.3">
      <c r="A98" s="123" t="s">
        <v>368</v>
      </c>
      <c r="B98" s="235">
        <v>2.3600000000000003E-2</v>
      </c>
      <c r="C98" s="114">
        <v>2</v>
      </c>
    </row>
    <row r="99" spans="1:3" s="238" customFormat="1" ht="30.75" thickBot="1" x14ac:dyDescent="0.3">
      <c r="A99" s="294" t="s">
        <v>544</v>
      </c>
      <c r="B99" s="294">
        <v>9.5624999999999998E-3</v>
      </c>
      <c r="C99" s="238">
        <v>30</v>
      </c>
    </row>
    <row r="100" spans="1:3" ht="16.5" thickBot="1" x14ac:dyDescent="0.3">
      <c r="A100" s="123" t="s">
        <v>366</v>
      </c>
      <c r="B100" s="239">
        <f>B99/$B$27</f>
        <v>2.1554686024807149E-5</v>
      </c>
    </row>
    <row r="101" spans="1:3" ht="16.5" thickBot="1" x14ac:dyDescent="0.3">
      <c r="A101" s="123" t="s">
        <v>367</v>
      </c>
      <c r="B101" s="235">
        <v>9.5624999999999998E-3</v>
      </c>
      <c r="C101" s="114">
        <v>1</v>
      </c>
    </row>
    <row r="102" spans="1:3" ht="16.5" thickBot="1" x14ac:dyDescent="0.3">
      <c r="A102" s="123" t="s">
        <v>368</v>
      </c>
      <c r="B102" s="235">
        <v>9.5624999999999998E-3</v>
      </c>
      <c r="C102" s="114">
        <v>2</v>
      </c>
    </row>
    <row r="103" spans="1:3" s="238" customFormat="1" ht="30.75" thickBot="1" x14ac:dyDescent="0.3">
      <c r="A103" s="294" t="s">
        <v>543</v>
      </c>
      <c r="B103" s="294">
        <v>0.25023000000000001</v>
      </c>
      <c r="C103" s="238">
        <v>30</v>
      </c>
    </row>
    <row r="104" spans="1:3" ht="16.5" thickBot="1" x14ac:dyDescent="0.3">
      <c r="A104" s="123" t="s">
        <v>366</v>
      </c>
      <c r="B104" s="239">
        <f>B103/$B$27</f>
        <v>5.6403964276993397E-4</v>
      </c>
    </row>
    <row r="105" spans="1:3" ht="16.5" thickBot="1" x14ac:dyDescent="0.3">
      <c r="A105" s="123" t="s">
        <v>367</v>
      </c>
      <c r="B105" s="235">
        <v>0.25023000000000001</v>
      </c>
      <c r="C105" s="114">
        <v>1</v>
      </c>
    </row>
    <row r="106" spans="1:3" ht="16.5" thickBot="1" x14ac:dyDescent="0.3">
      <c r="A106" s="123" t="s">
        <v>368</v>
      </c>
      <c r="B106" s="235">
        <v>0.25023000000000001</v>
      </c>
      <c r="C106" s="114">
        <v>2</v>
      </c>
    </row>
    <row r="107" spans="1:3" s="238" customFormat="1" ht="16.5" thickBot="1" x14ac:dyDescent="0.3">
      <c r="A107" s="237" t="s">
        <v>542</v>
      </c>
      <c r="B107" s="237">
        <v>0.10049774</v>
      </c>
      <c r="C107" s="238">
        <v>30</v>
      </c>
    </row>
    <row r="108" spans="1:3" ht="16.5" thickBot="1" x14ac:dyDescent="0.3">
      <c r="A108" s="123" t="s">
        <v>366</v>
      </c>
      <c r="B108" s="239">
        <f>B107/$B$27</f>
        <v>2.265304294800212E-4</v>
      </c>
    </row>
    <row r="109" spans="1:3" ht="16.5" thickBot="1" x14ac:dyDescent="0.3">
      <c r="A109" s="123" t="s">
        <v>367</v>
      </c>
      <c r="B109" s="235">
        <v>9.7640451500000003E-2</v>
      </c>
      <c r="C109" s="114">
        <v>1</v>
      </c>
    </row>
    <row r="110" spans="1:3" ht="16.5" thickBot="1" x14ac:dyDescent="0.3">
      <c r="A110" s="123" t="s">
        <v>368</v>
      </c>
      <c r="B110" s="235">
        <v>0.10049774</v>
      </c>
      <c r="C110" s="114">
        <v>2</v>
      </c>
    </row>
    <row r="111" spans="1:3" ht="30.75" thickBot="1" x14ac:dyDescent="0.3">
      <c r="A111" s="294" t="s">
        <v>659</v>
      </c>
      <c r="B111" s="294">
        <v>2.3600000000000003E-2</v>
      </c>
      <c r="C111" s="238">
        <v>30</v>
      </c>
    </row>
    <row r="112" spans="1:3" ht="16.5" thickBot="1" x14ac:dyDescent="0.3">
      <c r="A112" s="123" t="s">
        <v>366</v>
      </c>
      <c r="B112" s="239">
        <f>B111/$B$27</f>
        <v>5.3196401588020789E-5</v>
      </c>
    </row>
    <row r="113" spans="1:3" ht="16.5" thickBot="1" x14ac:dyDescent="0.3">
      <c r="A113" s="123" t="s">
        <v>367</v>
      </c>
      <c r="B113" s="235">
        <v>2.3600000000000003E-2</v>
      </c>
      <c r="C113" s="114">
        <v>1</v>
      </c>
    </row>
    <row r="114" spans="1:3" ht="16.5" thickBot="1" x14ac:dyDescent="0.3">
      <c r="A114" s="123" t="s">
        <v>368</v>
      </c>
      <c r="B114" s="235">
        <v>0</v>
      </c>
      <c r="C114" s="114">
        <v>2</v>
      </c>
    </row>
    <row r="115" spans="1:3" ht="30.75" thickBot="1" x14ac:dyDescent="0.3">
      <c r="A115" s="294" t="s">
        <v>655</v>
      </c>
      <c r="B115" s="294">
        <v>0.17243899999999998</v>
      </c>
      <c r="C115" s="238">
        <v>30</v>
      </c>
    </row>
    <row r="116" spans="1:3" ht="16.5" thickBot="1" x14ac:dyDescent="0.3">
      <c r="A116" s="123" t="s">
        <v>366</v>
      </c>
      <c r="B116" s="239">
        <f>B115/$B$27</f>
        <v>3.8869213107782692E-4</v>
      </c>
    </row>
    <row r="117" spans="1:3" ht="16.5" thickBot="1" x14ac:dyDescent="0.3">
      <c r="A117" s="123" t="s">
        <v>367</v>
      </c>
      <c r="B117" s="235">
        <v>0.17243899999999998</v>
      </c>
      <c r="C117" s="114">
        <v>1</v>
      </c>
    </row>
    <row r="118" spans="1:3" ht="16.5" thickBot="1" x14ac:dyDescent="0.3">
      <c r="A118" s="123" t="s">
        <v>368</v>
      </c>
      <c r="B118" s="235">
        <v>0.17243899999999998</v>
      </c>
      <c r="C118" s="114">
        <v>2</v>
      </c>
    </row>
    <row r="119" spans="1:3" ht="30.75" thickBot="1" x14ac:dyDescent="0.3">
      <c r="A119" s="237" t="s">
        <v>656</v>
      </c>
      <c r="B119" s="237">
        <v>5.7233371999999996</v>
      </c>
      <c r="C119" s="238">
        <v>30</v>
      </c>
    </row>
    <row r="120" spans="1:3" ht="15.75" customHeight="1" thickBot="1" x14ac:dyDescent="0.3">
      <c r="A120" s="123" t="s">
        <v>366</v>
      </c>
      <c r="B120" s="239">
        <f>B119/$B$27</f>
        <v>1.2900887462493999E-2</v>
      </c>
    </row>
    <row r="121" spans="1:3" ht="16.5" thickBot="1" x14ac:dyDescent="0.3">
      <c r="A121" s="123" t="s">
        <v>367</v>
      </c>
      <c r="B121" s="235">
        <v>4.3521209900000004</v>
      </c>
      <c r="C121" s="114">
        <v>1</v>
      </c>
    </row>
    <row r="122" spans="1:3" ht="16.5" thickBot="1" x14ac:dyDescent="0.3">
      <c r="A122" s="123" t="s">
        <v>368</v>
      </c>
      <c r="B122" s="235">
        <v>4.3521209900000004</v>
      </c>
      <c r="C122" s="114">
        <v>2</v>
      </c>
    </row>
    <row r="123" spans="1:3" ht="30.75" thickBot="1" x14ac:dyDescent="0.3">
      <c r="A123" s="237" t="s">
        <v>657</v>
      </c>
      <c r="B123" s="237">
        <v>0.87320000000000009</v>
      </c>
      <c r="C123" s="238">
        <v>30</v>
      </c>
    </row>
    <row r="124" spans="1:3" ht="16.5" thickBot="1" x14ac:dyDescent="0.3">
      <c r="A124" s="123" t="s">
        <v>366</v>
      </c>
      <c r="B124" s="239">
        <f>B123/$B$27</f>
        <v>1.968266858756769E-3</v>
      </c>
    </row>
    <row r="125" spans="1:3" ht="16.5" thickBot="1" x14ac:dyDescent="0.3">
      <c r="A125" s="123" t="s">
        <v>367</v>
      </c>
      <c r="B125" s="235">
        <v>0</v>
      </c>
      <c r="C125" s="114">
        <v>1</v>
      </c>
    </row>
    <row r="126" spans="1:3" ht="16.5" thickBot="1" x14ac:dyDescent="0.3">
      <c r="A126" s="123" t="s">
        <v>368</v>
      </c>
      <c r="B126" s="235">
        <v>0.87320000000000009</v>
      </c>
      <c r="C126" s="114">
        <v>2</v>
      </c>
    </row>
    <row r="127" spans="1:3" ht="30.75" thickBot="1" x14ac:dyDescent="0.3">
      <c r="A127" s="237" t="s">
        <v>660</v>
      </c>
      <c r="B127" s="237">
        <v>8.1500000000000003E-2</v>
      </c>
      <c r="C127" s="238">
        <v>30</v>
      </c>
    </row>
    <row r="128" spans="1:3" ht="16.5" thickBot="1" x14ac:dyDescent="0.3">
      <c r="A128" s="123" t="s">
        <v>366</v>
      </c>
      <c r="B128" s="239">
        <f>B127/$B$27</f>
        <v>1.8370791226371584E-4</v>
      </c>
    </row>
    <row r="129" spans="1:3" ht="16.5" thickBot="1" x14ac:dyDescent="0.3">
      <c r="A129" s="123" t="s">
        <v>367</v>
      </c>
      <c r="B129" s="235">
        <v>0</v>
      </c>
      <c r="C129" s="114">
        <v>1</v>
      </c>
    </row>
    <row r="130" spans="1:3" ht="16.5" thickBot="1" x14ac:dyDescent="0.3">
      <c r="A130" s="123" t="s">
        <v>368</v>
      </c>
      <c r="B130" s="235">
        <v>0</v>
      </c>
      <c r="C130" s="114">
        <v>2</v>
      </c>
    </row>
    <row r="131" spans="1:3" ht="16.5" thickBot="1" x14ac:dyDescent="0.3">
      <c r="A131" s="236" t="s">
        <v>365</v>
      </c>
      <c r="B131" s="237"/>
      <c r="C131" s="238">
        <v>30</v>
      </c>
    </row>
    <row r="132" spans="1:3" ht="16.5" thickBot="1" x14ac:dyDescent="0.3">
      <c r="A132" s="123" t="s">
        <v>366</v>
      </c>
      <c r="B132" s="239">
        <f>B131/$B$27</f>
        <v>0</v>
      </c>
    </row>
    <row r="133" spans="1:3" ht="16.5" thickBot="1" x14ac:dyDescent="0.3">
      <c r="A133" s="123" t="s">
        <v>367</v>
      </c>
      <c r="B133" s="235"/>
      <c r="C133" s="114">
        <v>1</v>
      </c>
    </row>
    <row r="134" spans="1:3" ht="16.5" thickBot="1" x14ac:dyDescent="0.3">
      <c r="A134" s="123" t="s">
        <v>368</v>
      </c>
      <c r="B134" s="235"/>
      <c r="C134" s="114">
        <v>2</v>
      </c>
    </row>
    <row r="135" spans="1:3" ht="16.5" thickBot="1" x14ac:dyDescent="0.3">
      <c r="A135" s="236" t="s">
        <v>365</v>
      </c>
      <c r="B135" s="237"/>
      <c r="C135" s="238">
        <v>30</v>
      </c>
    </row>
    <row r="136" spans="1:3" ht="16.5" thickBot="1" x14ac:dyDescent="0.3">
      <c r="A136" s="123" t="s">
        <v>366</v>
      </c>
      <c r="B136" s="239">
        <f>B135/$B$27</f>
        <v>0</v>
      </c>
    </row>
    <row r="137" spans="1:3" ht="28.5" customHeight="1" thickBot="1" x14ac:dyDescent="0.3">
      <c r="A137" s="123" t="s">
        <v>367</v>
      </c>
      <c r="B137" s="235"/>
      <c r="C137" s="114">
        <v>1</v>
      </c>
    </row>
    <row r="138" spans="1:3" ht="16.5" thickBot="1" x14ac:dyDescent="0.3">
      <c r="A138" s="123" t="s">
        <v>368</v>
      </c>
      <c r="B138" s="235"/>
      <c r="C138" s="114">
        <v>2</v>
      </c>
    </row>
    <row r="139" spans="1:3" ht="29.25" thickBot="1" x14ac:dyDescent="0.3">
      <c r="A139" s="122" t="s">
        <v>371</v>
      </c>
      <c r="B139" s="130"/>
    </row>
    <row r="140" spans="1:3" ht="16.5" thickBot="1" x14ac:dyDescent="0.3">
      <c r="A140" s="124" t="s">
        <v>363</v>
      </c>
      <c r="B140" s="130"/>
    </row>
    <row r="141" spans="1:3" ht="16.5" thickBot="1" x14ac:dyDescent="0.3">
      <c r="A141" s="124" t="s">
        <v>372</v>
      </c>
      <c r="B141" s="130"/>
    </row>
    <row r="142" spans="1:3" ht="16.5" thickBot="1" x14ac:dyDescent="0.3">
      <c r="A142" s="124" t="s">
        <v>373</v>
      </c>
      <c r="B142" s="130"/>
    </row>
    <row r="143" spans="1:3" ht="16.5" thickBot="1" x14ac:dyDescent="0.3">
      <c r="A143" s="124" t="s">
        <v>374</v>
      </c>
      <c r="B143" s="130"/>
    </row>
    <row r="144" spans="1:3" ht="16.5" thickBot="1" x14ac:dyDescent="0.3">
      <c r="A144" s="120" t="s">
        <v>375</v>
      </c>
      <c r="B144" s="240">
        <f>B145/$B$27</f>
        <v>0.4045614712066698</v>
      </c>
    </row>
    <row r="145" spans="1:2" ht="16.5" thickBot="1" x14ac:dyDescent="0.3">
      <c r="A145" s="120" t="s">
        <v>376</v>
      </c>
      <c r="B145" s="241">
        <f xml:space="preserve"> SUMIF(C33:C110, 1,B33:B110)</f>
        <v>179.47925866149993</v>
      </c>
    </row>
    <row r="146" spans="1:2" ht="16.5" thickBot="1" x14ac:dyDescent="0.3">
      <c r="A146" s="120" t="s">
        <v>377</v>
      </c>
      <c r="B146" s="240">
        <f>B147/$B$27</f>
        <v>0.51812004444243764</v>
      </c>
    </row>
    <row r="147" spans="1:2" ht="16.5" thickBot="1" x14ac:dyDescent="0.3">
      <c r="A147" s="121" t="s">
        <v>378</v>
      </c>
      <c r="B147" s="241">
        <f xml:space="preserve"> SUMIF(C33:C110, 2,B33:B110)</f>
        <v>229.85827393999995</v>
      </c>
    </row>
    <row r="148" spans="1:2" ht="15.75" customHeight="1" x14ac:dyDescent="0.25">
      <c r="A148" s="122" t="s">
        <v>379</v>
      </c>
      <c r="B148" s="411" t="s">
        <v>380</v>
      </c>
    </row>
    <row r="149" spans="1:2" x14ac:dyDescent="0.25">
      <c r="A149" s="126" t="s">
        <v>381</v>
      </c>
      <c r="B149" s="412"/>
    </row>
    <row r="150" spans="1:2" x14ac:dyDescent="0.25">
      <c r="A150" s="126" t="s">
        <v>382</v>
      </c>
      <c r="B150" s="412"/>
    </row>
    <row r="151" spans="1:2" x14ac:dyDescent="0.25">
      <c r="A151" s="126" t="s">
        <v>383</v>
      </c>
      <c r="B151" s="412"/>
    </row>
    <row r="152" spans="1:2" x14ac:dyDescent="0.25">
      <c r="A152" s="126" t="s">
        <v>384</v>
      </c>
      <c r="B152" s="412"/>
    </row>
    <row r="153" spans="1:2" ht="16.5" thickBot="1" x14ac:dyDescent="0.3">
      <c r="A153" s="127" t="s">
        <v>385</v>
      </c>
      <c r="B153" s="413"/>
    </row>
    <row r="154" spans="1:2" ht="30.75" thickBot="1" x14ac:dyDescent="0.3">
      <c r="A154" s="124" t="s">
        <v>386</v>
      </c>
      <c r="B154" s="125"/>
    </row>
    <row r="155" spans="1:2" ht="29.25" thickBot="1" x14ac:dyDescent="0.3">
      <c r="A155" s="120" t="s">
        <v>387</v>
      </c>
      <c r="B155" s="125"/>
    </row>
    <row r="156" spans="1:2" ht="16.5" thickBot="1" x14ac:dyDescent="0.3">
      <c r="A156" s="124" t="s">
        <v>363</v>
      </c>
      <c r="B156" s="132"/>
    </row>
    <row r="157" spans="1:2" ht="16.5" thickBot="1" x14ac:dyDescent="0.3">
      <c r="A157" s="124" t="s">
        <v>388</v>
      </c>
      <c r="B157" s="125"/>
    </row>
    <row r="158" spans="1:2" ht="16.5" thickBot="1" x14ac:dyDescent="0.3">
      <c r="A158" s="124" t="s">
        <v>389</v>
      </c>
      <c r="B158" s="132"/>
    </row>
    <row r="159" spans="1:2" ht="30.75" thickBot="1" x14ac:dyDescent="0.3">
      <c r="A159" s="133" t="s">
        <v>390</v>
      </c>
      <c r="B159" s="288" t="s">
        <v>391</v>
      </c>
    </row>
    <row r="160" spans="1:2" ht="16.5" thickBot="1" x14ac:dyDescent="0.3">
      <c r="A160" s="120" t="s">
        <v>392</v>
      </c>
      <c r="B160" s="131"/>
    </row>
    <row r="161" spans="1:2" ht="16.5" thickBot="1" x14ac:dyDescent="0.3">
      <c r="A161" s="126" t="s">
        <v>393</v>
      </c>
      <c r="B161" s="134"/>
    </row>
    <row r="162" spans="1:2" ht="16.5" thickBot="1" x14ac:dyDescent="0.3">
      <c r="A162" s="126" t="s">
        <v>394</v>
      </c>
      <c r="B162" s="134"/>
    </row>
    <row r="163" spans="1:2" ht="16.5" thickBot="1" x14ac:dyDescent="0.3">
      <c r="A163" s="126" t="s">
        <v>395</v>
      </c>
      <c r="B163" s="134"/>
    </row>
    <row r="164" spans="1:2" ht="45.75" thickBot="1" x14ac:dyDescent="0.3">
      <c r="A164" s="135" t="s">
        <v>396</v>
      </c>
      <c r="B164" s="132" t="s">
        <v>397</v>
      </c>
    </row>
    <row r="165" spans="1:2" ht="28.5" customHeight="1" x14ac:dyDescent="0.25">
      <c r="A165" s="122" t="s">
        <v>398</v>
      </c>
      <c r="B165" s="411" t="s">
        <v>399</v>
      </c>
    </row>
    <row r="166" spans="1:2" x14ac:dyDescent="0.25">
      <c r="A166" s="126" t="s">
        <v>400</v>
      </c>
      <c r="B166" s="412"/>
    </row>
    <row r="167" spans="1:2" x14ac:dyDescent="0.25">
      <c r="A167" s="126" t="s">
        <v>401</v>
      </c>
      <c r="B167" s="412"/>
    </row>
    <row r="168" spans="1:2" x14ac:dyDescent="0.25">
      <c r="A168" s="126" t="s">
        <v>402</v>
      </c>
      <c r="B168" s="412"/>
    </row>
    <row r="169" spans="1:2" x14ac:dyDescent="0.25">
      <c r="A169" s="126" t="s">
        <v>403</v>
      </c>
      <c r="B169" s="412"/>
    </row>
    <row r="170" spans="1:2" ht="16.5" thickBot="1" x14ac:dyDescent="0.3">
      <c r="A170" s="136" t="s">
        <v>404</v>
      </c>
      <c r="B170" s="413"/>
    </row>
  </sheetData>
  <mergeCells count="11">
    <mergeCell ref="B148:B153"/>
    <mergeCell ref="B165:B170"/>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21" zoomScale="60" workbookViewId="0">
      <selection activeCell="B23" sqref="B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7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92.42578125" style="1" customWidth="1"/>
    <col min="19" max="19" width="51.5703125" style="1" customWidth="1"/>
    <col min="20" max="16384" width="9.140625" style="1"/>
  </cols>
  <sheetData>
    <row r="1" spans="1:28" s="11" customFormat="1" ht="18.75" customHeight="1" x14ac:dyDescent="0.2">
      <c r="A1" s="17"/>
      <c r="S1" s="38"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310" t="str">
        <f>'1. паспорт местоположение'!A5:C5</f>
        <v>Год раскрытия информации: 2016 год</v>
      </c>
      <c r="B4" s="310"/>
      <c r="C4" s="310"/>
      <c r="D4" s="310"/>
      <c r="E4" s="310"/>
      <c r="F4" s="310"/>
      <c r="G4" s="310"/>
      <c r="H4" s="310"/>
      <c r="I4" s="310"/>
      <c r="J4" s="310"/>
      <c r="K4" s="310"/>
      <c r="L4" s="310"/>
      <c r="M4" s="310"/>
      <c r="N4" s="310"/>
      <c r="O4" s="310"/>
      <c r="P4" s="310"/>
      <c r="Q4" s="310"/>
      <c r="R4" s="310"/>
      <c r="S4" s="310"/>
    </row>
    <row r="5" spans="1:28" s="11" customFormat="1" ht="15.75" x14ac:dyDescent="0.2">
      <c r="A5" s="16"/>
    </row>
    <row r="6" spans="1:28" s="11" customFormat="1" ht="18.75" x14ac:dyDescent="0.2">
      <c r="A6" s="303" t="s">
        <v>9</v>
      </c>
      <c r="B6" s="303"/>
      <c r="C6" s="303"/>
      <c r="D6" s="303"/>
      <c r="E6" s="303"/>
      <c r="F6" s="303"/>
      <c r="G6" s="303"/>
      <c r="H6" s="303"/>
      <c r="I6" s="303"/>
      <c r="J6" s="303"/>
      <c r="K6" s="303"/>
      <c r="L6" s="303"/>
      <c r="M6" s="303"/>
      <c r="N6" s="303"/>
      <c r="O6" s="303"/>
      <c r="P6" s="303"/>
      <c r="Q6" s="303"/>
      <c r="R6" s="303"/>
      <c r="S6" s="303"/>
      <c r="T6" s="12"/>
      <c r="U6" s="12"/>
      <c r="V6" s="12"/>
      <c r="W6" s="12"/>
      <c r="X6" s="12"/>
      <c r="Y6" s="12"/>
      <c r="Z6" s="12"/>
      <c r="AA6" s="12"/>
      <c r="AB6" s="12"/>
    </row>
    <row r="7" spans="1:28" s="11" customFormat="1" ht="18.75" x14ac:dyDescent="0.2">
      <c r="A7" s="303"/>
      <c r="B7" s="303"/>
      <c r="C7" s="303"/>
      <c r="D7" s="303"/>
      <c r="E7" s="303"/>
      <c r="F7" s="303"/>
      <c r="G7" s="303"/>
      <c r="H7" s="303"/>
      <c r="I7" s="303"/>
      <c r="J7" s="303"/>
      <c r="K7" s="303"/>
      <c r="L7" s="303"/>
      <c r="M7" s="303"/>
      <c r="N7" s="303"/>
      <c r="O7" s="303"/>
      <c r="P7" s="303"/>
      <c r="Q7" s="303"/>
      <c r="R7" s="303"/>
      <c r="S7" s="303"/>
      <c r="T7" s="12"/>
      <c r="U7" s="12"/>
      <c r="V7" s="12"/>
      <c r="W7" s="12"/>
      <c r="X7" s="12"/>
      <c r="Y7" s="12"/>
      <c r="Z7" s="12"/>
      <c r="AA7" s="12"/>
      <c r="AB7" s="12"/>
    </row>
    <row r="8" spans="1:28" s="11" customFormat="1" ht="18.75" x14ac:dyDescent="0.2">
      <c r="A8" s="306" t="str">
        <f>'1. паспорт местоположение'!A9:C9</f>
        <v>АО "Янтарьэнерго"</v>
      </c>
      <c r="B8" s="306"/>
      <c r="C8" s="306"/>
      <c r="D8" s="306"/>
      <c r="E8" s="306"/>
      <c r="F8" s="306"/>
      <c r="G8" s="306"/>
      <c r="H8" s="306"/>
      <c r="I8" s="306"/>
      <c r="J8" s="306"/>
      <c r="K8" s="306"/>
      <c r="L8" s="306"/>
      <c r="M8" s="306"/>
      <c r="N8" s="306"/>
      <c r="O8" s="306"/>
      <c r="P8" s="306"/>
      <c r="Q8" s="306"/>
      <c r="R8" s="306"/>
      <c r="S8" s="306"/>
      <c r="T8" s="12"/>
      <c r="U8" s="12"/>
      <c r="V8" s="12"/>
      <c r="W8" s="12"/>
      <c r="X8" s="12"/>
      <c r="Y8" s="12"/>
      <c r="Z8" s="12"/>
      <c r="AA8" s="12"/>
      <c r="AB8" s="12"/>
    </row>
    <row r="9" spans="1:28" s="11" customFormat="1" ht="18.75" x14ac:dyDescent="0.2">
      <c r="A9" s="300" t="s">
        <v>8</v>
      </c>
      <c r="B9" s="300"/>
      <c r="C9" s="300"/>
      <c r="D9" s="300"/>
      <c r="E9" s="300"/>
      <c r="F9" s="300"/>
      <c r="G9" s="300"/>
      <c r="H9" s="300"/>
      <c r="I9" s="300"/>
      <c r="J9" s="300"/>
      <c r="K9" s="300"/>
      <c r="L9" s="300"/>
      <c r="M9" s="300"/>
      <c r="N9" s="300"/>
      <c r="O9" s="300"/>
      <c r="P9" s="300"/>
      <c r="Q9" s="300"/>
      <c r="R9" s="300"/>
      <c r="S9" s="300"/>
      <c r="T9" s="12"/>
      <c r="U9" s="12"/>
      <c r="V9" s="12"/>
      <c r="W9" s="12"/>
      <c r="X9" s="12"/>
      <c r="Y9" s="12"/>
      <c r="Z9" s="12"/>
      <c r="AA9" s="12"/>
      <c r="AB9" s="12"/>
    </row>
    <row r="10" spans="1:28" s="11" customFormat="1" ht="18.75" x14ac:dyDescent="0.2">
      <c r="A10" s="303"/>
      <c r="B10" s="303"/>
      <c r="C10" s="303"/>
      <c r="D10" s="303"/>
      <c r="E10" s="303"/>
      <c r="F10" s="303"/>
      <c r="G10" s="303"/>
      <c r="H10" s="303"/>
      <c r="I10" s="303"/>
      <c r="J10" s="303"/>
      <c r="K10" s="303"/>
      <c r="L10" s="303"/>
      <c r="M10" s="303"/>
      <c r="N10" s="303"/>
      <c r="O10" s="303"/>
      <c r="P10" s="303"/>
      <c r="Q10" s="303"/>
      <c r="R10" s="303"/>
      <c r="S10" s="303"/>
      <c r="T10" s="12"/>
      <c r="U10" s="12"/>
      <c r="V10" s="12"/>
      <c r="W10" s="12"/>
      <c r="X10" s="12"/>
      <c r="Y10" s="12"/>
      <c r="Z10" s="12"/>
      <c r="AA10" s="12"/>
      <c r="AB10" s="12"/>
    </row>
    <row r="11" spans="1:28" s="11" customFormat="1" ht="18.75" x14ac:dyDescent="0.2">
      <c r="A11" s="306" t="str">
        <f>'1. паспорт местоположение'!A12:C12</f>
        <v>E_prj_111001_2501</v>
      </c>
      <c r="B11" s="306"/>
      <c r="C11" s="306"/>
      <c r="D11" s="306"/>
      <c r="E11" s="306"/>
      <c r="F11" s="306"/>
      <c r="G11" s="306"/>
      <c r="H11" s="306"/>
      <c r="I11" s="306"/>
      <c r="J11" s="306"/>
      <c r="K11" s="306"/>
      <c r="L11" s="306"/>
      <c r="M11" s="306"/>
      <c r="N11" s="306"/>
      <c r="O11" s="306"/>
      <c r="P11" s="306"/>
      <c r="Q11" s="306"/>
      <c r="R11" s="306"/>
      <c r="S11" s="306"/>
      <c r="T11" s="12"/>
      <c r="U11" s="12"/>
      <c r="V11" s="12"/>
      <c r="W11" s="12"/>
      <c r="X11" s="12"/>
      <c r="Y11" s="12"/>
      <c r="Z11" s="12"/>
      <c r="AA11" s="12"/>
      <c r="AB11" s="12"/>
    </row>
    <row r="12" spans="1:28" s="11" customFormat="1" ht="18.75" x14ac:dyDescent="0.2">
      <c r="A12" s="300" t="s">
        <v>7</v>
      </c>
      <c r="B12" s="300"/>
      <c r="C12" s="300"/>
      <c r="D12" s="300"/>
      <c r="E12" s="300"/>
      <c r="F12" s="300"/>
      <c r="G12" s="300"/>
      <c r="H12" s="300"/>
      <c r="I12" s="300"/>
      <c r="J12" s="300"/>
      <c r="K12" s="300"/>
      <c r="L12" s="300"/>
      <c r="M12" s="300"/>
      <c r="N12" s="300"/>
      <c r="O12" s="300"/>
      <c r="P12" s="300"/>
      <c r="Q12" s="300"/>
      <c r="R12" s="300"/>
      <c r="S12" s="300"/>
      <c r="T12" s="12"/>
      <c r="U12" s="12"/>
      <c r="V12" s="12"/>
      <c r="W12" s="12"/>
      <c r="X12" s="12"/>
      <c r="Y12" s="12"/>
      <c r="Z12" s="12"/>
      <c r="AA12" s="12"/>
      <c r="AB12" s="12"/>
    </row>
    <row r="13" spans="1:28" s="8"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9"/>
      <c r="U13" s="9"/>
      <c r="V13" s="9"/>
      <c r="W13" s="9"/>
      <c r="X13" s="9"/>
      <c r="Y13" s="9"/>
      <c r="Z13" s="9"/>
      <c r="AA13" s="9"/>
      <c r="AB13" s="9"/>
    </row>
    <row r="14" spans="1:28" s="3" customFormat="1" ht="15.75" x14ac:dyDescent="0.2">
      <c r="A14" s="306" t="str">
        <f>'1. паспорт местоположение'!A15:C15</f>
        <v>Строительство ПС 110 кВ "Храброво" с заходами, г. Калининград</v>
      </c>
      <c r="B14" s="306"/>
      <c r="C14" s="306"/>
      <c r="D14" s="306"/>
      <c r="E14" s="306"/>
      <c r="F14" s="306"/>
      <c r="G14" s="306"/>
      <c r="H14" s="306"/>
      <c r="I14" s="306"/>
      <c r="J14" s="306"/>
      <c r="K14" s="306"/>
      <c r="L14" s="306"/>
      <c r="M14" s="306"/>
      <c r="N14" s="306"/>
      <c r="O14" s="306"/>
      <c r="P14" s="306"/>
      <c r="Q14" s="306"/>
      <c r="R14" s="306"/>
      <c r="S14" s="306"/>
      <c r="T14" s="7"/>
      <c r="U14" s="7"/>
      <c r="V14" s="7"/>
      <c r="W14" s="7"/>
      <c r="X14" s="7"/>
      <c r="Y14" s="7"/>
      <c r="Z14" s="7"/>
      <c r="AA14" s="7"/>
      <c r="AB14" s="7"/>
    </row>
    <row r="15" spans="1:28" s="3" customFormat="1" ht="15" customHeight="1" x14ac:dyDescent="0.2">
      <c r="A15" s="300" t="s">
        <v>6</v>
      </c>
      <c r="B15" s="300"/>
      <c r="C15" s="300"/>
      <c r="D15" s="300"/>
      <c r="E15" s="300"/>
      <c r="F15" s="300"/>
      <c r="G15" s="300"/>
      <c r="H15" s="300"/>
      <c r="I15" s="300"/>
      <c r="J15" s="300"/>
      <c r="K15" s="300"/>
      <c r="L15" s="300"/>
      <c r="M15" s="300"/>
      <c r="N15" s="300"/>
      <c r="O15" s="300"/>
      <c r="P15" s="300"/>
      <c r="Q15" s="300"/>
      <c r="R15" s="300"/>
      <c r="S15" s="300"/>
      <c r="T15" s="5"/>
      <c r="U15" s="5"/>
      <c r="V15" s="5"/>
      <c r="W15" s="5"/>
      <c r="X15" s="5"/>
      <c r="Y15" s="5"/>
      <c r="Z15" s="5"/>
      <c r="AA15" s="5"/>
      <c r="AB15" s="5"/>
    </row>
    <row r="16" spans="1:28" s="3" customFormat="1" ht="15" customHeight="1" x14ac:dyDescent="0.2">
      <c r="A16" s="307"/>
      <c r="B16" s="307"/>
      <c r="C16" s="307"/>
      <c r="D16" s="307"/>
      <c r="E16" s="307"/>
      <c r="F16" s="307"/>
      <c r="G16" s="307"/>
      <c r="H16" s="307"/>
      <c r="I16" s="307"/>
      <c r="J16" s="307"/>
      <c r="K16" s="307"/>
      <c r="L16" s="307"/>
      <c r="M16" s="307"/>
      <c r="N16" s="307"/>
      <c r="O16" s="307"/>
      <c r="P16" s="307"/>
      <c r="Q16" s="307"/>
      <c r="R16" s="307"/>
      <c r="S16" s="307"/>
      <c r="T16" s="4"/>
      <c r="U16" s="4"/>
      <c r="V16" s="4"/>
      <c r="W16" s="4"/>
      <c r="X16" s="4"/>
      <c r="Y16" s="4"/>
    </row>
    <row r="17" spans="1:28" s="3" customFormat="1" ht="45.75" customHeight="1" x14ac:dyDescent="0.2">
      <c r="A17" s="301" t="s">
        <v>437</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4"/>
      <c r="U18" s="4"/>
      <c r="V18" s="4"/>
      <c r="W18" s="4"/>
      <c r="X18" s="4"/>
      <c r="Y18" s="4"/>
    </row>
    <row r="19" spans="1:28" s="3" customFormat="1" ht="54" customHeight="1" x14ac:dyDescent="0.2">
      <c r="A19" s="311" t="s">
        <v>5</v>
      </c>
      <c r="B19" s="311" t="s">
        <v>100</v>
      </c>
      <c r="C19" s="312" t="s">
        <v>354</v>
      </c>
      <c r="D19" s="311" t="s">
        <v>353</v>
      </c>
      <c r="E19" s="311" t="s">
        <v>99</v>
      </c>
      <c r="F19" s="311" t="s">
        <v>98</v>
      </c>
      <c r="G19" s="311" t="s">
        <v>349</v>
      </c>
      <c r="H19" s="311" t="s">
        <v>97</v>
      </c>
      <c r="I19" s="311" t="s">
        <v>96</v>
      </c>
      <c r="J19" s="311" t="s">
        <v>95</v>
      </c>
      <c r="K19" s="311" t="s">
        <v>94</v>
      </c>
      <c r="L19" s="311" t="s">
        <v>93</v>
      </c>
      <c r="M19" s="311" t="s">
        <v>92</v>
      </c>
      <c r="N19" s="311" t="s">
        <v>91</v>
      </c>
      <c r="O19" s="311" t="s">
        <v>90</v>
      </c>
      <c r="P19" s="311" t="s">
        <v>89</v>
      </c>
      <c r="Q19" s="311" t="s">
        <v>352</v>
      </c>
      <c r="R19" s="311"/>
      <c r="S19" s="314" t="s">
        <v>431</v>
      </c>
      <c r="T19" s="4"/>
      <c r="U19" s="4"/>
      <c r="V19" s="4"/>
      <c r="W19" s="4"/>
      <c r="X19" s="4"/>
      <c r="Y19" s="4"/>
    </row>
    <row r="20" spans="1:28" s="3" customFormat="1" ht="180.75" customHeight="1" x14ac:dyDescent="0.2">
      <c r="A20" s="311"/>
      <c r="B20" s="311"/>
      <c r="C20" s="313"/>
      <c r="D20" s="311"/>
      <c r="E20" s="311"/>
      <c r="F20" s="311"/>
      <c r="G20" s="311"/>
      <c r="H20" s="311"/>
      <c r="I20" s="311"/>
      <c r="J20" s="311"/>
      <c r="K20" s="311"/>
      <c r="L20" s="311"/>
      <c r="M20" s="311"/>
      <c r="N20" s="311"/>
      <c r="O20" s="311"/>
      <c r="P20" s="311"/>
      <c r="Q20" s="41" t="s">
        <v>350</v>
      </c>
      <c r="R20" s="42" t="s">
        <v>351</v>
      </c>
      <c r="S20" s="314"/>
      <c r="T20" s="27"/>
      <c r="U20" s="27"/>
      <c r="V20" s="27"/>
      <c r="W20" s="27"/>
      <c r="X20" s="27"/>
      <c r="Y20" s="27"/>
      <c r="Z20" s="26"/>
      <c r="AA20" s="26"/>
      <c r="AB20" s="26"/>
    </row>
    <row r="21" spans="1:28" s="3" customFormat="1" ht="18.75" x14ac:dyDescent="0.2">
      <c r="A21" s="41">
        <v>1</v>
      </c>
      <c r="B21" s="44">
        <v>2</v>
      </c>
      <c r="C21" s="41">
        <v>3</v>
      </c>
      <c r="D21" s="44">
        <v>4</v>
      </c>
      <c r="E21" s="41">
        <v>5</v>
      </c>
      <c r="F21" s="44">
        <v>6</v>
      </c>
      <c r="G21" s="141">
        <v>7</v>
      </c>
      <c r="H21" s="142">
        <v>8</v>
      </c>
      <c r="I21" s="141">
        <v>9</v>
      </c>
      <c r="J21" s="142">
        <v>10</v>
      </c>
      <c r="K21" s="141">
        <v>11</v>
      </c>
      <c r="L21" s="142">
        <v>12</v>
      </c>
      <c r="M21" s="141">
        <v>13</v>
      </c>
      <c r="N21" s="142">
        <v>14</v>
      </c>
      <c r="O21" s="141">
        <v>15</v>
      </c>
      <c r="P21" s="142">
        <v>16</v>
      </c>
      <c r="Q21" s="141">
        <v>17</v>
      </c>
      <c r="R21" s="142">
        <v>18</v>
      </c>
      <c r="S21" s="141">
        <v>19</v>
      </c>
      <c r="T21" s="27"/>
      <c r="U21" s="27"/>
      <c r="V21" s="27"/>
      <c r="W21" s="27"/>
      <c r="X21" s="27"/>
      <c r="Y21" s="27"/>
      <c r="Z21" s="26"/>
      <c r="AA21" s="26"/>
      <c r="AB21" s="26"/>
    </row>
    <row r="22" spans="1:28" s="3" customFormat="1" ht="409.6" customHeight="1" x14ac:dyDescent="0.2">
      <c r="A22" s="41"/>
      <c r="B22" s="37" t="s">
        <v>529</v>
      </c>
      <c r="C22" s="37" t="s">
        <v>528</v>
      </c>
      <c r="D22" s="37" t="s">
        <v>530</v>
      </c>
      <c r="E22" s="37" t="s">
        <v>532</v>
      </c>
      <c r="F22" s="37" t="s">
        <v>531</v>
      </c>
      <c r="G22" s="37" t="s">
        <v>533</v>
      </c>
      <c r="H22" s="37">
        <v>5</v>
      </c>
      <c r="I22" s="37" t="s">
        <v>348</v>
      </c>
      <c r="J22" s="37">
        <v>5</v>
      </c>
      <c r="K22" s="37">
        <v>10</v>
      </c>
      <c r="L22" s="37" t="s">
        <v>534</v>
      </c>
      <c r="M22" s="37">
        <v>20</v>
      </c>
      <c r="N22" s="37">
        <v>2</v>
      </c>
      <c r="O22" s="37"/>
      <c r="P22" s="44"/>
      <c r="Q22" s="37"/>
      <c r="R22" s="36" t="s">
        <v>535</v>
      </c>
      <c r="S22" s="140" t="s">
        <v>536</v>
      </c>
      <c r="T22" s="27"/>
      <c r="U22" s="27"/>
      <c r="V22" s="27"/>
      <c r="W22" s="27"/>
      <c r="X22" s="27"/>
      <c r="Y22" s="27"/>
      <c r="Z22" s="26"/>
      <c r="AA22" s="26"/>
      <c r="AB22" s="26"/>
    </row>
    <row r="23" spans="1:28" s="3" customFormat="1" ht="409.5" x14ac:dyDescent="0.2">
      <c r="A23" s="41"/>
      <c r="B23" s="37" t="s">
        <v>537</v>
      </c>
      <c r="C23" s="37"/>
      <c r="D23" s="37" t="s">
        <v>538</v>
      </c>
      <c r="E23" s="37" t="s">
        <v>540</v>
      </c>
      <c r="F23" s="37" t="s">
        <v>539</v>
      </c>
      <c r="G23" s="37" t="s">
        <v>541</v>
      </c>
      <c r="H23" s="234">
        <v>3.012</v>
      </c>
      <c r="I23" s="234">
        <v>1.7450000000000001</v>
      </c>
      <c r="J23" s="234">
        <v>1.2669999999999999</v>
      </c>
      <c r="K23" s="234">
        <v>10</v>
      </c>
      <c r="L23" s="234" t="s">
        <v>534</v>
      </c>
      <c r="M23" s="234">
        <v>20</v>
      </c>
      <c r="N23" s="234">
        <v>2</v>
      </c>
      <c r="O23" s="234"/>
      <c r="P23" s="234"/>
      <c r="Q23" s="234"/>
      <c r="R23" s="36" t="s">
        <v>535</v>
      </c>
      <c r="S23" s="140" t="s">
        <v>536</v>
      </c>
      <c r="T23" s="27"/>
      <c r="U23" s="27"/>
      <c r="V23" s="27"/>
      <c r="W23" s="27"/>
      <c r="X23" s="26"/>
      <c r="Y23" s="26"/>
      <c r="Z23" s="26"/>
      <c r="AA23" s="26"/>
      <c r="AB23" s="26"/>
    </row>
    <row r="24" spans="1:28" ht="20.25" customHeight="1" x14ac:dyDescent="0.25">
      <c r="A24" s="111"/>
      <c r="B24" s="44" t="s">
        <v>347</v>
      </c>
      <c r="C24" s="44"/>
      <c r="D24" s="44"/>
      <c r="E24" s="111" t="s">
        <v>348</v>
      </c>
      <c r="F24" s="111" t="s">
        <v>348</v>
      </c>
      <c r="G24" s="111" t="s">
        <v>348</v>
      </c>
      <c r="H24" s="111">
        <f>SUM(H22:H23)</f>
        <v>8.0120000000000005</v>
      </c>
      <c r="I24" s="111">
        <f t="shared" ref="I24:J24" si="0">SUM(I22:I23)</f>
        <v>1.7450000000000001</v>
      </c>
      <c r="J24" s="111">
        <f t="shared" si="0"/>
        <v>6.2669999999999995</v>
      </c>
      <c r="K24" s="111"/>
      <c r="L24" s="111"/>
      <c r="M24" s="111"/>
      <c r="N24" s="111"/>
      <c r="O24" s="111"/>
      <c r="P24" s="111"/>
      <c r="Q24" s="112"/>
      <c r="R24" s="2"/>
      <c r="S24" s="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3" zoomScale="80" zoomScaleNormal="60" zoomScaleSheetLayoutView="80" workbookViewId="0">
      <selection activeCell="H26" sqref="H26"/>
    </sheetView>
  </sheetViews>
  <sheetFormatPr defaultColWidth="10.7109375" defaultRowHeight="15.75" x14ac:dyDescent="0.25"/>
  <cols>
    <col min="1" max="1" width="9.5703125" style="49" customWidth="1"/>
    <col min="2" max="3" width="15.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310" t="str">
        <f>'1. паспорт местоположение'!A5:C5</f>
        <v>Год раскрытия информации: 2016 год</v>
      </c>
      <c r="B6" s="310"/>
      <c r="C6" s="310"/>
      <c r="D6" s="310"/>
      <c r="E6" s="310"/>
      <c r="F6" s="310"/>
      <c r="G6" s="310"/>
      <c r="H6" s="310"/>
      <c r="I6" s="310"/>
      <c r="J6" s="310"/>
      <c r="K6" s="310"/>
      <c r="L6" s="310"/>
      <c r="M6" s="310"/>
      <c r="N6" s="310"/>
      <c r="O6" s="310"/>
      <c r="P6" s="310"/>
      <c r="Q6" s="310"/>
      <c r="R6" s="310"/>
      <c r="S6" s="310"/>
      <c r="T6" s="310"/>
    </row>
    <row r="7" spans="1:20" s="11" customFormat="1" x14ac:dyDescent="0.2">
      <c r="A7" s="16"/>
      <c r="H7" s="15"/>
    </row>
    <row r="8" spans="1:20" s="11" customFormat="1" ht="18.75" x14ac:dyDescent="0.2">
      <c r="A8" s="303" t="s">
        <v>9</v>
      </c>
      <c r="B8" s="303"/>
      <c r="C8" s="303"/>
      <c r="D8" s="303"/>
      <c r="E8" s="303"/>
      <c r="F8" s="303"/>
      <c r="G8" s="303"/>
      <c r="H8" s="303"/>
      <c r="I8" s="303"/>
      <c r="J8" s="303"/>
      <c r="K8" s="303"/>
      <c r="L8" s="303"/>
      <c r="M8" s="303"/>
      <c r="N8" s="303"/>
      <c r="O8" s="303"/>
      <c r="P8" s="303"/>
      <c r="Q8" s="303"/>
      <c r="R8" s="303"/>
      <c r="S8" s="303"/>
      <c r="T8" s="303"/>
    </row>
    <row r="9" spans="1:20" s="11" customFormat="1" ht="18.75" x14ac:dyDescent="0.2">
      <c r="A9" s="303"/>
      <c r="B9" s="303"/>
      <c r="C9" s="303"/>
      <c r="D9" s="303"/>
      <c r="E9" s="303"/>
      <c r="F9" s="303"/>
      <c r="G9" s="303"/>
      <c r="H9" s="303"/>
      <c r="I9" s="303"/>
      <c r="J9" s="303"/>
      <c r="K9" s="303"/>
      <c r="L9" s="303"/>
      <c r="M9" s="303"/>
      <c r="N9" s="303"/>
      <c r="O9" s="303"/>
      <c r="P9" s="303"/>
      <c r="Q9" s="303"/>
      <c r="R9" s="303"/>
      <c r="S9" s="303"/>
      <c r="T9" s="303"/>
    </row>
    <row r="10" spans="1:20" s="11" customFormat="1" ht="18.75" customHeight="1" x14ac:dyDescent="0.2">
      <c r="A10" s="306" t="str">
        <f>'1. паспорт местоположение'!A9:C9</f>
        <v>АО "Янтарьэнерго"</v>
      </c>
      <c r="B10" s="306"/>
      <c r="C10" s="306"/>
      <c r="D10" s="306"/>
      <c r="E10" s="306"/>
      <c r="F10" s="306"/>
      <c r="G10" s="306"/>
      <c r="H10" s="306"/>
      <c r="I10" s="306"/>
      <c r="J10" s="306"/>
      <c r="K10" s="306"/>
      <c r="L10" s="306"/>
      <c r="M10" s="306"/>
      <c r="N10" s="306"/>
      <c r="O10" s="306"/>
      <c r="P10" s="306"/>
      <c r="Q10" s="306"/>
      <c r="R10" s="306"/>
      <c r="S10" s="306"/>
      <c r="T10" s="306"/>
    </row>
    <row r="11" spans="1:20" s="11" customFormat="1" ht="18.75" customHeight="1" x14ac:dyDescent="0.2">
      <c r="A11" s="300" t="s">
        <v>8</v>
      </c>
      <c r="B11" s="300"/>
      <c r="C11" s="300"/>
      <c r="D11" s="300"/>
      <c r="E11" s="300"/>
      <c r="F11" s="300"/>
      <c r="G11" s="300"/>
      <c r="H11" s="300"/>
      <c r="I11" s="300"/>
      <c r="J11" s="300"/>
      <c r="K11" s="300"/>
      <c r="L11" s="300"/>
      <c r="M11" s="300"/>
      <c r="N11" s="300"/>
      <c r="O11" s="300"/>
      <c r="P11" s="300"/>
      <c r="Q11" s="300"/>
      <c r="R11" s="300"/>
      <c r="S11" s="300"/>
      <c r="T11" s="300"/>
    </row>
    <row r="12" spans="1:20" s="11" customFormat="1" ht="18.75" x14ac:dyDescent="0.2">
      <c r="A12" s="303"/>
      <c r="B12" s="303"/>
      <c r="C12" s="303"/>
      <c r="D12" s="303"/>
      <c r="E12" s="303"/>
      <c r="F12" s="303"/>
      <c r="G12" s="303"/>
      <c r="H12" s="303"/>
      <c r="I12" s="303"/>
      <c r="J12" s="303"/>
      <c r="K12" s="303"/>
      <c r="L12" s="303"/>
      <c r="M12" s="303"/>
      <c r="N12" s="303"/>
      <c r="O12" s="303"/>
      <c r="P12" s="303"/>
      <c r="Q12" s="303"/>
      <c r="R12" s="303"/>
      <c r="S12" s="303"/>
      <c r="T12" s="303"/>
    </row>
    <row r="13" spans="1:20" s="11" customFormat="1" ht="18.75" customHeight="1" x14ac:dyDescent="0.2">
      <c r="A13" s="306" t="str">
        <f>'1. паспорт местоположение'!A12:C12</f>
        <v>E_prj_111001_2501</v>
      </c>
      <c r="B13" s="306"/>
      <c r="C13" s="306"/>
      <c r="D13" s="306"/>
      <c r="E13" s="306"/>
      <c r="F13" s="306"/>
      <c r="G13" s="306"/>
      <c r="H13" s="306"/>
      <c r="I13" s="306"/>
      <c r="J13" s="306"/>
      <c r="K13" s="306"/>
      <c r="L13" s="306"/>
      <c r="M13" s="306"/>
      <c r="N13" s="306"/>
      <c r="O13" s="306"/>
      <c r="P13" s="306"/>
      <c r="Q13" s="306"/>
      <c r="R13" s="306"/>
      <c r="S13" s="306"/>
      <c r="T13" s="306"/>
    </row>
    <row r="14" spans="1:20" s="11" customFormat="1" ht="18.75" customHeight="1" x14ac:dyDescent="0.2">
      <c r="A14" s="300" t="s">
        <v>7</v>
      </c>
      <c r="B14" s="300"/>
      <c r="C14" s="300"/>
      <c r="D14" s="300"/>
      <c r="E14" s="300"/>
      <c r="F14" s="300"/>
      <c r="G14" s="300"/>
      <c r="H14" s="300"/>
      <c r="I14" s="300"/>
      <c r="J14" s="300"/>
      <c r="K14" s="300"/>
      <c r="L14" s="300"/>
      <c r="M14" s="300"/>
      <c r="N14" s="300"/>
      <c r="O14" s="300"/>
      <c r="P14" s="300"/>
      <c r="Q14" s="300"/>
      <c r="R14" s="300"/>
      <c r="S14" s="300"/>
      <c r="T14" s="300"/>
    </row>
    <row r="15" spans="1:20" s="8"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3" customFormat="1" x14ac:dyDescent="0.2">
      <c r="A16" s="318" t="str">
        <f>'1. паспорт местоположение'!A15:C15</f>
        <v>Строительство ПС 110 кВ "Храброво" с заходами, г. Калининград</v>
      </c>
      <c r="B16" s="318"/>
      <c r="C16" s="318"/>
      <c r="D16" s="318"/>
      <c r="E16" s="318"/>
      <c r="F16" s="318"/>
      <c r="G16" s="318"/>
      <c r="H16" s="318"/>
      <c r="I16" s="318"/>
      <c r="J16" s="318"/>
      <c r="K16" s="318"/>
      <c r="L16" s="318"/>
      <c r="M16" s="318"/>
      <c r="N16" s="318"/>
      <c r="O16" s="318"/>
      <c r="P16" s="318"/>
      <c r="Q16" s="318"/>
      <c r="R16" s="318"/>
      <c r="S16" s="318"/>
      <c r="T16" s="318"/>
    </row>
    <row r="17" spans="1:20" s="3" customFormat="1" ht="15" customHeight="1" x14ac:dyDescent="0.2">
      <c r="A17" s="300" t="s">
        <v>6</v>
      </c>
      <c r="B17" s="300"/>
      <c r="C17" s="300"/>
      <c r="D17" s="300"/>
      <c r="E17" s="300"/>
      <c r="F17" s="300"/>
      <c r="G17" s="300"/>
      <c r="H17" s="300"/>
      <c r="I17" s="300"/>
      <c r="J17" s="300"/>
      <c r="K17" s="300"/>
      <c r="L17" s="300"/>
      <c r="M17" s="300"/>
      <c r="N17" s="300"/>
      <c r="O17" s="300"/>
      <c r="P17" s="300"/>
      <c r="Q17" s="300"/>
      <c r="R17" s="300"/>
      <c r="S17" s="300"/>
      <c r="T17" s="300"/>
    </row>
    <row r="18" spans="1:20" s="3"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07"/>
    </row>
    <row r="19" spans="1:20" s="3" customFormat="1" ht="15" customHeight="1" x14ac:dyDescent="0.2">
      <c r="A19" s="302" t="s">
        <v>442</v>
      </c>
      <c r="B19" s="302"/>
      <c r="C19" s="302"/>
      <c r="D19" s="302"/>
      <c r="E19" s="302"/>
      <c r="F19" s="302"/>
      <c r="G19" s="302"/>
      <c r="H19" s="302"/>
      <c r="I19" s="302"/>
      <c r="J19" s="302"/>
      <c r="K19" s="302"/>
      <c r="L19" s="302"/>
      <c r="M19" s="302"/>
      <c r="N19" s="302"/>
      <c r="O19" s="302"/>
      <c r="P19" s="302"/>
      <c r="Q19" s="302"/>
      <c r="R19" s="302"/>
      <c r="S19" s="302"/>
      <c r="T19" s="302"/>
    </row>
    <row r="20" spans="1:20" s="57" customFormat="1" ht="21" customHeight="1" x14ac:dyDescent="0.25">
      <c r="A20" s="319"/>
      <c r="B20" s="319"/>
      <c r="C20" s="319"/>
      <c r="D20" s="319"/>
      <c r="E20" s="319"/>
      <c r="F20" s="319"/>
      <c r="G20" s="319"/>
      <c r="H20" s="319"/>
      <c r="I20" s="319"/>
      <c r="J20" s="319"/>
      <c r="K20" s="319"/>
      <c r="L20" s="319"/>
      <c r="M20" s="319"/>
      <c r="N20" s="319"/>
      <c r="O20" s="319"/>
      <c r="P20" s="319"/>
      <c r="Q20" s="319"/>
      <c r="R20" s="319"/>
      <c r="S20" s="319"/>
      <c r="T20" s="319"/>
    </row>
    <row r="21" spans="1:20" ht="46.5" customHeight="1" x14ac:dyDescent="0.25">
      <c r="A21" s="320" t="s">
        <v>5</v>
      </c>
      <c r="B21" s="323" t="s">
        <v>210</v>
      </c>
      <c r="C21" s="324"/>
      <c r="D21" s="327" t="s">
        <v>122</v>
      </c>
      <c r="E21" s="323" t="s">
        <v>471</v>
      </c>
      <c r="F21" s="324"/>
      <c r="G21" s="323" t="s">
        <v>261</v>
      </c>
      <c r="H21" s="324"/>
      <c r="I21" s="323" t="s">
        <v>121</v>
      </c>
      <c r="J21" s="324"/>
      <c r="K21" s="327" t="s">
        <v>120</v>
      </c>
      <c r="L21" s="323" t="s">
        <v>119</v>
      </c>
      <c r="M21" s="324"/>
      <c r="N21" s="323" t="s">
        <v>467</v>
      </c>
      <c r="O21" s="324"/>
      <c r="P21" s="327" t="s">
        <v>118</v>
      </c>
      <c r="Q21" s="315" t="s">
        <v>117</v>
      </c>
      <c r="R21" s="316"/>
      <c r="S21" s="315" t="s">
        <v>116</v>
      </c>
      <c r="T21" s="317"/>
    </row>
    <row r="22" spans="1:20" ht="204.75" customHeight="1" x14ac:dyDescent="0.25">
      <c r="A22" s="321"/>
      <c r="B22" s="325"/>
      <c r="C22" s="326"/>
      <c r="D22" s="330"/>
      <c r="E22" s="325"/>
      <c r="F22" s="326"/>
      <c r="G22" s="325"/>
      <c r="H22" s="326"/>
      <c r="I22" s="325"/>
      <c r="J22" s="326"/>
      <c r="K22" s="328"/>
      <c r="L22" s="325"/>
      <c r="M22" s="326"/>
      <c r="N22" s="325"/>
      <c r="O22" s="326"/>
      <c r="P22" s="328"/>
      <c r="Q22" s="102" t="s">
        <v>115</v>
      </c>
      <c r="R22" s="102" t="s">
        <v>441</v>
      </c>
      <c r="S22" s="102" t="s">
        <v>114</v>
      </c>
      <c r="T22" s="102" t="s">
        <v>113</v>
      </c>
    </row>
    <row r="23" spans="1:20" ht="51.75" customHeight="1" x14ac:dyDescent="0.25">
      <c r="A23" s="322"/>
      <c r="B23" s="149" t="s">
        <v>111</v>
      </c>
      <c r="C23" s="149" t="s">
        <v>112</v>
      </c>
      <c r="D23" s="328"/>
      <c r="E23" s="149" t="s">
        <v>111</v>
      </c>
      <c r="F23" s="149" t="s">
        <v>112</v>
      </c>
      <c r="G23" s="149" t="s">
        <v>111</v>
      </c>
      <c r="H23" s="149" t="s">
        <v>112</v>
      </c>
      <c r="I23" s="149" t="s">
        <v>111</v>
      </c>
      <c r="J23" s="149" t="s">
        <v>112</v>
      </c>
      <c r="K23" s="149" t="s">
        <v>111</v>
      </c>
      <c r="L23" s="149" t="s">
        <v>111</v>
      </c>
      <c r="M23" s="149" t="s">
        <v>112</v>
      </c>
      <c r="N23" s="149" t="s">
        <v>111</v>
      </c>
      <c r="O23" s="149" t="s">
        <v>112</v>
      </c>
      <c r="P23" s="150" t="s">
        <v>111</v>
      </c>
      <c r="Q23" s="102" t="s">
        <v>111</v>
      </c>
      <c r="R23" s="102" t="s">
        <v>111</v>
      </c>
      <c r="S23" s="102" t="s">
        <v>111</v>
      </c>
      <c r="T23" s="102" t="s">
        <v>111</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7" customFormat="1" ht="47.25" x14ac:dyDescent="0.25">
      <c r="A25" s="242">
        <v>1</v>
      </c>
      <c r="B25" s="331" t="s">
        <v>348</v>
      </c>
      <c r="C25" s="331" t="s">
        <v>552</v>
      </c>
      <c r="D25" s="242" t="s">
        <v>553</v>
      </c>
      <c r="E25" s="242" t="s">
        <v>348</v>
      </c>
      <c r="F25" s="242" t="s">
        <v>644</v>
      </c>
      <c r="G25" s="242" t="s">
        <v>348</v>
      </c>
      <c r="H25" s="242" t="s">
        <v>556</v>
      </c>
      <c r="I25" s="242" t="s">
        <v>348</v>
      </c>
      <c r="J25" s="243">
        <v>2016</v>
      </c>
      <c r="K25" s="242" t="s">
        <v>348</v>
      </c>
      <c r="L25" s="242" t="s">
        <v>348</v>
      </c>
      <c r="M25" s="242">
        <v>110</v>
      </c>
      <c r="N25" s="242" t="s">
        <v>348</v>
      </c>
      <c r="O25" s="242">
        <v>80</v>
      </c>
      <c r="P25" s="242" t="s">
        <v>348</v>
      </c>
      <c r="Q25" s="242" t="s">
        <v>348</v>
      </c>
      <c r="R25" s="242" t="s">
        <v>348</v>
      </c>
      <c r="S25" s="242" t="s">
        <v>348</v>
      </c>
      <c r="T25" s="242" t="s">
        <v>348</v>
      </c>
    </row>
    <row r="26" spans="1:20" s="57" customFormat="1" ht="31.5" x14ac:dyDescent="0.25">
      <c r="A26" s="242"/>
      <c r="B26" s="332"/>
      <c r="C26" s="332"/>
      <c r="D26" s="242" t="s">
        <v>649</v>
      </c>
      <c r="E26" s="242" t="s">
        <v>348</v>
      </c>
      <c r="F26" s="242" t="s">
        <v>644</v>
      </c>
      <c r="G26" s="242" t="s">
        <v>348</v>
      </c>
      <c r="H26" s="242" t="s">
        <v>556</v>
      </c>
      <c r="I26" s="242" t="s">
        <v>348</v>
      </c>
      <c r="J26" s="243">
        <v>2016</v>
      </c>
      <c r="K26" s="242" t="s">
        <v>348</v>
      </c>
      <c r="L26" s="242" t="s">
        <v>348</v>
      </c>
      <c r="M26" s="242">
        <v>110</v>
      </c>
      <c r="N26" s="242" t="s">
        <v>348</v>
      </c>
      <c r="O26" s="242">
        <v>20</v>
      </c>
      <c r="P26" s="242" t="s">
        <v>348</v>
      </c>
      <c r="Q26" s="242" t="s">
        <v>348</v>
      </c>
      <c r="R26" s="242" t="s">
        <v>348</v>
      </c>
      <c r="S26" s="242" t="s">
        <v>348</v>
      </c>
      <c r="T26" s="242" t="s">
        <v>348</v>
      </c>
    </row>
    <row r="27" spans="1:20" s="57" customFormat="1" ht="78.75" x14ac:dyDescent="0.25">
      <c r="A27" s="242">
        <v>2</v>
      </c>
      <c r="B27" s="332"/>
      <c r="C27" s="332"/>
      <c r="D27" s="242" t="s">
        <v>554</v>
      </c>
      <c r="E27" s="242" t="s">
        <v>348</v>
      </c>
      <c r="F27" s="242" t="s">
        <v>555</v>
      </c>
      <c r="G27" s="242" t="s">
        <v>348</v>
      </c>
      <c r="H27" s="242"/>
      <c r="I27" s="242" t="s">
        <v>348</v>
      </c>
      <c r="J27" s="243">
        <v>2016</v>
      </c>
      <c r="K27" s="242" t="s">
        <v>348</v>
      </c>
      <c r="L27" s="242" t="s">
        <v>348</v>
      </c>
      <c r="M27" s="242">
        <v>110</v>
      </c>
      <c r="N27" s="242" t="s">
        <v>348</v>
      </c>
      <c r="O27" s="242" t="s">
        <v>348</v>
      </c>
      <c r="P27" s="242" t="s">
        <v>348</v>
      </c>
      <c r="Q27" s="242" t="s">
        <v>348</v>
      </c>
      <c r="R27" s="242" t="s">
        <v>348</v>
      </c>
      <c r="S27" s="242" t="s">
        <v>348</v>
      </c>
      <c r="T27" s="242" t="s">
        <v>348</v>
      </c>
    </row>
    <row r="28" spans="1:20" s="57" customFormat="1" ht="47.25" x14ac:dyDescent="0.25">
      <c r="A28" s="242">
        <v>3</v>
      </c>
      <c r="B28" s="332"/>
      <c r="C28" s="332"/>
      <c r="D28" s="242" t="s">
        <v>557</v>
      </c>
      <c r="E28" s="242" t="s">
        <v>348</v>
      </c>
      <c r="F28" s="242" t="s">
        <v>558</v>
      </c>
      <c r="G28" s="242" t="s">
        <v>348</v>
      </c>
      <c r="H28" s="242" t="s">
        <v>559</v>
      </c>
      <c r="I28" s="242" t="s">
        <v>348</v>
      </c>
      <c r="J28" s="243">
        <v>2016</v>
      </c>
      <c r="K28" s="242" t="s">
        <v>348</v>
      </c>
      <c r="L28" s="242" t="s">
        <v>348</v>
      </c>
      <c r="M28" s="242">
        <v>10</v>
      </c>
      <c r="N28" s="242" t="s">
        <v>348</v>
      </c>
      <c r="O28" s="242" t="s">
        <v>348</v>
      </c>
      <c r="P28" s="242" t="s">
        <v>348</v>
      </c>
      <c r="Q28" s="242" t="s">
        <v>348</v>
      </c>
      <c r="R28" s="242" t="s">
        <v>348</v>
      </c>
      <c r="S28" s="242" t="s">
        <v>348</v>
      </c>
      <c r="T28" s="242" t="s">
        <v>348</v>
      </c>
    </row>
    <row r="29" spans="1:20" s="57" customFormat="1" ht="31.5" x14ac:dyDescent="0.25">
      <c r="A29" s="242">
        <v>4</v>
      </c>
      <c r="B29" s="333"/>
      <c r="C29" s="333"/>
      <c r="D29" s="242" t="s">
        <v>560</v>
      </c>
      <c r="E29" s="242" t="s">
        <v>348</v>
      </c>
      <c r="F29" s="242" t="s">
        <v>561</v>
      </c>
      <c r="G29" s="242" t="s">
        <v>348</v>
      </c>
      <c r="H29" s="242" t="s">
        <v>562</v>
      </c>
      <c r="I29" s="242" t="s">
        <v>348</v>
      </c>
      <c r="J29" s="243">
        <v>2016</v>
      </c>
      <c r="K29" s="242" t="s">
        <v>348</v>
      </c>
      <c r="L29" s="242" t="s">
        <v>348</v>
      </c>
      <c r="M29" s="242">
        <v>10</v>
      </c>
      <c r="N29" s="242" t="s">
        <v>348</v>
      </c>
      <c r="O29" s="242">
        <f>2*0.25</f>
        <v>0.5</v>
      </c>
      <c r="P29" s="242" t="s">
        <v>348</v>
      </c>
      <c r="Q29" s="242" t="s">
        <v>348</v>
      </c>
      <c r="R29" s="242" t="s">
        <v>348</v>
      </c>
      <c r="S29" s="242" t="s">
        <v>348</v>
      </c>
      <c r="T29" s="242" t="s">
        <v>348</v>
      </c>
    </row>
    <row r="30" spans="1:20" s="55" customFormat="1" ht="12.75" x14ac:dyDescent="0.2">
      <c r="B30" s="56"/>
      <c r="C30" s="56"/>
      <c r="K30" s="56"/>
    </row>
    <row r="31" spans="1:20" s="55" customFormat="1" x14ac:dyDescent="0.25">
      <c r="B31" s="53" t="s">
        <v>110</v>
      </c>
      <c r="C31" s="53"/>
      <c r="D31" s="53"/>
      <c r="E31" s="53"/>
      <c r="F31" s="53"/>
      <c r="G31" s="53"/>
      <c r="H31" s="53"/>
      <c r="I31" s="53"/>
      <c r="J31" s="53"/>
      <c r="K31" s="53"/>
      <c r="L31" s="53"/>
      <c r="M31" s="53"/>
      <c r="N31" s="53"/>
      <c r="O31" s="53"/>
      <c r="P31" s="53"/>
      <c r="Q31" s="53"/>
      <c r="R31" s="53"/>
    </row>
    <row r="32" spans="1:20" x14ac:dyDescent="0.25">
      <c r="B32" s="329" t="s">
        <v>477</v>
      </c>
      <c r="C32" s="329"/>
      <c r="D32" s="329"/>
      <c r="E32" s="329"/>
      <c r="F32" s="329"/>
      <c r="G32" s="329"/>
      <c r="H32" s="329"/>
      <c r="I32" s="329"/>
      <c r="J32" s="329"/>
      <c r="K32" s="329"/>
      <c r="L32" s="329"/>
      <c r="M32" s="329"/>
      <c r="N32" s="329"/>
      <c r="O32" s="329"/>
      <c r="P32" s="329"/>
      <c r="Q32" s="329"/>
      <c r="R32" s="329"/>
    </row>
    <row r="33" spans="2:113" x14ac:dyDescent="0.25">
      <c r="B33" s="53"/>
      <c r="C33" s="53"/>
      <c r="D33" s="53"/>
      <c r="E33" s="53"/>
      <c r="F33" s="53"/>
      <c r="G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x14ac:dyDescent="0.25">
      <c r="B34" s="52" t="s">
        <v>440</v>
      </c>
      <c r="C34" s="52"/>
      <c r="D34" s="52"/>
      <c r="E34" s="52"/>
      <c r="F34" s="50"/>
      <c r="G34" s="50"/>
      <c r="H34" s="52"/>
      <c r="I34" s="52"/>
      <c r="J34" s="52"/>
      <c r="K34" s="52"/>
      <c r="L34" s="52"/>
      <c r="M34" s="52"/>
      <c r="N34" s="52"/>
      <c r="O34" s="52"/>
      <c r="P34" s="52"/>
      <c r="Q34" s="52"/>
      <c r="R34" s="52"/>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x14ac:dyDescent="0.25">
      <c r="B35" s="52" t="s">
        <v>109</v>
      </c>
      <c r="C35" s="52"/>
      <c r="D35" s="52"/>
      <c r="E35" s="52"/>
      <c r="F35" s="50"/>
      <c r="G35" s="50"/>
      <c r="H35" s="52"/>
      <c r="I35" s="52"/>
      <c r="J35" s="52"/>
      <c r="K35" s="52"/>
      <c r="L35" s="52"/>
      <c r="M35" s="52"/>
      <c r="N35" s="52"/>
      <c r="O35" s="52"/>
      <c r="P35" s="52"/>
      <c r="Q35" s="52"/>
      <c r="R35" s="52"/>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0" customFormat="1" x14ac:dyDescent="0.25">
      <c r="B36" s="52" t="s">
        <v>108</v>
      </c>
      <c r="C36" s="52"/>
      <c r="D36" s="52"/>
      <c r="E36" s="52"/>
      <c r="H36" s="52"/>
      <c r="I36" s="52"/>
      <c r="J36" s="52"/>
      <c r="K36" s="52"/>
      <c r="L36" s="52"/>
      <c r="M36" s="52"/>
      <c r="N36" s="52"/>
      <c r="O36" s="52"/>
      <c r="P36" s="52"/>
      <c r="Q36" s="52"/>
      <c r="R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106</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105</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104</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103</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102</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B43" s="52" t="s">
        <v>101</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2:113" s="50" customFormat="1" x14ac:dyDescent="0.25">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sheetData>
  <mergeCells count="29">
    <mergeCell ref="B32:R32"/>
    <mergeCell ref="L21:M22"/>
    <mergeCell ref="N21:O22"/>
    <mergeCell ref="P21:P22"/>
    <mergeCell ref="D21:D23"/>
    <mergeCell ref="B21:C22"/>
    <mergeCell ref="B25:B29"/>
    <mergeCell ref="C25:C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0" zoomScale="80" zoomScaleSheetLayoutView="80" workbookViewId="0">
      <selection activeCell="R25" sqref="R25:R2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20.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310" t="str">
        <f>'1. паспорт местоположение'!A5:C5</f>
        <v>Год раскрытия информации: 2016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03" t="s">
        <v>9</v>
      </c>
      <c r="F7" s="303"/>
      <c r="G7" s="303"/>
      <c r="H7" s="303"/>
      <c r="I7" s="303"/>
      <c r="J7" s="303"/>
      <c r="K7" s="303"/>
      <c r="L7" s="303"/>
      <c r="M7" s="303"/>
      <c r="N7" s="303"/>
      <c r="O7" s="303"/>
      <c r="P7" s="303"/>
      <c r="Q7" s="303"/>
      <c r="R7" s="303"/>
      <c r="S7" s="303"/>
      <c r="T7" s="303"/>
      <c r="U7" s="303"/>
      <c r="V7" s="303"/>
      <c r="W7" s="303"/>
      <c r="X7" s="303"/>
      <c r="Y7" s="30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06" t="str">
        <f>'1. паспорт местоположение'!A9</f>
        <v>АО "Янтарьэнерго"</v>
      </c>
      <c r="F9" s="306"/>
      <c r="G9" s="306"/>
      <c r="H9" s="306"/>
      <c r="I9" s="306"/>
      <c r="J9" s="306"/>
      <c r="K9" s="306"/>
      <c r="L9" s="306"/>
      <c r="M9" s="306"/>
      <c r="N9" s="306"/>
      <c r="O9" s="306"/>
      <c r="P9" s="306"/>
      <c r="Q9" s="306"/>
      <c r="R9" s="306"/>
      <c r="S9" s="306"/>
      <c r="T9" s="306"/>
      <c r="U9" s="306"/>
      <c r="V9" s="306"/>
      <c r="W9" s="306"/>
      <c r="X9" s="306"/>
      <c r="Y9" s="306"/>
    </row>
    <row r="10" spans="1:27" s="11" customFormat="1" ht="18.75" customHeight="1" x14ac:dyDescent="0.2">
      <c r="E10" s="300" t="s">
        <v>8</v>
      </c>
      <c r="F10" s="300"/>
      <c r="G10" s="300"/>
      <c r="H10" s="300"/>
      <c r="I10" s="300"/>
      <c r="J10" s="300"/>
      <c r="K10" s="300"/>
      <c r="L10" s="300"/>
      <c r="M10" s="300"/>
      <c r="N10" s="300"/>
      <c r="O10" s="300"/>
      <c r="P10" s="300"/>
      <c r="Q10" s="300"/>
      <c r="R10" s="300"/>
      <c r="S10" s="300"/>
      <c r="T10" s="300"/>
      <c r="U10" s="300"/>
      <c r="V10" s="300"/>
      <c r="W10" s="300"/>
      <c r="X10" s="300"/>
      <c r="Y10" s="30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06" t="str">
        <f>'1. паспорт местоположение'!A12</f>
        <v>E_prj_111001_2501</v>
      </c>
      <c r="F12" s="306"/>
      <c r="G12" s="306"/>
      <c r="H12" s="306"/>
      <c r="I12" s="306"/>
      <c r="J12" s="306"/>
      <c r="K12" s="306"/>
      <c r="L12" s="306"/>
      <c r="M12" s="306"/>
      <c r="N12" s="306"/>
      <c r="O12" s="306"/>
      <c r="P12" s="306"/>
      <c r="Q12" s="306"/>
      <c r="R12" s="306"/>
      <c r="S12" s="306"/>
      <c r="T12" s="306"/>
      <c r="U12" s="306"/>
      <c r="V12" s="306"/>
      <c r="W12" s="306"/>
      <c r="X12" s="306"/>
      <c r="Y12" s="306"/>
    </row>
    <row r="13" spans="1:27" s="11" customFormat="1" ht="18.75" customHeight="1" x14ac:dyDescent="0.2">
      <c r="E13" s="300" t="s">
        <v>7</v>
      </c>
      <c r="F13" s="300"/>
      <c r="G13" s="300"/>
      <c r="H13" s="300"/>
      <c r="I13" s="300"/>
      <c r="J13" s="300"/>
      <c r="K13" s="300"/>
      <c r="L13" s="300"/>
      <c r="M13" s="300"/>
      <c r="N13" s="300"/>
      <c r="O13" s="300"/>
      <c r="P13" s="300"/>
      <c r="Q13" s="300"/>
      <c r="R13" s="300"/>
      <c r="S13" s="300"/>
      <c r="T13" s="300"/>
      <c r="U13" s="300"/>
      <c r="V13" s="300"/>
      <c r="W13" s="300"/>
      <c r="X13" s="300"/>
      <c r="Y13" s="30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06" t="str">
        <f>'1. паспорт местоположение'!A15</f>
        <v>Строительство ПС 110 кВ "Храброво" с заходами, г. Калининград</v>
      </c>
      <c r="F15" s="306"/>
      <c r="G15" s="306"/>
      <c r="H15" s="306"/>
      <c r="I15" s="306"/>
      <c r="J15" s="306"/>
      <c r="K15" s="306"/>
      <c r="L15" s="306"/>
      <c r="M15" s="306"/>
      <c r="N15" s="306"/>
      <c r="O15" s="306"/>
      <c r="P15" s="306"/>
      <c r="Q15" s="306"/>
      <c r="R15" s="306"/>
      <c r="S15" s="306"/>
      <c r="T15" s="306"/>
      <c r="U15" s="306"/>
      <c r="V15" s="306"/>
      <c r="W15" s="306"/>
      <c r="X15" s="306"/>
      <c r="Y15" s="306"/>
    </row>
    <row r="16" spans="1:27" s="3" customFormat="1" ht="15" customHeight="1" x14ac:dyDescent="0.2">
      <c r="E16" s="300" t="s">
        <v>6</v>
      </c>
      <c r="F16" s="300"/>
      <c r="G16" s="300"/>
      <c r="H16" s="300"/>
      <c r="I16" s="300"/>
      <c r="J16" s="300"/>
      <c r="K16" s="300"/>
      <c r="L16" s="300"/>
      <c r="M16" s="300"/>
      <c r="N16" s="300"/>
      <c r="O16" s="300"/>
      <c r="P16" s="300"/>
      <c r="Q16" s="300"/>
      <c r="R16" s="300"/>
      <c r="S16" s="300"/>
      <c r="T16" s="300"/>
      <c r="U16" s="300"/>
      <c r="V16" s="300"/>
      <c r="W16" s="300"/>
      <c r="X16" s="300"/>
      <c r="Y16" s="30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2"/>
      <c r="F18" s="302"/>
      <c r="G18" s="302"/>
      <c r="H18" s="302"/>
      <c r="I18" s="302"/>
      <c r="J18" s="302"/>
      <c r="K18" s="302"/>
      <c r="L18" s="302"/>
      <c r="M18" s="302"/>
      <c r="N18" s="302"/>
      <c r="O18" s="302"/>
      <c r="P18" s="302"/>
      <c r="Q18" s="302"/>
      <c r="R18" s="302"/>
      <c r="S18" s="302"/>
      <c r="T18" s="302"/>
      <c r="U18" s="302"/>
      <c r="V18" s="302"/>
      <c r="W18" s="302"/>
      <c r="X18" s="302"/>
      <c r="Y18" s="302"/>
    </row>
    <row r="19" spans="1:27" ht="25.5" customHeight="1" x14ac:dyDescent="0.25">
      <c r="A19" s="302" t="s">
        <v>444</v>
      </c>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row>
    <row r="20" spans="1:27" s="57" customFormat="1" ht="21" customHeight="1" x14ac:dyDescent="0.25"/>
    <row r="21" spans="1:27" ht="15.75" customHeight="1" x14ac:dyDescent="0.25">
      <c r="A21" s="334" t="s">
        <v>5</v>
      </c>
      <c r="B21" s="336" t="s">
        <v>451</v>
      </c>
      <c r="C21" s="337"/>
      <c r="D21" s="336" t="s">
        <v>453</v>
      </c>
      <c r="E21" s="337"/>
      <c r="F21" s="315" t="s">
        <v>94</v>
      </c>
      <c r="G21" s="317"/>
      <c r="H21" s="317"/>
      <c r="I21" s="316"/>
      <c r="J21" s="334" t="s">
        <v>454</v>
      </c>
      <c r="K21" s="336" t="s">
        <v>455</v>
      </c>
      <c r="L21" s="337"/>
      <c r="M21" s="336" t="s">
        <v>456</v>
      </c>
      <c r="N21" s="337"/>
      <c r="O21" s="336" t="s">
        <v>443</v>
      </c>
      <c r="P21" s="337"/>
      <c r="Q21" s="336" t="s">
        <v>127</v>
      </c>
      <c r="R21" s="337"/>
      <c r="S21" s="334" t="s">
        <v>126</v>
      </c>
      <c r="T21" s="334" t="s">
        <v>457</v>
      </c>
      <c r="U21" s="334" t="s">
        <v>452</v>
      </c>
      <c r="V21" s="336" t="s">
        <v>125</v>
      </c>
      <c r="W21" s="337"/>
      <c r="X21" s="315" t="s">
        <v>117</v>
      </c>
      <c r="Y21" s="317"/>
      <c r="Z21" s="315" t="s">
        <v>116</v>
      </c>
      <c r="AA21" s="317"/>
    </row>
    <row r="22" spans="1:27" ht="216" customHeight="1" x14ac:dyDescent="0.25">
      <c r="A22" s="340"/>
      <c r="B22" s="338"/>
      <c r="C22" s="339"/>
      <c r="D22" s="338"/>
      <c r="E22" s="339"/>
      <c r="F22" s="315" t="s">
        <v>124</v>
      </c>
      <c r="G22" s="316"/>
      <c r="H22" s="315" t="s">
        <v>123</v>
      </c>
      <c r="I22" s="316"/>
      <c r="J22" s="335"/>
      <c r="K22" s="338"/>
      <c r="L22" s="339"/>
      <c r="M22" s="338"/>
      <c r="N22" s="339"/>
      <c r="O22" s="338"/>
      <c r="P22" s="339"/>
      <c r="Q22" s="338"/>
      <c r="R22" s="339"/>
      <c r="S22" s="335"/>
      <c r="T22" s="335"/>
      <c r="U22" s="335"/>
      <c r="V22" s="338"/>
      <c r="W22" s="339"/>
      <c r="X22" s="102" t="s">
        <v>115</v>
      </c>
      <c r="Y22" s="102" t="s">
        <v>441</v>
      </c>
      <c r="Z22" s="102" t="s">
        <v>114</v>
      </c>
      <c r="AA22" s="102" t="s">
        <v>113</v>
      </c>
    </row>
    <row r="23" spans="1:27" ht="60" customHeight="1" x14ac:dyDescent="0.25">
      <c r="A23" s="335"/>
      <c r="B23" s="147" t="s">
        <v>111</v>
      </c>
      <c r="C23" s="147" t="s">
        <v>112</v>
      </c>
      <c r="D23" s="103" t="s">
        <v>111</v>
      </c>
      <c r="E23" s="103" t="s">
        <v>112</v>
      </c>
      <c r="F23" s="103" t="s">
        <v>111</v>
      </c>
      <c r="G23" s="103" t="s">
        <v>112</v>
      </c>
      <c r="H23" s="103" t="s">
        <v>111</v>
      </c>
      <c r="I23" s="103" t="s">
        <v>112</v>
      </c>
      <c r="J23" s="103" t="s">
        <v>111</v>
      </c>
      <c r="K23" s="103" t="s">
        <v>111</v>
      </c>
      <c r="L23" s="103" t="s">
        <v>112</v>
      </c>
      <c r="M23" s="103" t="s">
        <v>111</v>
      </c>
      <c r="N23" s="103" t="s">
        <v>112</v>
      </c>
      <c r="O23" s="103" t="s">
        <v>111</v>
      </c>
      <c r="P23" s="103" t="s">
        <v>112</v>
      </c>
      <c r="Q23" s="103" t="s">
        <v>111</v>
      </c>
      <c r="R23" s="103" t="s">
        <v>112</v>
      </c>
      <c r="S23" s="103" t="s">
        <v>111</v>
      </c>
      <c r="T23" s="103" t="s">
        <v>111</v>
      </c>
      <c r="U23" s="103" t="s">
        <v>111</v>
      </c>
      <c r="V23" s="103" t="s">
        <v>111</v>
      </c>
      <c r="W23" s="103" t="s">
        <v>112</v>
      </c>
      <c r="X23" s="103" t="s">
        <v>111</v>
      </c>
      <c r="Y23" s="103" t="s">
        <v>111</v>
      </c>
      <c r="Z23" s="102" t="s">
        <v>111</v>
      </c>
      <c r="AA23" s="102" t="s">
        <v>111</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ht="110.25" x14ac:dyDescent="0.25">
      <c r="A25" s="242">
        <v>1</v>
      </c>
      <c r="B25" s="245" t="s">
        <v>564</v>
      </c>
      <c r="C25" s="242" t="s">
        <v>563</v>
      </c>
      <c r="D25" s="242" t="s">
        <v>348</v>
      </c>
      <c r="E25" s="242" t="s">
        <v>566</v>
      </c>
      <c r="F25" s="242">
        <v>110</v>
      </c>
      <c r="G25" s="242">
        <v>110</v>
      </c>
      <c r="H25" s="242">
        <v>110</v>
      </c>
      <c r="I25" s="242">
        <v>110</v>
      </c>
      <c r="J25" s="242" t="s">
        <v>348</v>
      </c>
      <c r="K25" s="242" t="s">
        <v>348</v>
      </c>
      <c r="L25" s="242">
        <v>2</v>
      </c>
      <c r="M25" s="242" t="s">
        <v>348</v>
      </c>
      <c r="N25" s="242">
        <v>240</v>
      </c>
      <c r="O25" s="242" t="s">
        <v>348</v>
      </c>
      <c r="P25" s="242" t="s">
        <v>568</v>
      </c>
      <c r="Q25" s="242" t="s">
        <v>348</v>
      </c>
      <c r="R25" s="331">
        <v>7.6</v>
      </c>
      <c r="S25" s="242" t="s">
        <v>348</v>
      </c>
      <c r="T25" s="242" t="s">
        <v>348</v>
      </c>
      <c r="U25" s="242" t="s">
        <v>348</v>
      </c>
      <c r="V25" s="242" t="s">
        <v>348</v>
      </c>
      <c r="W25" s="242" t="s">
        <v>572</v>
      </c>
      <c r="X25" s="242" t="s">
        <v>348</v>
      </c>
      <c r="Y25" s="242" t="s">
        <v>348</v>
      </c>
      <c r="Z25" s="242" t="s">
        <v>348</v>
      </c>
      <c r="AA25" s="242" t="s">
        <v>348</v>
      </c>
    </row>
    <row r="26" spans="1:27" s="57" customFormat="1" ht="110.25" x14ac:dyDescent="0.25">
      <c r="A26" s="242">
        <v>2</v>
      </c>
      <c r="B26" s="242" t="s">
        <v>564</v>
      </c>
      <c r="C26" s="242" t="s">
        <v>565</v>
      </c>
      <c r="D26" s="242" t="s">
        <v>348</v>
      </c>
      <c r="E26" s="242" t="s">
        <v>567</v>
      </c>
      <c r="F26" s="242">
        <v>110</v>
      </c>
      <c r="G26" s="242">
        <v>110</v>
      </c>
      <c r="H26" s="242">
        <v>110</v>
      </c>
      <c r="I26" s="242">
        <v>110</v>
      </c>
      <c r="J26" s="243" t="s">
        <v>348</v>
      </c>
      <c r="K26" s="243" t="s">
        <v>348</v>
      </c>
      <c r="L26" s="243" t="s">
        <v>63</v>
      </c>
      <c r="M26" s="242" t="s">
        <v>348</v>
      </c>
      <c r="N26" s="244">
        <v>240</v>
      </c>
      <c r="O26" s="244" t="s">
        <v>348</v>
      </c>
      <c r="P26" s="244" t="s">
        <v>568</v>
      </c>
      <c r="Q26" s="244" t="s">
        <v>348</v>
      </c>
      <c r="R26" s="333"/>
      <c r="S26" s="243" t="s">
        <v>348</v>
      </c>
      <c r="T26" s="243" t="s">
        <v>348</v>
      </c>
      <c r="U26" s="243" t="s">
        <v>348</v>
      </c>
      <c r="V26" s="242" t="s">
        <v>348</v>
      </c>
      <c r="W26" s="242" t="s">
        <v>572</v>
      </c>
      <c r="X26" s="242" t="s">
        <v>348</v>
      </c>
      <c r="Y26" s="242" t="s">
        <v>348</v>
      </c>
      <c r="Z26" s="242" t="s">
        <v>348</v>
      </c>
      <c r="AA26" s="242" t="s">
        <v>348</v>
      </c>
    </row>
    <row r="27" spans="1:27" ht="30" customHeight="1" x14ac:dyDescent="0.25">
      <c r="X27" s="104"/>
      <c r="Y27" s="105"/>
      <c r="Z27" s="50"/>
      <c r="AA27" s="50"/>
    </row>
    <row r="28" spans="1:27" s="55" customFormat="1" ht="12.75" x14ac:dyDescent="0.2">
      <c r="A28" s="56"/>
      <c r="B28" s="56"/>
      <c r="C28" s="56"/>
      <c r="E28" s="56"/>
      <c r="X28" s="106"/>
      <c r="Y28" s="106"/>
      <c r="Z28" s="106"/>
      <c r="AA28" s="106"/>
    </row>
    <row r="29" spans="1:27" s="55" customFormat="1" ht="12.75" x14ac:dyDescent="0.2">
      <c r="A29" s="56"/>
      <c r="B29" s="56"/>
      <c r="C29" s="56"/>
    </row>
  </sheetData>
  <mergeCells count="28">
    <mergeCell ref="E18:Y18"/>
    <mergeCell ref="A21:A23"/>
    <mergeCell ref="D21:E22"/>
    <mergeCell ref="F21:I21"/>
    <mergeCell ref="J21:J22"/>
    <mergeCell ref="K21:L22"/>
    <mergeCell ref="M21:N22"/>
    <mergeCell ref="Q21:R22"/>
    <mergeCell ref="S21:S22"/>
    <mergeCell ref="T21:T22"/>
    <mergeCell ref="X21:Y21"/>
    <mergeCell ref="V21:W22"/>
    <mergeCell ref="R25:R26"/>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310" t="str">
        <f>'1. паспорт местоположение'!A5:C5</f>
        <v>Год раскрытия информации: 2016 год</v>
      </c>
      <c r="B5" s="310"/>
      <c r="C5" s="310"/>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03" t="s">
        <v>9</v>
      </c>
      <c r="B7" s="303"/>
      <c r="C7" s="303"/>
      <c r="D7" s="12"/>
      <c r="E7" s="12"/>
      <c r="F7" s="12"/>
      <c r="G7" s="12"/>
      <c r="H7" s="12"/>
      <c r="I7" s="12"/>
      <c r="J7" s="12"/>
      <c r="K7" s="12"/>
      <c r="L7" s="12"/>
      <c r="M7" s="12"/>
      <c r="N7" s="12"/>
      <c r="O7" s="12"/>
      <c r="P7" s="12"/>
      <c r="Q7" s="12"/>
      <c r="R7" s="12"/>
      <c r="S7" s="12"/>
      <c r="T7" s="12"/>
      <c r="U7" s="12"/>
    </row>
    <row r="8" spans="1:29" s="11" customFormat="1" ht="18.75" x14ac:dyDescent="0.2">
      <c r="A8" s="303"/>
      <c r="B8" s="303"/>
      <c r="C8" s="303"/>
      <c r="D8" s="13"/>
      <c r="E8" s="13"/>
      <c r="F8" s="13"/>
      <c r="G8" s="13"/>
      <c r="H8" s="12"/>
      <c r="I8" s="12"/>
      <c r="J8" s="12"/>
      <c r="K8" s="12"/>
      <c r="L8" s="12"/>
      <c r="M8" s="12"/>
      <c r="N8" s="12"/>
      <c r="O8" s="12"/>
      <c r="P8" s="12"/>
      <c r="Q8" s="12"/>
      <c r="R8" s="12"/>
      <c r="S8" s="12"/>
      <c r="T8" s="12"/>
      <c r="U8" s="12"/>
    </row>
    <row r="9" spans="1:29" s="11" customFormat="1" ht="18.75" x14ac:dyDescent="0.2">
      <c r="A9" s="306" t="str">
        <f>'1. паспорт местоположение'!A9:C9</f>
        <v>АО "Янтарьэнерго"</v>
      </c>
      <c r="B9" s="306"/>
      <c r="C9" s="306"/>
      <c r="D9" s="7"/>
      <c r="E9" s="7"/>
      <c r="F9" s="7"/>
      <c r="G9" s="7"/>
      <c r="H9" s="12"/>
      <c r="I9" s="12"/>
      <c r="J9" s="12"/>
      <c r="K9" s="12"/>
      <c r="L9" s="12"/>
      <c r="M9" s="12"/>
      <c r="N9" s="12"/>
      <c r="O9" s="12"/>
      <c r="P9" s="12"/>
      <c r="Q9" s="12"/>
      <c r="R9" s="12"/>
      <c r="S9" s="12"/>
      <c r="T9" s="12"/>
      <c r="U9" s="12"/>
    </row>
    <row r="10" spans="1:29" s="11" customFormat="1" ht="18.75" x14ac:dyDescent="0.2">
      <c r="A10" s="300" t="s">
        <v>8</v>
      </c>
      <c r="B10" s="300"/>
      <c r="C10" s="300"/>
      <c r="D10" s="5"/>
      <c r="E10" s="5"/>
      <c r="F10" s="5"/>
      <c r="G10" s="5"/>
      <c r="H10" s="12"/>
      <c r="I10" s="12"/>
      <c r="J10" s="12"/>
      <c r="K10" s="12"/>
      <c r="L10" s="12"/>
      <c r="M10" s="12"/>
      <c r="N10" s="12"/>
      <c r="O10" s="12"/>
      <c r="P10" s="12"/>
      <c r="Q10" s="12"/>
      <c r="R10" s="12"/>
      <c r="S10" s="12"/>
      <c r="T10" s="12"/>
      <c r="U10" s="12"/>
    </row>
    <row r="11" spans="1:29" s="11" customFormat="1" ht="18.75" x14ac:dyDescent="0.2">
      <c r="A11" s="303"/>
      <c r="B11" s="303"/>
      <c r="C11" s="303"/>
      <c r="D11" s="13"/>
      <c r="E11" s="13"/>
      <c r="F11" s="13"/>
      <c r="G11" s="13"/>
      <c r="H11" s="12"/>
      <c r="I11" s="12"/>
      <c r="J11" s="12"/>
      <c r="K11" s="12"/>
      <c r="L11" s="12"/>
      <c r="M11" s="12"/>
      <c r="N11" s="12"/>
      <c r="O11" s="12"/>
      <c r="P11" s="12"/>
      <c r="Q11" s="12"/>
      <c r="R11" s="12"/>
      <c r="S11" s="12"/>
      <c r="T11" s="12"/>
      <c r="U11" s="12"/>
    </row>
    <row r="12" spans="1:29" s="11" customFormat="1" ht="18.75" x14ac:dyDescent="0.2">
      <c r="A12" s="306" t="str">
        <f>'1. паспорт местоположение'!A12:C12</f>
        <v>E_prj_111001_2501</v>
      </c>
      <c r="B12" s="306"/>
      <c r="C12" s="306"/>
      <c r="D12" s="7"/>
      <c r="E12" s="7"/>
      <c r="F12" s="7"/>
      <c r="G12" s="7"/>
      <c r="H12" s="12"/>
      <c r="I12" s="12"/>
      <c r="J12" s="12"/>
      <c r="K12" s="12"/>
      <c r="L12" s="12"/>
      <c r="M12" s="12"/>
      <c r="N12" s="12"/>
      <c r="O12" s="12"/>
      <c r="P12" s="12"/>
      <c r="Q12" s="12"/>
      <c r="R12" s="12"/>
      <c r="S12" s="12"/>
      <c r="T12" s="12"/>
      <c r="U12" s="12"/>
    </row>
    <row r="13" spans="1:29" s="11" customFormat="1" ht="18.75" x14ac:dyDescent="0.2">
      <c r="A13" s="300" t="s">
        <v>7</v>
      </c>
      <c r="B13" s="300"/>
      <c r="C13" s="30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09"/>
      <c r="B14" s="309"/>
      <c r="C14" s="309"/>
      <c r="D14" s="9"/>
      <c r="E14" s="9"/>
      <c r="F14" s="9"/>
      <c r="G14" s="9"/>
      <c r="H14" s="9"/>
      <c r="I14" s="9"/>
      <c r="J14" s="9"/>
      <c r="K14" s="9"/>
      <c r="L14" s="9"/>
      <c r="M14" s="9"/>
      <c r="N14" s="9"/>
      <c r="O14" s="9"/>
      <c r="P14" s="9"/>
      <c r="Q14" s="9"/>
      <c r="R14" s="9"/>
      <c r="S14" s="9"/>
      <c r="T14" s="9"/>
      <c r="U14" s="9"/>
    </row>
    <row r="15" spans="1:29" s="3" customFormat="1" ht="45.75" customHeight="1" x14ac:dyDescent="0.2">
      <c r="A15" s="341" t="str">
        <f>'1. паспорт местоположение'!A15:C15</f>
        <v>Строительство ПС 110 кВ "Храброво" с заходами, г. Калининград</v>
      </c>
      <c r="B15" s="341"/>
      <c r="C15" s="341"/>
      <c r="D15" s="7"/>
      <c r="E15" s="7"/>
      <c r="F15" s="7"/>
      <c r="G15" s="7"/>
      <c r="H15" s="7"/>
      <c r="I15" s="7"/>
      <c r="J15" s="7"/>
      <c r="K15" s="7"/>
      <c r="L15" s="7"/>
      <c r="M15" s="7"/>
      <c r="N15" s="7"/>
      <c r="O15" s="7"/>
      <c r="P15" s="7"/>
      <c r="Q15" s="7"/>
      <c r="R15" s="7"/>
      <c r="S15" s="7"/>
      <c r="T15" s="7"/>
      <c r="U15" s="7"/>
    </row>
    <row r="16" spans="1:29" s="3" customFormat="1" ht="15" customHeight="1" x14ac:dyDescent="0.2">
      <c r="A16" s="300" t="s">
        <v>6</v>
      </c>
      <c r="B16" s="300"/>
      <c r="C16" s="300"/>
      <c r="D16" s="5"/>
      <c r="E16" s="5"/>
      <c r="F16" s="5"/>
      <c r="G16" s="5"/>
      <c r="H16" s="5"/>
      <c r="I16" s="5"/>
      <c r="J16" s="5"/>
      <c r="K16" s="5"/>
      <c r="L16" s="5"/>
      <c r="M16" s="5"/>
      <c r="N16" s="5"/>
      <c r="O16" s="5"/>
      <c r="P16" s="5"/>
      <c r="Q16" s="5"/>
      <c r="R16" s="5"/>
      <c r="S16" s="5"/>
      <c r="T16" s="5"/>
      <c r="U16" s="5"/>
    </row>
    <row r="17" spans="1:21" s="3" customFormat="1" ht="15" customHeight="1" x14ac:dyDescent="0.2">
      <c r="A17" s="307"/>
      <c r="B17" s="307"/>
      <c r="C17" s="307"/>
      <c r="D17" s="4"/>
      <c r="E17" s="4"/>
      <c r="F17" s="4"/>
      <c r="G17" s="4"/>
      <c r="H17" s="4"/>
      <c r="I17" s="4"/>
      <c r="J17" s="4"/>
      <c r="K17" s="4"/>
      <c r="L17" s="4"/>
      <c r="M17" s="4"/>
      <c r="N17" s="4"/>
      <c r="O17" s="4"/>
      <c r="P17" s="4"/>
      <c r="Q17" s="4"/>
      <c r="R17" s="4"/>
    </row>
    <row r="18" spans="1:21" s="3" customFormat="1" ht="27.75" customHeight="1" x14ac:dyDescent="0.2">
      <c r="A18" s="301" t="s">
        <v>436</v>
      </c>
      <c r="B18" s="301"/>
      <c r="C18" s="30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65</v>
      </c>
      <c r="B22" s="29" t="s">
        <v>449</v>
      </c>
      <c r="C22" s="48" t="s">
        <v>651</v>
      </c>
      <c r="D22" s="28"/>
      <c r="E22" s="28"/>
      <c r="F22" s="27"/>
      <c r="G22" s="27"/>
      <c r="H22" s="27"/>
      <c r="I22" s="27"/>
      <c r="J22" s="27"/>
      <c r="K22" s="27"/>
      <c r="L22" s="27"/>
      <c r="M22" s="27"/>
      <c r="N22" s="27"/>
      <c r="O22" s="27"/>
      <c r="P22" s="27"/>
      <c r="Q22" s="26"/>
      <c r="R22" s="26"/>
      <c r="S22" s="26"/>
      <c r="T22" s="26"/>
      <c r="U22" s="26"/>
    </row>
    <row r="23" spans="1:21" ht="42.75" customHeight="1" x14ac:dyDescent="0.25">
      <c r="A23" s="23" t="s">
        <v>63</v>
      </c>
      <c r="B23" s="25" t="s">
        <v>60</v>
      </c>
      <c r="C23" s="24" t="s">
        <v>522</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469</v>
      </c>
      <c r="C24" s="24" t="s">
        <v>650</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470</v>
      </c>
      <c r="C25" s="39" t="s">
        <v>523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218</v>
      </c>
      <c r="C26" s="24" t="s">
        <v>521</v>
      </c>
      <c r="D26" s="22"/>
      <c r="E26" s="22"/>
      <c r="F26" s="22"/>
      <c r="G26" s="22"/>
      <c r="H26" s="22"/>
      <c r="I26" s="22"/>
      <c r="J26" s="22"/>
      <c r="K26" s="22"/>
      <c r="L26" s="22"/>
      <c r="M26" s="22"/>
      <c r="N26" s="22"/>
      <c r="O26" s="22"/>
      <c r="P26" s="22"/>
      <c r="Q26" s="22"/>
      <c r="R26" s="22"/>
      <c r="S26" s="22"/>
      <c r="T26" s="22"/>
      <c r="U26" s="22"/>
    </row>
    <row r="27" spans="1:21" ht="173.25" x14ac:dyDescent="0.25">
      <c r="A27" s="23" t="s">
        <v>58</v>
      </c>
      <c r="B27" s="25" t="s">
        <v>450</v>
      </c>
      <c r="C27" s="24" t="s">
        <v>515</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9">
        <v>2014</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9">
        <v>2017</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24" t="s">
        <v>647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4" t="s">
        <v>10</v>
      </c>
    </row>
    <row r="3" spans="1:28" ht="18.75" x14ac:dyDescent="0.3">
      <c r="Z3" s="14" t="s">
        <v>68</v>
      </c>
    </row>
    <row r="4" spans="1:28" ht="18.75" customHeight="1" x14ac:dyDescent="0.25">
      <c r="A4" s="310" t="str">
        <f>'1. паспорт местоположение'!A5:C5</f>
        <v>Год раскрытия информации: 2016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row>
    <row r="6" spans="1:28" ht="18.75" x14ac:dyDescent="0.25">
      <c r="A6" s="303" t="s">
        <v>9</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44"/>
      <c r="AB6" s="144"/>
    </row>
    <row r="7" spans="1:28" ht="18.75" x14ac:dyDescent="0.25">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44"/>
      <c r="AB7" s="144"/>
    </row>
    <row r="8" spans="1:28" ht="15.75" x14ac:dyDescent="0.25">
      <c r="A8" s="306" t="str">
        <f>'1. паспорт местоположение'!A9:C9</f>
        <v>АО "Янтарьэнерго"</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145"/>
      <c r="AB8" s="145"/>
    </row>
    <row r="9" spans="1:28" ht="15.75" x14ac:dyDescent="0.25">
      <c r="A9" s="300" t="s">
        <v>8</v>
      </c>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146"/>
      <c r="AB9" s="146"/>
    </row>
    <row r="10" spans="1:28" ht="18.75" x14ac:dyDescent="0.25">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44"/>
      <c r="AB10" s="144"/>
    </row>
    <row r="11" spans="1:28" ht="15.75" x14ac:dyDescent="0.25">
      <c r="A11" s="306" t="str">
        <f>'1. паспорт местоположение'!A12:C12</f>
        <v>E_prj_111001_2501</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145"/>
      <c r="AB11" s="145"/>
    </row>
    <row r="12" spans="1:28" ht="15.75" x14ac:dyDescent="0.25">
      <c r="A12" s="300" t="s">
        <v>7</v>
      </c>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146"/>
      <c r="AB12" s="146"/>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10"/>
      <c r="AB13" s="10"/>
    </row>
    <row r="14" spans="1:28" ht="15.75" x14ac:dyDescent="0.25">
      <c r="A14" s="306" t="str">
        <f>'1. паспорт местоположение'!A15:C15</f>
        <v>Строительство ПС 110 кВ "Храброво" с заходами, г. Калининград</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145"/>
      <c r="AB14" s="145"/>
    </row>
    <row r="15" spans="1:28" ht="15.75" x14ac:dyDescent="0.25">
      <c r="A15" s="300" t="s">
        <v>6</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146"/>
      <c r="AB15" s="146"/>
    </row>
    <row r="16" spans="1:28"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154"/>
      <c r="AB16" s="154"/>
    </row>
    <row r="17" spans="1:2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154"/>
      <c r="AB17" s="154"/>
    </row>
    <row r="18" spans="1:28"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154"/>
      <c r="AB18" s="154"/>
    </row>
    <row r="19" spans="1:2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154"/>
      <c r="AB19" s="154"/>
    </row>
    <row r="20" spans="1:28"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155"/>
      <c r="AB20" s="155"/>
    </row>
    <row r="21" spans="1:28" x14ac:dyDescent="0.25">
      <c r="A21" s="343"/>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155"/>
      <c r="AB21" s="155"/>
    </row>
    <row r="22" spans="1:28" x14ac:dyDescent="0.25">
      <c r="A22" s="344" t="s">
        <v>468</v>
      </c>
      <c r="B22" s="344"/>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156"/>
      <c r="AB22" s="156"/>
    </row>
    <row r="23" spans="1:28" ht="32.25" customHeight="1" x14ac:dyDescent="0.25">
      <c r="A23" s="346" t="s">
        <v>345</v>
      </c>
      <c r="B23" s="347"/>
      <c r="C23" s="347"/>
      <c r="D23" s="347"/>
      <c r="E23" s="347"/>
      <c r="F23" s="347"/>
      <c r="G23" s="347"/>
      <c r="H23" s="347"/>
      <c r="I23" s="347"/>
      <c r="J23" s="347"/>
      <c r="K23" s="347"/>
      <c r="L23" s="348"/>
      <c r="M23" s="345" t="s">
        <v>346</v>
      </c>
      <c r="N23" s="345"/>
      <c r="O23" s="345"/>
      <c r="P23" s="345"/>
      <c r="Q23" s="345"/>
      <c r="R23" s="345"/>
      <c r="S23" s="345"/>
      <c r="T23" s="345"/>
      <c r="U23" s="345"/>
      <c r="V23" s="345"/>
      <c r="W23" s="345"/>
      <c r="X23" s="345"/>
      <c r="Y23" s="345"/>
      <c r="Z23" s="345"/>
    </row>
    <row r="24" spans="1:28" ht="151.5" customHeight="1" x14ac:dyDescent="0.25">
      <c r="A24" s="99" t="s">
        <v>221</v>
      </c>
      <c r="B24" s="100" t="s">
        <v>250</v>
      </c>
      <c r="C24" s="99" t="s">
        <v>340</v>
      </c>
      <c r="D24" s="99" t="s">
        <v>222</v>
      </c>
      <c r="E24" s="99" t="s">
        <v>341</v>
      </c>
      <c r="F24" s="99" t="s">
        <v>343</v>
      </c>
      <c r="G24" s="99" t="s">
        <v>342</v>
      </c>
      <c r="H24" s="99" t="s">
        <v>223</v>
      </c>
      <c r="I24" s="99" t="s">
        <v>344</v>
      </c>
      <c r="J24" s="99" t="s">
        <v>255</v>
      </c>
      <c r="K24" s="100" t="s">
        <v>249</v>
      </c>
      <c r="L24" s="100" t="s">
        <v>224</v>
      </c>
      <c r="M24" s="101" t="s">
        <v>269</v>
      </c>
      <c r="N24" s="100" t="s">
        <v>478</v>
      </c>
      <c r="O24" s="99" t="s">
        <v>266</v>
      </c>
      <c r="P24" s="99" t="s">
        <v>267</v>
      </c>
      <c r="Q24" s="99" t="s">
        <v>265</v>
      </c>
      <c r="R24" s="99" t="s">
        <v>223</v>
      </c>
      <c r="S24" s="99" t="s">
        <v>264</v>
      </c>
      <c r="T24" s="99" t="s">
        <v>263</v>
      </c>
      <c r="U24" s="99" t="s">
        <v>339</v>
      </c>
      <c r="V24" s="99" t="s">
        <v>265</v>
      </c>
      <c r="W24" s="108" t="s">
        <v>248</v>
      </c>
      <c r="X24" s="108" t="s">
        <v>280</v>
      </c>
      <c r="Y24" s="108" t="s">
        <v>281</v>
      </c>
      <c r="Z24" s="110" t="s">
        <v>278</v>
      </c>
    </row>
    <row r="25" spans="1:28" ht="16.5" customHeight="1" x14ac:dyDescent="0.25">
      <c r="A25" s="99">
        <v>1</v>
      </c>
      <c r="B25" s="100">
        <v>2</v>
      </c>
      <c r="C25" s="99">
        <v>3</v>
      </c>
      <c r="D25" s="100">
        <v>4</v>
      </c>
      <c r="E25" s="99">
        <v>5</v>
      </c>
      <c r="F25" s="100">
        <v>6</v>
      </c>
      <c r="G25" s="99">
        <v>7</v>
      </c>
      <c r="H25" s="100">
        <v>8</v>
      </c>
      <c r="I25" s="99">
        <v>9</v>
      </c>
      <c r="J25" s="100">
        <v>10</v>
      </c>
      <c r="K25" s="157">
        <v>11</v>
      </c>
      <c r="L25" s="100">
        <v>12</v>
      </c>
      <c r="M25" s="157">
        <v>13</v>
      </c>
      <c r="N25" s="100">
        <v>14</v>
      </c>
      <c r="O25" s="157">
        <v>15</v>
      </c>
      <c r="P25" s="100">
        <v>16</v>
      </c>
      <c r="Q25" s="157">
        <v>17</v>
      </c>
      <c r="R25" s="100">
        <v>18</v>
      </c>
      <c r="S25" s="157">
        <v>19</v>
      </c>
      <c r="T25" s="100">
        <v>20</v>
      </c>
      <c r="U25" s="157">
        <v>21</v>
      </c>
      <c r="V25" s="100">
        <v>22</v>
      </c>
      <c r="W25" s="157">
        <v>23</v>
      </c>
      <c r="X25" s="100">
        <v>24</v>
      </c>
      <c r="Y25" s="157">
        <v>25</v>
      </c>
      <c r="Z25" s="100">
        <v>26</v>
      </c>
    </row>
    <row r="26" spans="1:28" ht="45.75" customHeight="1" x14ac:dyDescent="0.25">
      <c r="A26" s="92" t="s">
        <v>324</v>
      </c>
      <c r="B26" s="98"/>
      <c r="C26" s="94" t="s">
        <v>326</v>
      </c>
      <c r="D26" s="94" t="s">
        <v>327</v>
      </c>
      <c r="E26" s="94" t="s">
        <v>328</v>
      </c>
      <c r="F26" s="94" t="s">
        <v>260</v>
      </c>
      <c r="G26" s="94" t="s">
        <v>329</v>
      </c>
      <c r="H26" s="94" t="s">
        <v>223</v>
      </c>
      <c r="I26" s="94" t="s">
        <v>330</v>
      </c>
      <c r="J26" s="94" t="s">
        <v>331</v>
      </c>
      <c r="K26" s="91"/>
      <c r="L26" s="95" t="s">
        <v>246</v>
      </c>
      <c r="M26" s="97" t="s">
        <v>262</v>
      </c>
      <c r="N26" s="91"/>
      <c r="O26" s="91"/>
      <c r="P26" s="91"/>
      <c r="Q26" s="91"/>
      <c r="R26" s="91"/>
      <c r="S26" s="91"/>
      <c r="T26" s="91"/>
      <c r="U26" s="91"/>
      <c r="V26" s="91"/>
      <c r="W26" s="91"/>
      <c r="X26" s="91"/>
      <c r="Y26" s="91"/>
      <c r="Z26" s="93" t="s">
        <v>279</v>
      </c>
    </row>
    <row r="27" spans="1:28" x14ac:dyDescent="0.25">
      <c r="A27" s="91" t="s">
        <v>225</v>
      </c>
      <c r="B27" s="91" t="s">
        <v>251</v>
      </c>
      <c r="C27" s="91" t="s">
        <v>230</v>
      </c>
      <c r="D27" s="91" t="s">
        <v>231</v>
      </c>
      <c r="E27" s="91" t="s">
        <v>270</v>
      </c>
      <c r="F27" s="94" t="s">
        <v>226</v>
      </c>
      <c r="G27" s="94" t="s">
        <v>274</v>
      </c>
      <c r="H27" s="91" t="s">
        <v>223</v>
      </c>
      <c r="I27" s="94" t="s">
        <v>256</v>
      </c>
      <c r="J27" s="94" t="s">
        <v>238</v>
      </c>
      <c r="K27" s="95" t="s">
        <v>242</v>
      </c>
      <c r="L27" s="91"/>
      <c r="M27" s="95" t="s">
        <v>268</v>
      </c>
      <c r="N27" s="91"/>
      <c r="O27" s="91"/>
      <c r="P27" s="91"/>
      <c r="Q27" s="91"/>
      <c r="R27" s="91"/>
      <c r="S27" s="91"/>
      <c r="T27" s="91"/>
      <c r="U27" s="91"/>
      <c r="V27" s="91"/>
      <c r="W27" s="91"/>
      <c r="X27" s="91"/>
      <c r="Y27" s="91"/>
      <c r="Z27" s="91"/>
    </row>
    <row r="28" spans="1:28" x14ac:dyDescent="0.25">
      <c r="A28" s="91" t="s">
        <v>225</v>
      </c>
      <c r="B28" s="91" t="s">
        <v>252</v>
      </c>
      <c r="C28" s="91" t="s">
        <v>232</v>
      </c>
      <c r="D28" s="91" t="s">
        <v>233</v>
      </c>
      <c r="E28" s="91" t="s">
        <v>271</v>
      </c>
      <c r="F28" s="94" t="s">
        <v>227</v>
      </c>
      <c r="G28" s="94" t="s">
        <v>275</v>
      </c>
      <c r="H28" s="91" t="s">
        <v>223</v>
      </c>
      <c r="I28" s="94" t="s">
        <v>257</v>
      </c>
      <c r="J28" s="94" t="s">
        <v>239</v>
      </c>
      <c r="K28" s="95" t="s">
        <v>243</v>
      </c>
      <c r="L28" s="96"/>
      <c r="M28" s="95" t="s">
        <v>0</v>
      </c>
      <c r="N28" s="95"/>
      <c r="O28" s="95"/>
      <c r="P28" s="95"/>
      <c r="Q28" s="95"/>
      <c r="R28" s="95"/>
      <c r="S28" s="95"/>
      <c r="T28" s="95"/>
      <c r="U28" s="95"/>
      <c r="V28" s="95"/>
      <c r="W28" s="95"/>
      <c r="X28" s="95"/>
      <c r="Y28" s="95"/>
      <c r="Z28" s="95"/>
    </row>
    <row r="29" spans="1:28" x14ac:dyDescent="0.25">
      <c r="A29" s="91" t="s">
        <v>225</v>
      </c>
      <c r="B29" s="91" t="s">
        <v>253</v>
      </c>
      <c r="C29" s="91" t="s">
        <v>234</v>
      </c>
      <c r="D29" s="91" t="s">
        <v>235</v>
      </c>
      <c r="E29" s="91" t="s">
        <v>272</v>
      </c>
      <c r="F29" s="94" t="s">
        <v>228</v>
      </c>
      <c r="G29" s="94" t="s">
        <v>276</v>
      </c>
      <c r="H29" s="91" t="s">
        <v>223</v>
      </c>
      <c r="I29" s="94" t="s">
        <v>258</v>
      </c>
      <c r="J29" s="94" t="s">
        <v>240</v>
      </c>
      <c r="K29" s="95" t="s">
        <v>244</v>
      </c>
      <c r="L29" s="96"/>
      <c r="M29" s="91"/>
      <c r="N29" s="91"/>
      <c r="O29" s="91"/>
      <c r="P29" s="91"/>
      <c r="Q29" s="91"/>
      <c r="R29" s="91"/>
      <c r="S29" s="91"/>
      <c r="T29" s="91"/>
      <c r="U29" s="91"/>
      <c r="V29" s="91"/>
      <c r="W29" s="91"/>
      <c r="X29" s="91"/>
      <c r="Y29" s="91"/>
      <c r="Z29" s="91"/>
    </row>
    <row r="30" spans="1:28" x14ac:dyDescent="0.25">
      <c r="A30" s="91" t="s">
        <v>225</v>
      </c>
      <c r="B30" s="91" t="s">
        <v>254</v>
      </c>
      <c r="C30" s="91" t="s">
        <v>236</v>
      </c>
      <c r="D30" s="91" t="s">
        <v>237</v>
      </c>
      <c r="E30" s="91" t="s">
        <v>273</v>
      </c>
      <c r="F30" s="94" t="s">
        <v>229</v>
      </c>
      <c r="G30" s="94" t="s">
        <v>277</v>
      </c>
      <c r="H30" s="91" t="s">
        <v>223</v>
      </c>
      <c r="I30" s="94" t="s">
        <v>259</v>
      </c>
      <c r="J30" s="94" t="s">
        <v>241</v>
      </c>
      <c r="K30" s="95" t="s">
        <v>245</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325</v>
      </c>
      <c r="B32" s="98"/>
      <c r="C32" s="94" t="s">
        <v>332</v>
      </c>
      <c r="D32" s="94" t="s">
        <v>333</v>
      </c>
      <c r="E32" s="94" t="s">
        <v>334</v>
      </c>
      <c r="F32" s="94" t="s">
        <v>335</v>
      </c>
      <c r="G32" s="94" t="s">
        <v>336</v>
      </c>
      <c r="H32" s="94" t="s">
        <v>223</v>
      </c>
      <c r="I32" s="94" t="s">
        <v>337</v>
      </c>
      <c r="J32" s="94" t="s">
        <v>338</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L23" sqref="L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310" t="str">
        <f>'1. паспорт местоположение'!A5:C5</f>
        <v>Год раскрытия информации: 2016 год</v>
      </c>
      <c r="B5" s="310"/>
      <c r="C5" s="310"/>
      <c r="D5" s="310"/>
      <c r="E5" s="310"/>
      <c r="F5" s="310"/>
      <c r="G5" s="310"/>
      <c r="H5" s="310"/>
      <c r="I5" s="310"/>
      <c r="J5" s="310"/>
      <c r="K5" s="310"/>
      <c r="L5" s="310"/>
      <c r="M5" s="310"/>
      <c r="N5" s="310"/>
      <c r="O5" s="310"/>
      <c r="P5" s="153"/>
      <c r="Q5" s="153"/>
      <c r="R5" s="153"/>
      <c r="S5" s="153"/>
      <c r="T5" s="153"/>
      <c r="U5" s="153"/>
      <c r="V5" s="153"/>
      <c r="W5" s="153"/>
      <c r="X5" s="153"/>
      <c r="Y5" s="153"/>
      <c r="Z5" s="153"/>
      <c r="AA5" s="153"/>
      <c r="AB5" s="153"/>
    </row>
    <row r="6" spans="1:28" s="11" customFormat="1" ht="18.75" x14ac:dyDescent="0.3">
      <c r="A6" s="16"/>
      <c r="B6" s="16"/>
      <c r="L6" s="14"/>
    </row>
    <row r="7" spans="1:28" s="11" customFormat="1" ht="18.75" x14ac:dyDescent="0.2">
      <c r="A7" s="303" t="s">
        <v>9</v>
      </c>
      <c r="B7" s="303"/>
      <c r="C7" s="303"/>
      <c r="D7" s="303"/>
      <c r="E7" s="303"/>
      <c r="F7" s="303"/>
      <c r="G7" s="303"/>
      <c r="H7" s="303"/>
      <c r="I7" s="303"/>
      <c r="J7" s="303"/>
      <c r="K7" s="303"/>
      <c r="L7" s="303"/>
      <c r="M7" s="303"/>
      <c r="N7" s="303"/>
      <c r="O7" s="303"/>
      <c r="P7" s="12"/>
      <c r="Q7" s="12"/>
      <c r="R7" s="12"/>
      <c r="S7" s="12"/>
      <c r="T7" s="12"/>
      <c r="U7" s="12"/>
      <c r="V7" s="12"/>
      <c r="W7" s="12"/>
      <c r="X7" s="12"/>
      <c r="Y7" s="12"/>
      <c r="Z7" s="12"/>
    </row>
    <row r="8" spans="1:28" s="11" customFormat="1" ht="18.75" x14ac:dyDescent="0.2">
      <c r="A8" s="303"/>
      <c r="B8" s="303"/>
      <c r="C8" s="303"/>
      <c r="D8" s="303"/>
      <c r="E8" s="303"/>
      <c r="F8" s="303"/>
      <c r="G8" s="303"/>
      <c r="H8" s="303"/>
      <c r="I8" s="303"/>
      <c r="J8" s="303"/>
      <c r="K8" s="303"/>
      <c r="L8" s="303"/>
      <c r="M8" s="303"/>
      <c r="N8" s="303"/>
      <c r="O8" s="303"/>
      <c r="P8" s="12"/>
      <c r="Q8" s="12"/>
      <c r="R8" s="12"/>
      <c r="S8" s="12"/>
      <c r="T8" s="12"/>
      <c r="U8" s="12"/>
      <c r="V8" s="12"/>
      <c r="W8" s="12"/>
      <c r="X8" s="12"/>
      <c r="Y8" s="12"/>
      <c r="Z8" s="12"/>
    </row>
    <row r="9" spans="1:28" s="11" customFormat="1" ht="18.75" x14ac:dyDescent="0.2">
      <c r="A9" s="306" t="str">
        <f>'1. паспорт местоположение'!A9:C9</f>
        <v>АО "Янтарьэнерго"</v>
      </c>
      <c r="B9" s="306"/>
      <c r="C9" s="306"/>
      <c r="D9" s="306"/>
      <c r="E9" s="306"/>
      <c r="F9" s="306"/>
      <c r="G9" s="306"/>
      <c r="H9" s="306"/>
      <c r="I9" s="306"/>
      <c r="J9" s="306"/>
      <c r="K9" s="306"/>
      <c r="L9" s="306"/>
      <c r="M9" s="306"/>
      <c r="N9" s="306"/>
      <c r="O9" s="306"/>
      <c r="P9" s="12"/>
      <c r="Q9" s="12"/>
      <c r="R9" s="12"/>
      <c r="S9" s="12"/>
      <c r="T9" s="12"/>
      <c r="U9" s="12"/>
      <c r="V9" s="12"/>
      <c r="W9" s="12"/>
      <c r="X9" s="12"/>
      <c r="Y9" s="12"/>
      <c r="Z9" s="12"/>
    </row>
    <row r="10" spans="1:28" s="11" customFormat="1" ht="18.75" x14ac:dyDescent="0.2">
      <c r="A10" s="300" t="s">
        <v>8</v>
      </c>
      <c r="B10" s="300"/>
      <c r="C10" s="300"/>
      <c r="D10" s="300"/>
      <c r="E10" s="300"/>
      <c r="F10" s="300"/>
      <c r="G10" s="300"/>
      <c r="H10" s="300"/>
      <c r="I10" s="300"/>
      <c r="J10" s="300"/>
      <c r="K10" s="300"/>
      <c r="L10" s="300"/>
      <c r="M10" s="300"/>
      <c r="N10" s="300"/>
      <c r="O10" s="300"/>
      <c r="P10" s="12"/>
      <c r="Q10" s="12"/>
      <c r="R10" s="12"/>
      <c r="S10" s="12"/>
      <c r="T10" s="12"/>
      <c r="U10" s="12"/>
      <c r="V10" s="12"/>
      <c r="W10" s="12"/>
      <c r="X10" s="12"/>
      <c r="Y10" s="12"/>
      <c r="Z10" s="12"/>
    </row>
    <row r="11" spans="1:28" s="11" customFormat="1" ht="18.75" x14ac:dyDescent="0.2">
      <c r="A11" s="303"/>
      <c r="B11" s="303"/>
      <c r="C11" s="303"/>
      <c r="D11" s="303"/>
      <c r="E11" s="303"/>
      <c r="F11" s="303"/>
      <c r="G11" s="303"/>
      <c r="H11" s="303"/>
      <c r="I11" s="303"/>
      <c r="J11" s="303"/>
      <c r="K11" s="303"/>
      <c r="L11" s="303"/>
      <c r="M11" s="303"/>
      <c r="N11" s="303"/>
      <c r="O11" s="303"/>
      <c r="P11" s="12"/>
      <c r="Q11" s="12"/>
      <c r="R11" s="12"/>
      <c r="S11" s="12"/>
      <c r="T11" s="12"/>
      <c r="U11" s="12"/>
      <c r="V11" s="12"/>
      <c r="W11" s="12"/>
      <c r="X11" s="12"/>
      <c r="Y11" s="12"/>
      <c r="Z11" s="12"/>
    </row>
    <row r="12" spans="1:28" s="11" customFormat="1" ht="18.75" x14ac:dyDescent="0.2">
      <c r="A12" s="306" t="str">
        <f>'1. паспорт местоположение'!A12:C12</f>
        <v>E_prj_111001_2501</v>
      </c>
      <c r="B12" s="306"/>
      <c r="C12" s="306"/>
      <c r="D12" s="306"/>
      <c r="E12" s="306"/>
      <c r="F12" s="306"/>
      <c r="G12" s="306"/>
      <c r="H12" s="306"/>
      <c r="I12" s="306"/>
      <c r="J12" s="306"/>
      <c r="K12" s="306"/>
      <c r="L12" s="306"/>
      <c r="M12" s="306"/>
      <c r="N12" s="306"/>
      <c r="O12" s="306"/>
      <c r="P12" s="12"/>
      <c r="Q12" s="12"/>
      <c r="R12" s="12"/>
      <c r="S12" s="12"/>
      <c r="T12" s="12"/>
      <c r="U12" s="12"/>
      <c r="V12" s="12"/>
      <c r="W12" s="12"/>
      <c r="X12" s="12"/>
      <c r="Y12" s="12"/>
      <c r="Z12" s="12"/>
    </row>
    <row r="13" spans="1:28" s="11" customFormat="1" ht="18.75" x14ac:dyDescent="0.2">
      <c r="A13" s="300" t="s">
        <v>7</v>
      </c>
      <c r="B13" s="300"/>
      <c r="C13" s="300"/>
      <c r="D13" s="300"/>
      <c r="E13" s="300"/>
      <c r="F13" s="300"/>
      <c r="G13" s="300"/>
      <c r="H13" s="300"/>
      <c r="I13" s="300"/>
      <c r="J13" s="300"/>
      <c r="K13" s="300"/>
      <c r="L13" s="300"/>
      <c r="M13" s="300"/>
      <c r="N13" s="300"/>
      <c r="O13" s="300"/>
      <c r="P13" s="12"/>
      <c r="Q13" s="12"/>
      <c r="R13" s="12"/>
      <c r="S13" s="12"/>
      <c r="T13" s="12"/>
      <c r="U13" s="12"/>
      <c r="V13" s="12"/>
      <c r="W13" s="12"/>
      <c r="X13" s="12"/>
      <c r="Y13" s="12"/>
      <c r="Z13" s="12"/>
    </row>
    <row r="14" spans="1:28" s="8" customFormat="1" ht="15.75" customHeight="1" x14ac:dyDescent="0.2">
      <c r="A14" s="309"/>
      <c r="B14" s="309"/>
      <c r="C14" s="309"/>
      <c r="D14" s="309"/>
      <c r="E14" s="309"/>
      <c r="F14" s="309"/>
      <c r="G14" s="309"/>
      <c r="H14" s="309"/>
      <c r="I14" s="309"/>
      <c r="J14" s="309"/>
      <c r="K14" s="309"/>
      <c r="L14" s="309"/>
      <c r="M14" s="309"/>
      <c r="N14" s="309"/>
      <c r="O14" s="309"/>
      <c r="P14" s="9"/>
      <c r="Q14" s="9"/>
      <c r="R14" s="9"/>
      <c r="S14" s="9"/>
      <c r="T14" s="9"/>
      <c r="U14" s="9"/>
      <c r="V14" s="9"/>
      <c r="W14" s="9"/>
      <c r="X14" s="9"/>
      <c r="Y14" s="9"/>
      <c r="Z14" s="9"/>
    </row>
    <row r="15" spans="1:28" s="3" customFormat="1" ht="15.75" x14ac:dyDescent="0.2">
      <c r="A15" s="306" t="str">
        <f>'1. паспорт местоположение'!A15:C15</f>
        <v>Строительство ПС 110 кВ "Храброво" с заходами, г. Калининград</v>
      </c>
      <c r="B15" s="306"/>
      <c r="C15" s="306"/>
      <c r="D15" s="306"/>
      <c r="E15" s="306"/>
      <c r="F15" s="306"/>
      <c r="G15" s="306"/>
      <c r="H15" s="306"/>
      <c r="I15" s="306"/>
      <c r="J15" s="306"/>
      <c r="K15" s="306"/>
      <c r="L15" s="306"/>
      <c r="M15" s="306"/>
      <c r="N15" s="306"/>
      <c r="O15" s="306"/>
      <c r="P15" s="7"/>
      <c r="Q15" s="7"/>
      <c r="R15" s="7"/>
      <c r="S15" s="7"/>
      <c r="T15" s="7"/>
      <c r="U15" s="7"/>
      <c r="V15" s="7"/>
      <c r="W15" s="7"/>
      <c r="X15" s="7"/>
      <c r="Y15" s="7"/>
      <c r="Z15" s="7"/>
    </row>
    <row r="16" spans="1:28" s="3" customFormat="1" ht="15" customHeight="1" x14ac:dyDescent="0.2">
      <c r="A16" s="300" t="s">
        <v>6</v>
      </c>
      <c r="B16" s="300"/>
      <c r="C16" s="300"/>
      <c r="D16" s="300"/>
      <c r="E16" s="300"/>
      <c r="F16" s="300"/>
      <c r="G16" s="300"/>
      <c r="H16" s="300"/>
      <c r="I16" s="300"/>
      <c r="J16" s="300"/>
      <c r="K16" s="300"/>
      <c r="L16" s="300"/>
      <c r="M16" s="300"/>
      <c r="N16" s="300"/>
      <c r="O16" s="300"/>
      <c r="P16" s="5"/>
      <c r="Q16" s="5"/>
      <c r="R16" s="5"/>
      <c r="S16" s="5"/>
      <c r="T16" s="5"/>
      <c r="U16" s="5"/>
      <c r="V16" s="5"/>
      <c r="W16" s="5"/>
      <c r="X16" s="5"/>
      <c r="Y16" s="5"/>
      <c r="Z16" s="5"/>
    </row>
    <row r="17" spans="1:26" s="3" customFormat="1" ht="15" customHeight="1" x14ac:dyDescent="0.2">
      <c r="A17" s="307"/>
      <c r="B17" s="307"/>
      <c r="C17" s="307"/>
      <c r="D17" s="307"/>
      <c r="E17" s="307"/>
      <c r="F17" s="307"/>
      <c r="G17" s="307"/>
      <c r="H17" s="307"/>
      <c r="I17" s="307"/>
      <c r="J17" s="307"/>
      <c r="K17" s="307"/>
      <c r="L17" s="307"/>
      <c r="M17" s="307"/>
      <c r="N17" s="307"/>
      <c r="O17" s="307"/>
      <c r="P17" s="4"/>
      <c r="Q17" s="4"/>
      <c r="R17" s="4"/>
      <c r="S17" s="4"/>
      <c r="T17" s="4"/>
      <c r="U17" s="4"/>
      <c r="V17" s="4"/>
      <c r="W17" s="4"/>
    </row>
    <row r="18" spans="1:26" s="3" customFormat="1" ht="91.5" customHeight="1" x14ac:dyDescent="0.2">
      <c r="A18" s="352" t="s">
        <v>445</v>
      </c>
      <c r="B18" s="352"/>
      <c r="C18" s="352"/>
      <c r="D18" s="352"/>
      <c r="E18" s="352"/>
      <c r="F18" s="352"/>
      <c r="G18" s="352"/>
      <c r="H18" s="352"/>
      <c r="I18" s="352"/>
      <c r="J18" s="352"/>
      <c r="K18" s="352"/>
      <c r="L18" s="352"/>
      <c r="M18" s="352"/>
      <c r="N18" s="352"/>
      <c r="O18" s="352"/>
      <c r="P18" s="6"/>
      <c r="Q18" s="6"/>
      <c r="R18" s="6"/>
      <c r="S18" s="6"/>
      <c r="T18" s="6"/>
      <c r="U18" s="6"/>
      <c r="V18" s="6"/>
      <c r="W18" s="6"/>
      <c r="X18" s="6"/>
      <c r="Y18" s="6"/>
      <c r="Z18" s="6"/>
    </row>
    <row r="19" spans="1:26" s="3" customFormat="1" ht="78" customHeight="1" x14ac:dyDescent="0.2">
      <c r="A19" s="311" t="s">
        <v>5</v>
      </c>
      <c r="B19" s="311" t="s">
        <v>88</v>
      </c>
      <c r="C19" s="311" t="s">
        <v>87</v>
      </c>
      <c r="D19" s="311" t="s">
        <v>76</v>
      </c>
      <c r="E19" s="349" t="s">
        <v>86</v>
      </c>
      <c r="F19" s="350"/>
      <c r="G19" s="350"/>
      <c r="H19" s="350"/>
      <c r="I19" s="351"/>
      <c r="J19" s="311" t="s">
        <v>85</v>
      </c>
      <c r="K19" s="311"/>
      <c r="L19" s="311"/>
      <c r="M19" s="311"/>
      <c r="N19" s="311"/>
      <c r="O19" s="311"/>
      <c r="P19" s="4"/>
      <c r="Q19" s="4"/>
      <c r="R19" s="4"/>
      <c r="S19" s="4"/>
      <c r="T19" s="4"/>
      <c r="U19" s="4"/>
      <c r="V19" s="4"/>
      <c r="W19" s="4"/>
    </row>
    <row r="20" spans="1:26" s="3" customFormat="1" ht="51" customHeight="1" x14ac:dyDescent="0.2">
      <c r="A20" s="311"/>
      <c r="B20" s="311"/>
      <c r="C20" s="311"/>
      <c r="D20" s="311"/>
      <c r="E20" s="41" t="s">
        <v>84</v>
      </c>
      <c r="F20" s="41" t="s">
        <v>83</v>
      </c>
      <c r="G20" s="41" t="s">
        <v>82</v>
      </c>
      <c r="H20" s="41" t="s">
        <v>81</v>
      </c>
      <c r="I20" s="41" t="s">
        <v>80</v>
      </c>
      <c r="J20" s="41" t="s">
        <v>79</v>
      </c>
      <c r="K20" s="41" t="s">
        <v>4</v>
      </c>
      <c r="L20" s="47" t="s">
        <v>3</v>
      </c>
      <c r="M20" s="46" t="s">
        <v>219</v>
      </c>
      <c r="N20" s="46" t="s">
        <v>78</v>
      </c>
      <c r="O20" s="46" t="s">
        <v>77</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47.25" x14ac:dyDescent="0.2">
      <c r="A22" s="218" t="s">
        <v>65</v>
      </c>
      <c r="B22" s="45" t="s">
        <v>516</v>
      </c>
      <c r="C22" s="29" t="s">
        <v>517</v>
      </c>
      <c r="D22" s="29" t="s">
        <v>518</v>
      </c>
      <c r="E22" s="29"/>
      <c r="F22" s="29"/>
      <c r="G22" s="29"/>
      <c r="H22" s="29"/>
      <c r="I22" s="29"/>
      <c r="J22" s="217">
        <v>145.97</v>
      </c>
      <c r="K22" s="217">
        <v>123</v>
      </c>
      <c r="L22" s="217">
        <v>35.03</v>
      </c>
      <c r="M22" s="217"/>
      <c r="N22" s="217"/>
      <c r="O22" s="217"/>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topLeftCell="A19" workbookViewId="0">
      <selection activeCell="B21" sqref="B21"/>
    </sheetView>
  </sheetViews>
  <sheetFormatPr defaultRowHeight="15.75" x14ac:dyDescent="0.2"/>
  <cols>
    <col min="1" max="1" width="61.7109375" style="159" customWidth="1"/>
    <col min="2" max="2" width="18.5703125" style="159" customWidth="1"/>
    <col min="3" max="30" width="16.85546875" style="159" customWidth="1"/>
    <col min="31" max="31" width="17.28515625" style="159" customWidth="1"/>
    <col min="32" max="33" width="15" style="163" customWidth="1"/>
    <col min="34" max="36" width="9.140625" style="224"/>
    <col min="37" max="256" width="9.140625" style="162"/>
    <col min="257" max="257" width="61.7109375" style="162" customWidth="1"/>
    <col min="258" max="258" width="18.5703125" style="162" customWidth="1"/>
    <col min="259" max="286" width="16.85546875" style="162" customWidth="1"/>
    <col min="287" max="287" width="17.28515625" style="162" customWidth="1"/>
    <col min="288" max="289" width="15" style="162" customWidth="1"/>
    <col min="290" max="512" width="9.140625" style="162"/>
    <col min="513" max="513" width="61.7109375" style="162" customWidth="1"/>
    <col min="514" max="514" width="18.5703125" style="162" customWidth="1"/>
    <col min="515" max="542" width="16.85546875" style="162" customWidth="1"/>
    <col min="543" max="543" width="17.28515625" style="162" customWidth="1"/>
    <col min="544" max="545" width="15" style="162" customWidth="1"/>
    <col min="546" max="768" width="9.140625" style="162"/>
    <col min="769" max="769" width="61.7109375" style="162" customWidth="1"/>
    <col min="770" max="770" width="18.5703125" style="162" customWidth="1"/>
    <col min="771" max="798" width="16.85546875" style="162" customWidth="1"/>
    <col min="799" max="799" width="17.28515625" style="162" customWidth="1"/>
    <col min="800" max="801" width="15" style="162" customWidth="1"/>
    <col min="802" max="1024" width="9.140625" style="162"/>
    <col min="1025" max="1025" width="61.7109375" style="162" customWidth="1"/>
    <col min="1026" max="1026" width="18.5703125" style="162" customWidth="1"/>
    <col min="1027" max="1054" width="16.85546875" style="162" customWidth="1"/>
    <col min="1055" max="1055" width="17.28515625" style="162" customWidth="1"/>
    <col min="1056" max="1057" width="15" style="162" customWidth="1"/>
    <col min="1058" max="1280" width="9.140625" style="162"/>
    <col min="1281" max="1281" width="61.7109375" style="162" customWidth="1"/>
    <col min="1282" max="1282" width="18.5703125" style="162" customWidth="1"/>
    <col min="1283" max="1310" width="16.85546875" style="162" customWidth="1"/>
    <col min="1311" max="1311" width="17.28515625" style="162" customWidth="1"/>
    <col min="1312" max="1313" width="15" style="162" customWidth="1"/>
    <col min="1314" max="1536" width="9.140625" style="162"/>
    <col min="1537" max="1537" width="61.7109375" style="162" customWidth="1"/>
    <col min="1538" max="1538" width="18.5703125" style="162" customWidth="1"/>
    <col min="1539" max="1566" width="16.85546875" style="162" customWidth="1"/>
    <col min="1567" max="1567" width="17.28515625" style="162" customWidth="1"/>
    <col min="1568" max="1569" width="15" style="162" customWidth="1"/>
    <col min="1570" max="1792" width="9.140625" style="162"/>
    <col min="1793" max="1793" width="61.7109375" style="162" customWidth="1"/>
    <col min="1794" max="1794" width="18.5703125" style="162" customWidth="1"/>
    <col min="1795" max="1822" width="16.85546875" style="162" customWidth="1"/>
    <col min="1823" max="1823" width="17.28515625" style="162" customWidth="1"/>
    <col min="1824" max="1825" width="15" style="162" customWidth="1"/>
    <col min="1826" max="2048" width="9.140625" style="162"/>
    <col min="2049" max="2049" width="61.7109375" style="162" customWidth="1"/>
    <col min="2050" max="2050" width="18.5703125" style="162" customWidth="1"/>
    <col min="2051" max="2078" width="16.85546875" style="162" customWidth="1"/>
    <col min="2079" max="2079" width="17.28515625" style="162" customWidth="1"/>
    <col min="2080" max="2081" width="15" style="162" customWidth="1"/>
    <col min="2082" max="2304" width="9.140625" style="162"/>
    <col min="2305" max="2305" width="61.7109375" style="162" customWidth="1"/>
    <col min="2306" max="2306" width="18.5703125" style="162" customWidth="1"/>
    <col min="2307" max="2334" width="16.85546875" style="162" customWidth="1"/>
    <col min="2335" max="2335" width="17.28515625" style="162" customWidth="1"/>
    <col min="2336" max="2337" width="15" style="162" customWidth="1"/>
    <col min="2338" max="2560" width="9.140625" style="162"/>
    <col min="2561" max="2561" width="61.7109375" style="162" customWidth="1"/>
    <col min="2562" max="2562" width="18.5703125" style="162" customWidth="1"/>
    <col min="2563" max="2590" width="16.85546875" style="162" customWidth="1"/>
    <col min="2591" max="2591" width="17.28515625" style="162" customWidth="1"/>
    <col min="2592" max="2593" width="15" style="162" customWidth="1"/>
    <col min="2594" max="2816" width="9.140625" style="162"/>
    <col min="2817" max="2817" width="61.7109375" style="162" customWidth="1"/>
    <col min="2818" max="2818" width="18.5703125" style="162" customWidth="1"/>
    <col min="2819" max="2846" width="16.85546875" style="162" customWidth="1"/>
    <col min="2847" max="2847" width="17.28515625" style="162" customWidth="1"/>
    <col min="2848" max="2849" width="15" style="162" customWidth="1"/>
    <col min="2850" max="3072" width="9.140625" style="162"/>
    <col min="3073" max="3073" width="61.7109375" style="162" customWidth="1"/>
    <col min="3074" max="3074" width="18.5703125" style="162" customWidth="1"/>
    <col min="3075" max="3102" width="16.85546875" style="162" customWidth="1"/>
    <col min="3103" max="3103" width="17.28515625" style="162" customWidth="1"/>
    <col min="3104" max="3105" width="15" style="162" customWidth="1"/>
    <col min="3106" max="3328" width="9.140625" style="162"/>
    <col min="3329" max="3329" width="61.7109375" style="162" customWidth="1"/>
    <col min="3330" max="3330" width="18.5703125" style="162" customWidth="1"/>
    <col min="3331" max="3358" width="16.85546875" style="162" customWidth="1"/>
    <col min="3359" max="3359" width="17.28515625" style="162" customWidth="1"/>
    <col min="3360" max="3361" width="15" style="162" customWidth="1"/>
    <col min="3362" max="3584" width="9.140625" style="162"/>
    <col min="3585" max="3585" width="61.7109375" style="162" customWidth="1"/>
    <col min="3586" max="3586" width="18.5703125" style="162" customWidth="1"/>
    <col min="3587" max="3614" width="16.85546875" style="162" customWidth="1"/>
    <col min="3615" max="3615" width="17.28515625" style="162" customWidth="1"/>
    <col min="3616" max="3617" width="15" style="162" customWidth="1"/>
    <col min="3618" max="3840" width="9.140625" style="162"/>
    <col min="3841" max="3841" width="61.7109375" style="162" customWidth="1"/>
    <col min="3842" max="3842" width="18.5703125" style="162" customWidth="1"/>
    <col min="3843" max="3870" width="16.85546875" style="162" customWidth="1"/>
    <col min="3871" max="3871" width="17.28515625" style="162" customWidth="1"/>
    <col min="3872" max="3873" width="15" style="162" customWidth="1"/>
    <col min="3874" max="4096" width="9.140625" style="162"/>
    <col min="4097" max="4097" width="61.7109375" style="162" customWidth="1"/>
    <col min="4098" max="4098" width="18.5703125" style="162" customWidth="1"/>
    <col min="4099" max="4126" width="16.85546875" style="162" customWidth="1"/>
    <col min="4127" max="4127" width="17.28515625" style="162" customWidth="1"/>
    <col min="4128" max="4129" width="15" style="162" customWidth="1"/>
    <col min="4130" max="4352" width="9.140625" style="162"/>
    <col min="4353" max="4353" width="61.7109375" style="162" customWidth="1"/>
    <col min="4354" max="4354" width="18.5703125" style="162" customWidth="1"/>
    <col min="4355" max="4382" width="16.85546875" style="162" customWidth="1"/>
    <col min="4383" max="4383" width="17.28515625" style="162" customWidth="1"/>
    <col min="4384" max="4385" width="15" style="162" customWidth="1"/>
    <col min="4386" max="4608" width="9.140625" style="162"/>
    <col min="4609" max="4609" width="61.7109375" style="162" customWidth="1"/>
    <col min="4610" max="4610" width="18.5703125" style="162" customWidth="1"/>
    <col min="4611" max="4638" width="16.85546875" style="162" customWidth="1"/>
    <col min="4639" max="4639" width="17.28515625" style="162" customWidth="1"/>
    <col min="4640" max="4641" width="15" style="162" customWidth="1"/>
    <col min="4642" max="4864" width="9.140625" style="162"/>
    <col min="4865" max="4865" width="61.7109375" style="162" customWidth="1"/>
    <col min="4866" max="4866" width="18.5703125" style="162" customWidth="1"/>
    <col min="4867" max="4894" width="16.85546875" style="162" customWidth="1"/>
    <col min="4895" max="4895" width="17.28515625" style="162" customWidth="1"/>
    <col min="4896" max="4897" width="15" style="162" customWidth="1"/>
    <col min="4898" max="5120" width="9.140625" style="162"/>
    <col min="5121" max="5121" width="61.7109375" style="162" customWidth="1"/>
    <col min="5122" max="5122" width="18.5703125" style="162" customWidth="1"/>
    <col min="5123" max="5150" width="16.85546875" style="162" customWidth="1"/>
    <col min="5151" max="5151" width="17.28515625" style="162" customWidth="1"/>
    <col min="5152" max="5153" width="15" style="162" customWidth="1"/>
    <col min="5154" max="5376" width="9.140625" style="162"/>
    <col min="5377" max="5377" width="61.7109375" style="162" customWidth="1"/>
    <col min="5378" max="5378" width="18.5703125" style="162" customWidth="1"/>
    <col min="5379" max="5406" width="16.85546875" style="162" customWidth="1"/>
    <col min="5407" max="5407" width="17.28515625" style="162" customWidth="1"/>
    <col min="5408" max="5409" width="15" style="162" customWidth="1"/>
    <col min="5410" max="5632" width="9.140625" style="162"/>
    <col min="5633" max="5633" width="61.7109375" style="162" customWidth="1"/>
    <col min="5634" max="5634" width="18.5703125" style="162" customWidth="1"/>
    <col min="5635" max="5662" width="16.85546875" style="162" customWidth="1"/>
    <col min="5663" max="5663" width="17.28515625" style="162" customWidth="1"/>
    <col min="5664" max="5665" width="15" style="162" customWidth="1"/>
    <col min="5666" max="5888" width="9.140625" style="162"/>
    <col min="5889" max="5889" width="61.7109375" style="162" customWidth="1"/>
    <col min="5890" max="5890" width="18.5703125" style="162" customWidth="1"/>
    <col min="5891" max="5918" width="16.85546875" style="162" customWidth="1"/>
    <col min="5919" max="5919" width="17.28515625" style="162" customWidth="1"/>
    <col min="5920" max="5921" width="15" style="162" customWidth="1"/>
    <col min="5922" max="6144" width="9.140625" style="162"/>
    <col min="6145" max="6145" width="61.7109375" style="162" customWidth="1"/>
    <col min="6146" max="6146" width="18.5703125" style="162" customWidth="1"/>
    <col min="6147" max="6174" width="16.85546875" style="162" customWidth="1"/>
    <col min="6175" max="6175" width="17.28515625" style="162" customWidth="1"/>
    <col min="6176" max="6177" width="15" style="162" customWidth="1"/>
    <col min="6178" max="6400" width="9.140625" style="162"/>
    <col min="6401" max="6401" width="61.7109375" style="162" customWidth="1"/>
    <col min="6402" max="6402" width="18.5703125" style="162" customWidth="1"/>
    <col min="6403" max="6430" width="16.85546875" style="162" customWidth="1"/>
    <col min="6431" max="6431" width="17.28515625" style="162" customWidth="1"/>
    <col min="6432" max="6433" width="15" style="162" customWidth="1"/>
    <col min="6434" max="6656" width="9.140625" style="162"/>
    <col min="6657" max="6657" width="61.7109375" style="162" customWidth="1"/>
    <col min="6658" max="6658" width="18.5703125" style="162" customWidth="1"/>
    <col min="6659" max="6686" width="16.85546875" style="162" customWidth="1"/>
    <col min="6687" max="6687" width="17.28515625" style="162" customWidth="1"/>
    <col min="6688" max="6689" width="15" style="162" customWidth="1"/>
    <col min="6690" max="6912" width="9.140625" style="162"/>
    <col min="6913" max="6913" width="61.7109375" style="162" customWidth="1"/>
    <col min="6914" max="6914" width="18.5703125" style="162" customWidth="1"/>
    <col min="6915" max="6942" width="16.85546875" style="162" customWidth="1"/>
    <col min="6943" max="6943" width="17.28515625" style="162" customWidth="1"/>
    <col min="6944" max="6945" width="15" style="162" customWidth="1"/>
    <col min="6946" max="7168" width="9.140625" style="162"/>
    <col min="7169" max="7169" width="61.7109375" style="162" customWidth="1"/>
    <col min="7170" max="7170" width="18.5703125" style="162" customWidth="1"/>
    <col min="7171" max="7198" width="16.85546875" style="162" customWidth="1"/>
    <col min="7199" max="7199" width="17.28515625" style="162" customWidth="1"/>
    <col min="7200" max="7201" width="15" style="162" customWidth="1"/>
    <col min="7202" max="7424" width="9.140625" style="162"/>
    <col min="7425" max="7425" width="61.7109375" style="162" customWidth="1"/>
    <col min="7426" max="7426" width="18.5703125" style="162" customWidth="1"/>
    <col min="7427" max="7454" width="16.85546875" style="162" customWidth="1"/>
    <col min="7455" max="7455" width="17.28515625" style="162" customWidth="1"/>
    <col min="7456" max="7457" width="15" style="162" customWidth="1"/>
    <col min="7458" max="7680" width="9.140625" style="162"/>
    <col min="7681" max="7681" width="61.7109375" style="162" customWidth="1"/>
    <col min="7682" max="7682" width="18.5703125" style="162" customWidth="1"/>
    <col min="7683" max="7710" width="16.85546875" style="162" customWidth="1"/>
    <col min="7711" max="7711" width="17.28515625" style="162" customWidth="1"/>
    <col min="7712" max="7713" width="15" style="162" customWidth="1"/>
    <col min="7714" max="7936" width="9.140625" style="162"/>
    <col min="7937" max="7937" width="61.7109375" style="162" customWidth="1"/>
    <col min="7938" max="7938" width="18.5703125" style="162" customWidth="1"/>
    <col min="7939" max="7966" width="16.85546875" style="162" customWidth="1"/>
    <col min="7967" max="7967" width="17.28515625" style="162" customWidth="1"/>
    <col min="7968" max="7969" width="15" style="162" customWidth="1"/>
    <col min="7970" max="8192" width="9.140625" style="162"/>
    <col min="8193" max="8193" width="61.7109375" style="162" customWidth="1"/>
    <col min="8194" max="8194" width="18.5703125" style="162" customWidth="1"/>
    <col min="8195" max="8222" width="16.85546875" style="162" customWidth="1"/>
    <col min="8223" max="8223" width="17.28515625" style="162" customWidth="1"/>
    <col min="8224" max="8225" width="15" style="162" customWidth="1"/>
    <col min="8226" max="8448" width="9.140625" style="162"/>
    <col min="8449" max="8449" width="61.7109375" style="162" customWidth="1"/>
    <col min="8450" max="8450" width="18.5703125" style="162" customWidth="1"/>
    <col min="8451" max="8478" width="16.85546875" style="162" customWidth="1"/>
    <col min="8479" max="8479" width="17.28515625" style="162" customWidth="1"/>
    <col min="8480" max="8481" width="15" style="162" customWidth="1"/>
    <col min="8482" max="8704" width="9.140625" style="162"/>
    <col min="8705" max="8705" width="61.7109375" style="162" customWidth="1"/>
    <col min="8706" max="8706" width="18.5703125" style="162" customWidth="1"/>
    <col min="8707" max="8734" width="16.85546875" style="162" customWidth="1"/>
    <col min="8735" max="8735" width="17.28515625" style="162" customWidth="1"/>
    <col min="8736" max="8737" width="15" style="162" customWidth="1"/>
    <col min="8738" max="8960" width="9.140625" style="162"/>
    <col min="8961" max="8961" width="61.7109375" style="162" customWidth="1"/>
    <col min="8962" max="8962" width="18.5703125" style="162" customWidth="1"/>
    <col min="8963" max="8990" width="16.85546875" style="162" customWidth="1"/>
    <col min="8991" max="8991" width="17.28515625" style="162" customWidth="1"/>
    <col min="8992" max="8993" width="15" style="162" customWidth="1"/>
    <col min="8994" max="9216" width="9.140625" style="162"/>
    <col min="9217" max="9217" width="61.7109375" style="162" customWidth="1"/>
    <col min="9218" max="9218" width="18.5703125" style="162" customWidth="1"/>
    <col min="9219" max="9246" width="16.85546875" style="162" customWidth="1"/>
    <col min="9247" max="9247" width="17.28515625" style="162" customWidth="1"/>
    <col min="9248" max="9249" width="15" style="162" customWidth="1"/>
    <col min="9250" max="9472" width="9.140625" style="162"/>
    <col min="9473" max="9473" width="61.7109375" style="162" customWidth="1"/>
    <col min="9474" max="9474" width="18.5703125" style="162" customWidth="1"/>
    <col min="9475" max="9502" width="16.85546875" style="162" customWidth="1"/>
    <col min="9503" max="9503" width="17.28515625" style="162" customWidth="1"/>
    <col min="9504" max="9505" width="15" style="162" customWidth="1"/>
    <col min="9506" max="9728" width="9.140625" style="162"/>
    <col min="9729" max="9729" width="61.7109375" style="162" customWidth="1"/>
    <col min="9730" max="9730" width="18.5703125" style="162" customWidth="1"/>
    <col min="9731" max="9758" width="16.85546875" style="162" customWidth="1"/>
    <col min="9759" max="9759" width="17.28515625" style="162" customWidth="1"/>
    <col min="9760" max="9761" width="15" style="162" customWidth="1"/>
    <col min="9762" max="9984" width="9.140625" style="162"/>
    <col min="9985" max="9985" width="61.7109375" style="162" customWidth="1"/>
    <col min="9986" max="9986" width="18.5703125" style="162" customWidth="1"/>
    <col min="9987" max="10014" width="16.85546875" style="162" customWidth="1"/>
    <col min="10015" max="10015" width="17.28515625" style="162" customWidth="1"/>
    <col min="10016" max="10017" width="15" style="162" customWidth="1"/>
    <col min="10018" max="10240" width="9.140625" style="162"/>
    <col min="10241" max="10241" width="61.7109375" style="162" customWidth="1"/>
    <col min="10242" max="10242" width="18.5703125" style="162" customWidth="1"/>
    <col min="10243" max="10270" width="16.85546875" style="162" customWidth="1"/>
    <col min="10271" max="10271" width="17.28515625" style="162" customWidth="1"/>
    <col min="10272" max="10273" width="15" style="162" customWidth="1"/>
    <col min="10274" max="10496" width="9.140625" style="162"/>
    <col min="10497" max="10497" width="61.7109375" style="162" customWidth="1"/>
    <col min="10498" max="10498" width="18.5703125" style="162" customWidth="1"/>
    <col min="10499" max="10526" width="16.85546875" style="162" customWidth="1"/>
    <col min="10527" max="10527" width="17.28515625" style="162" customWidth="1"/>
    <col min="10528" max="10529" width="15" style="162" customWidth="1"/>
    <col min="10530" max="10752" width="9.140625" style="162"/>
    <col min="10753" max="10753" width="61.7109375" style="162" customWidth="1"/>
    <col min="10754" max="10754" width="18.5703125" style="162" customWidth="1"/>
    <col min="10755" max="10782" width="16.85546875" style="162" customWidth="1"/>
    <col min="10783" max="10783" width="17.28515625" style="162" customWidth="1"/>
    <col min="10784" max="10785" width="15" style="162" customWidth="1"/>
    <col min="10786" max="11008" width="9.140625" style="162"/>
    <col min="11009" max="11009" width="61.7109375" style="162" customWidth="1"/>
    <col min="11010" max="11010" width="18.5703125" style="162" customWidth="1"/>
    <col min="11011" max="11038" width="16.85546875" style="162" customWidth="1"/>
    <col min="11039" max="11039" width="17.28515625" style="162" customWidth="1"/>
    <col min="11040" max="11041" width="15" style="162" customWidth="1"/>
    <col min="11042" max="11264" width="9.140625" style="162"/>
    <col min="11265" max="11265" width="61.7109375" style="162" customWidth="1"/>
    <col min="11266" max="11266" width="18.5703125" style="162" customWidth="1"/>
    <col min="11267" max="11294" width="16.85546875" style="162" customWidth="1"/>
    <col min="11295" max="11295" width="17.28515625" style="162" customWidth="1"/>
    <col min="11296" max="11297" width="15" style="162" customWidth="1"/>
    <col min="11298" max="11520" width="9.140625" style="162"/>
    <col min="11521" max="11521" width="61.7109375" style="162" customWidth="1"/>
    <col min="11522" max="11522" width="18.5703125" style="162" customWidth="1"/>
    <col min="11523" max="11550" width="16.85546875" style="162" customWidth="1"/>
    <col min="11551" max="11551" width="17.28515625" style="162" customWidth="1"/>
    <col min="11552" max="11553" width="15" style="162" customWidth="1"/>
    <col min="11554" max="11776" width="9.140625" style="162"/>
    <col min="11777" max="11777" width="61.7109375" style="162" customWidth="1"/>
    <col min="11778" max="11778" width="18.5703125" style="162" customWidth="1"/>
    <col min="11779" max="11806" width="16.85546875" style="162" customWidth="1"/>
    <col min="11807" max="11807" width="17.28515625" style="162" customWidth="1"/>
    <col min="11808" max="11809" width="15" style="162" customWidth="1"/>
    <col min="11810" max="12032" width="9.140625" style="162"/>
    <col min="12033" max="12033" width="61.7109375" style="162" customWidth="1"/>
    <col min="12034" max="12034" width="18.5703125" style="162" customWidth="1"/>
    <col min="12035" max="12062" width="16.85546875" style="162" customWidth="1"/>
    <col min="12063" max="12063" width="17.28515625" style="162" customWidth="1"/>
    <col min="12064" max="12065" width="15" style="162" customWidth="1"/>
    <col min="12066" max="12288" width="9.140625" style="162"/>
    <col min="12289" max="12289" width="61.7109375" style="162" customWidth="1"/>
    <col min="12290" max="12290" width="18.5703125" style="162" customWidth="1"/>
    <col min="12291" max="12318" width="16.85546875" style="162" customWidth="1"/>
    <col min="12319" max="12319" width="17.28515625" style="162" customWidth="1"/>
    <col min="12320" max="12321" width="15" style="162" customWidth="1"/>
    <col min="12322" max="12544" width="9.140625" style="162"/>
    <col min="12545" max="12545" width="61.7109375" style="162" customWidth="1"/>
    <col min="12546" max="12546" width="18.5703125" style="162" customWidth="1"/>
    <col min="12547" max="12574" width="16.85546875" style="162" customWidth="1"/>
    <col min="12575" max="12575" width="17.28515625" style="162" customWidth="1"/>
    <col min="12576" max="12577" width="15" style="162" customWidth="1"/>
    <col min="12578" max="12800" width="9.140625" style="162"/>
    <col min="12801" max="12801" width="61.7109375" style="162" customWidth="1"/>
    <col min="12802" max="12802" width="18.5703125" style="162" customWidth="1"/>
    <col min="12803" max="12830" width="16.85546875" style="162" customWidth="1"/>
    <col min="12831" max="12831" width="17.28515625" style="162" customWidth="1"/>
    <col min="12832" max="12833" width="15" style="162" customWidth="1"/>
    <col min="12834" max="13056" width="9.140625" style="162"/>
    <col min="13057" max="13057" width="61.7109375" style="162" customWidth="1"/>
    <col min="13058" max="13058" width="18.5703125" style="162" customWidth="1"/>
    <col min="13059" max="13086" width="16.85546875" style="162" customWidth="1"/>
    <col min="13087" max="13087" width="17.28515625" style="162" customWidth="1"/>
    <col min="13088" max="13089" width="15" style="162" customWidth="1"/>
    <col min="13090" max="13312" width="9.140625" style="162"/>
    <col min="13313" max="13313" width="61.7109375" style="162" customWidth="1"/>
    <col min="13314" max="13314" width="18.5703125" style="162" customWidth="1"/>
    <col min="13315" max="13342" width="16.85546875" style="162" customWidth="1"/>
    <col min="13343" max="13343" width="17.28515625" style="162" customWidth="1"/>
    <col min="13344" max="13345" width="15" style="162" customWidth="1"/>
    <col min="13346" max="13568" width="9.140625" style="162"/>
    <col min="13569" max="13569" width="61.7109375" style="162" customWidth="1"/>
    <col min="13570" max="13570" width="18.5703125" style="162" customWidth="1"/>
    <col min="13571" max="13598" width="16.85546875" style="162" customWidth="1"/>
    <col min="13599" max="13599" width="17.28515625" style="162" customWidth="1"/>
    <col min="13600" max="13601" width="15" style="162" customWidth="1"/>
    <col min="13602" max="13824" width="9.140625" style="162"/>
    <col min="13825" max="13825" width="61.7109375" style="162" customWidth="1"/>
    <col min="13826" max="13826" width="18.5703125" style="162" customWidth="1"/>
    <col min="13827" max="13854" width="16.85546875" style="162" customWidth="1"/>
    <col min="13855" max="13855" width="17.28515625" style="162" customWidth="1"/>
    <col min="13856" max="13857" width="15" style="162" customWidth="1"/>
    <col min="13858" max="14080" width="9.140625" style="162"/>
    <col min="14081" max="14081" width="61.7109375" style="162" customWidth="1"/>
    <col min="14082" max="14082" width="18.5703125" style="162" customWidth="1"/>
    <col min="14083" max="14110" width="16.85546875" style="162" customWidth="1"/>
    <col min="14111" max="14111" width="17.28515625" style="162" customWidth="1"/>
    <col min="14112" max="14113" width="15" style="162" customWidth="1"/>
    <col min="14114" max="14336" width="9.140625" style="162"/>
    <col min="14337" max="14337" width="61.7109375" style="162" customWidth="1"/>
    <col min="14338" max="14338" width="18.5703125" style="162" customWidth="1"/>
    <col min="14339" max="14366" width="16.85546875" style="162" customWidth="1"/>
    <col min="14367" max="14367" width="17.28515625" style="162" customWidth="1"/>
    <col min="14368" max="14369" width="15" style="162" customWidth="1"/>
    <col min="14370" max="14592" width="9.140625" style="162"/>
    <col min="14593" max="14593" width="61.7109375" style="162" customWidth="1"/>
    <col min="14594" max="14594" width="18.5703125" style="162" customWidth="1"/>
    <col min="14595" max="14622" width="16.85546875" style="162" customWidth="1"/>
    <col min="14623" max="14623" width="17.28515625" style="162" customWidth="1"/>
    <col min="14624" max="14625" width="15" style="162" customWidth="1"/>
    <col min="14626" max="14848" width="9.140625" style="162"/>
    <col min="14849" max="14849" width="61.7109375" style="162" customWidth="1"/>
    <col min="14850" max="14850" width="18.5703125" style="162" customWidth="1"/>
    <col min="14851" max="14878" width="16.85546875" style="162" customWidth="1"/>
    <col min="14879" max="14879" width="17.28515625" style="162" customWidth="1"/>
    <col min="14880" max="14881" width="15" style="162" customWidth="1"/>
    <col min="14882" max="15104" width="9.140625" style="162"/>
    <col min="15105" max="15105" width="61.7109375" style="162" customWidth="1"/>
    <col min="15106" max="15106" width="18.5703125" style="162" customWidth="1"/>
    <col min="15107" max="15134" width="16.85546875" style="162" customWidth="1"/>
    <col min="15135" max="15135" width="17.28515625" style="162" customWidth="1"/>
    <col min="15136" max="15137" width="15" style="162" customWidth="1"/>
    <col min="15138" max="15360" width="9.140625" style="162"/>
    <col min="15361" max="15361" width="61.7109375" style="162" customWidth="1"/>
    <col min="15362" max="15362" width="18.5703125" style="162" customWidth="1"/>
    <col min="15363" max="15390" width="16.85546875" style="162" customWidth="1"/>
    <col min="15391" max="15391" width="17.28515625" style="162" customWidth="1"/>
    <col min="15392" max="15393" width="15" style="162" customWidth="1"/>
    <col min="15394" max="15616" width="9.140625" style="162"/>
    <col min="15617" max="15617" width="61.7109375" style="162" customWidth="1"/>
    <col min="15618" max="15618" width="18.5703125" style="162" customWidth="1"/>
    <col min="15619" max="15646" width="16.85546875" style="162" customWidth="1"/>
    <col min="15647" max="15647" width="17.28515625" style="162" customWidth="1"/>
    <col min="15648" max="15649" width="15" style="162" customWidth="1"/>
    <col min="15650" max="15872" width="9.140625" style="162"/>
    <col min="15873" max="15873" width="61.7109375" style="162" customWidth="1"/>
    <col min="15874" max="15874" width="18.5703125" style="162" customWidth="1"/>
    <col min="15875" max="15902" width="16.85546875" style="162" customWidth="1"/>
    <col min="15903" max="15903" width="17.28515625" style="162" customWidth="1"/>
    <col min="15904" max="15905" width="15" style="162" customWidth="1"/>
    <col min="15906" max="16128" width="9.140625" style="162"/>
    <col min="16129" max="16129" width="61.7109375" style="162" customWidth="1"/>
    <col min="16130" max="16130" width="18.5703125" style="162" customWidth="1"/>
    <col min="16131" max="16158" width="16.85546875" style="162" customWidth="1"/>
    <col min="16159" max="16159" width="17.28515625" style="162" customWidth="1"/>
    <col min="16160" max="16161" width="15" style="162" customWidth="1"/>
    <col min="16162" max="16384" width="9.140625" style="162"/>
  </cols>
  <sheetData>
    <row r="1" spans="1:44" s="11" customFormat="1" ht="18.75" customHeight="1" x14ac:dyDescent="0.2">
      <c r="A1" s="17"/>
      <c r="I1" s="15"/>
      <c r="J1" s="15"/>
      <c r="AR1" s="38" t="s">
        <v>69</v>
      </c>
    </row>
    <row r="2" spans="1:44" s="11" customFormat="1" ht="18.75" customHeight="1" x14ac:dyDescent="0.3">
      <c r="A2" s="17"/>
      <c r="I2" s="15"/>
      <c r="J2" s="15"/>
      <c r="AR2" s="14" t="s">
        <v>10</v>
      </c>
    </row>
    <row r="3" spans="1:44" s="11" customFormat="1" ht="18.75" x14ac:dyDescent="0.3">
      <c r="A3" s="16"/>
      <c r="I3" s="15"/>
      <c r="J3" s="15"/>
      <c r="AR3" s="14" t="s">
        <v>68</v>
      </c>
    </row>
    <row r="4" spans="1:44" s="11" customFormat="1" ht="18.75" x14ac:dyDescent="0.3">
      <c r="A4" s="16"/>
      <c r="I4" s="15"/>
      <c r="J4" s="15"/>
      <c r="K4" s="14"/>
    </row>
    <row r="5" spans="1:44" s="11" customFormat="1" ht="18.75" customHeight="1" x14ac:dyDescent="0.2">
      <c r="A5" s="310" t="str">
        <f>'1. паспорт местоположение'!A5:C5</f>
        <v>Год раскрытия информации: 2016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row>
    <row r="6" spans="1:44" s="11" customFormat="1" ht="18.75" x14ac:dyDescent="0.3">
      <c r="A6" s="16"/>
      <c r="I6" s="15"/>
      <c r="J6" s="15"/>
      <c r="K6" s="14"/>
    </row>
    <row r="7" spans="1:44" s="11" customFormat="1" ht="18.75" x14ac:dyDescent="0.2">
      <c r="A7" s="303" t="s">
        <v>9</v>
      </c>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c r="AK7" s="303"/>
      <c r="AL7" s="303"/>
      <c r="AM7" s="303"/>
      <c r="AN7" s="303"/>
      <c r="AO7" s="303"/>
      <c r="AP7" s="303"/>
      <c r="AQ7" s="303"/>
      <c r="AR7" s="303"/>
    </row>
    <row r="8" spans="1:44" s="11" customFormat="1" ht="18.75" x14ac:dyDescent="0.2">
      <c r="A8" s="220"/>
      <c r="B8" s="220"/>
      <c r="C8" s="220"/>
      <c r="D8" s="220"/>
      <c r="E8" s="220"/>
      <c r="F8" s="220"/>
      <c r="G8" s="220"/>
      <c r="H8" s="220"/>
      <c r="I8" s="220"/>
      <c r="J8" s="220"/>
      <c r="K8" s="220"/>
      <c r="L8" s="144"/>
      <c r="M8" s="144"/>
      <c r="N8" s="144"/>
      <c r="O8" s="144"/>
      <c r="P8" s="144"/>
      <c r="Q8" s="144"/>
      <c r="R8" s="144"/>
      <c r="S8" s="144"/>
      <c r="T8" s="144"/>
      <c r="U8" s="144"/>
      <c r="V8" s="144"/>
      <c r="W8" s="144"/>
      <c r="X8" s="144"/>
      <c r="Y8" s="144"/>
    </row>
    <row r="9" spans="1:44" s="11" customFormat="1" ht="18.75" customHeight="1" x14ac:dyDescent="0.2">
      <c r="A9" s="306" t="str">
        <f>'1. паспорт местоположение'!A9:C9</f>
        <v>АО "Янтарьэнерго"</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6"/>
      <c r="AR9" s="306"/>
    </row>
    <row r="10" spans="1:44" s="11" customFormat="1" ht="18.75" customHeight="1" x14ac:dyDescent="0.2">
      <c r="A10" s="300" t="s">
        <v>8</v>
      </c>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300"/>
      <c r="AB10" s="300"/>
      <c r="AC10" s="300"/>
      <c r="AD10" s="300"/>
      <c r="AE10" s="300"/>
      <c r="AF10" s="300"/>
      <c r="AG10" s="300"/>
      <c r="AH10" s="300"/>
      <c r="AI10" s="300"/>
      <c r="AJ10" s="300"/>
      <c r="AK10" s="300"/>
      <c r="AL10" s="300"/>
      <c r="AM10" s="300"/>
      <c r="AN10" s="300"/>
      <c r="AO10" s="300"/>
      <c r="AP10" s="300"/>
      <c r="AQ10" s="300"/>
      <c r="AR10" s="300"/>
    </row>
    <row r="11" spans="1:44" s="11" customFormat="1" ht="18.75" x14ac:dyDescent="0.2">
      <c r="A11" s="220"/>
      <c r="B11" s="220"/>
      <c r="C11" s="220"/>
      <c r="D11" s="220"/>
      <c r="E11" s="220"/>
      <c r="F11" s="220"/>
      <c r="G11" s="220"/>
      <c r="H11" s="220"/>
      <c r="I11" s="220"/>
      <c r="J11" s="220"/>
      <c r="K11" s="220"/>
      <c r="L11" s="144"/>
      <c r="M11" s="144"/>
      <c r="N11" s="144"/>
      <c r="O11" s="144"/>
      <c r="P11" s="144"/>
      <c r="Q11" s="144"/>
      <c r="R11" s="144"/>
      <c r="S11" s="144"/>
      <c r="T11" s="144"/>
      <c r="U11" s="144"/>
      <c r="V11" s="144"/>
      <c r="W11" s="144"/>
      <c r="X11" s="144"/>
      <c r="Y11" s="144"/>
    </row>
    <row r="12" spans="1:44" s="11" customFormat="1" ht="18.75" customHeight="1" x14ac:dyDescent="0.2">
      <c r="A12" s="306" t="str">
        <f>'1. паспорт местоположение'!A12:C12</f>
        <v>E_prj_111001_2501</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6"/>
      <c r="AR12" s="306"/>
    </row>
    <row r="13" spans="1:44" s="11" customFormat="1" ht="18.75" customHeight="1" x14ac:dyDescent="0.2">
      <c r="A13" s="300" t="s">
        <v>7</v>
      </c>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c r="AI13" s="300"/>
      <c r="AJ13" s="300"/>
      <c r="AK13" s="300"/>
      <c r="AL13" s="300"/>
      <c r="AM13" s="300"/>
      <c r="AN13" s="300"/>
      <c r="AO13" s="300"/>
      <c r="AP13" s="300"/>
      <c r="AQ13" s="300"/>
      <c r="AR13" s="300"/>
    </row>
    <row r="14" spans="1:44" s="8" customFormat="1" ht="15.75"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row>
    <row r="15" spans="1:44" s="3" customFormat="1" ht="71.25" customHeight="1" x14ac:dyDescent="0.2">
      <c r="A15" s="341" t="str">
        <f>'1. паспорт местоположение'!A15:C15</f>
        <v>Строительство ПС 110 кВ "Храброво" с заходами, г. Калининград</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c r="AP15" s="341"/>
      <c r="AQ15" s="341"/>
      <c r="AR15" s="341"/>
    </row>
    <row r="16" spans="1:44" s="3" customFormat="1" ht="15" customHeight="1" x14ac:dyDescent="0.2">
      <c r="A16" s="300" t="s">
        <v>6</v>
      </c>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c r="AP16" s="300"/>
      <c r="AQ16" s="300"/>
      <c r="AR16" s="300"/>
    </row>
    <row r="17" spans="1:48" s="3" customFormat="1" ht="15" customHeight="1"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row>
    <row r="18" spans="1:48" s="3" customFormat="1" ht="15" customHeight="1" x14ac:dyDescent="0.2">
      <c r="A18" s="302" t="s">
        <v>446</v>
      </c>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row>
    <row r="19" spans="1:48" x14ac:dyDescent="0.2">
      <c r="D19" s="168" t="s">
        <v>492</v>
      </c>
      <c r="Q19" s="209"/>
      <c r="AD19" s="162"/>
      <c r="AE19" s="162"/>
      <c r="AF19" s="162"/>
      <c r="AG19" s="162"/>
      <c r="AH19" s="162"/>
      <c r="AI19" s="162"/>
      <c r="AJ19" s="162"/>
      <c r="AT19" s="163"/>
      <c r="AU19" s="163"/>
      <c r="AV19" s="163"/>
    </row>
    <row r="20" spans="1:48" ht="16.5" thickBot="1" x14ac:dyDescent="0.25">
      <c r="A20" s="158" t="s">
        <v>321</v>
      </c>
      <c r="B20" s="158" t="s">
        <v>1</v>
      </c>
      <c r="D20" s="160"/>
      <c r="E20" s="161"/>
      <c r="F20" s="161"/>
      <c r="G20" s="161"/>
      <c r="H20" s="161"/>
    </row>
    <row r="21" spans="1:48" x14ac:dyDescent="0.2">
      <c r="A21" s="164" t="s">
        <v>487</v>
      </c>
      <c r="B21" s="165">
        <v>375965279.66101694</v>
      </c>
    </row>
    <row r="22" spans="1:48" x14ac:dyDescent="0.2">
      <c r="A22" s="166" t="s">
        <v>319</v>
      </c>
      <c r="B22" s="167">
        <v>0</v>
      </c>
    </row>
    <row r="23" spans="1:48" x14ac:dyDescent="0.2">
      <c r="A23" s="166" t="s">
        <v>317</v>
      </c>
      <c r="B23" s="167">
        <v>25</v>
      </c>
      <c r="D23" s="168" t="s">
        <v>320</v>
      </c>
    </row>
    <row r="24" spans="1:48" ht="16.5" thickBot="1" x14ac:dyDescent="0.25">
      <c r="A24" s="169" t="s">
        <v>315</v>
      </c>
      <c r="B24" s="170">
        <v>1</v>
      </c>
      <c r="D24" s="354" t="s">
        <v>318</v>
      </c>
      <c r="E24" s="354"/>
      <c r="F24" s="171"/>
      <c r="G24" s="172">
        <f>SUM(B86:AE86)</f>
        <v>9.1175560595270682</v>
      </c>
    </row>
    <row r="25" spans="1:48" x14ac:dyDescent="0.2">
      <c r="A25" s="164" t="s">
        <v>314</v>
      </c>
      <c r="B25" s="165">
        <v>600000</v>
      </c>
      <c r="D25" s="354" t="s">
        <v>316</v>
      </c>
      <c r="E25" s="354"/>
      <c r="F25" s="171"/>
      <c r="G25" s="172">
        <f>IF(SUM(B87:AE87)=0,"не окупается",SUM(B87:AE87))</f>
        <v>21.290170933124045</v>
      </c>
    </row>
    <row r="26" spans="1:48" x14ac:dyDescent="0.2">
      <c r="A26" s="166" t="s">
        <v>488</v>
      </c>
      <c r="B26" s="167">
        <v>3</v>
      </c>
      <c r="D26" s="354" t="s">
        <v>489</v>
      </c>
      <c r="E26" s="354"/>
      <c r="F26" s="171"/>
      <c r="G26" s="173">
        <f>AE84</f>
        <v>4649849.0198816508</v>
      </c>
    </row>
    <row r="27" spans="1:48" x14ac:dyDescent="0.2">
      <c r="A27" s="166" t="s">
        <v>313</v>
      </c>
      <c r="B27" s="167">
        <v>3</v>
      </c>
      <c r="D27" s="354" t="s">
        <v>490</v>
      </c>
      <c r="E27" s="354"/>
      <c r="F27" s="171"/>
      <c r="G27" s="223" t="str">
        <f>IF(G26&gt;0,"да","нет")</f>
        <v>да</v>
      </c>
    </row>
    <row r="28" spans="1:48" x14ac:dyDescent="0.2">
      <c r="A28" s="166" t="s">
        <v>292</v>
      </c>
      <c r="B28" s="167">
        <v>200000</v>
      </c>
    </row>
    <row r="29" spans="1:48" x14ac:dyDescent="0.2">
      <c r="A29" s="166" t="s">
        <v>312</v>
      </c>
      <c r="B29" s="167">
        <v>1</v>
      </c>
    </row>
    <row r="30" spans="1:48" x14ac:dyDescent="0.2">
      <c r="A30" s="166" t="s">
        <v>311</v>
      </c>
      <c r="B30" s="167">
        <v>1</v>
      </c>
    </row>
    <row r="31" spans="1:48" x14ac:dyDescent="0.2">
      <c r="A31" s="174" t="s">
        <v>491</v>
      </c>
      <c r="B31" s="230">
        <v>2000000</v>
      </c>
    </row>
    <row r="32" spans="1:48" ht="16.5" thickBot="1" x14ac:dyDescent="0.25">
      <c r="A32" s="169" t="s">
        <v>286</v>
      </c>
      <c r="B32" s="175">
        <v>0.2</v>
      </c>
    </row>
    <row r="33" spans="1:31" x14ac:dyDescent="0.2">
      <c r="A33" s="164" t="s">
        <v>492</v>
      </c>
      <c r="B33" s="165">
        <v>0</v>
      </c>
    </row>
    <row r="34" spans="1:31" x14ac:dyDescent="0.2">
      <c r="A34" s="166" t="s">
        <v>310</v>
      </c>
      <c r="B34" s="167"/>
    </row>
    <row r="35" spans="1:31" ht="16.5" thickBot="1" x14ac:dyDescent="0.25">
      <c r="A35" s="174" t="s">
        <v>309</v>
      </c>
      <c r="B35" s="176">
        <v>0.09</v>
      </c>
    </row>
    <row r="36" spans="1:31" x14ac:dyDescent="0.2">
      <c r="A36" s="177" t="s">
        <v>493</v>
      </c>
      <c r="B36" s="178">
        <v>1</v>
      </c>
    </row>
    <row r="37" spans="1:31" x14ac:dyDescent="0.2">
      <c r="A37" s="179" t="s">
        <v>308</v>
      </c>
      <c r="B37" s="180">
        <v>0.1</v>
      </c>
    </row>
    <row r="38" spans="1:31" x14ac:dyDescent="0.2">
      <c r="A38" s="179" t="s">
        <v>307</v>
      </c>
      <c r="B38" s="181">
        <v>0.1</v>
      </c>
    </row>
    <row r="39" spans="1:31" x14ac:dyDescent="0.2">
      <c r="A39" s="179" t="s">
        <v>306</v>
      </c>
      <c r="B39" s="181">
        <v>0</v>
      </c>
    </row>
    <row r="40" spans="1:31" x14ac:dyDescent="0.2">
      <c r="A40" s="179" t="s">
        <v>305</v>
      </c>
      <c r="B40" s="181">
        <v>0.20499999999999999</v>
      </c>
    </row>
    <row r="41" spans="1:31" x14ac:dyDescent="0.2">
      <c r="A41" s="179" t="s">
        <v>304</v>
      </c>
      <c r="B41" s="181">
        <f>1-B39</f>
        <v>1</v>
      </c>
    </row>
    <row r="42" spans="1:31" ht="16.5" thickBot="1" x14ac:dyDescent="0.25">
      <c r="A42" s="182" t="s">
        <v>494</v>
      </c>
      <c r="B42" s="183">
        <f>B41*B40+B39*B38*(1-B32)</f>
        <v>0.20499999999999999</v>
      </c>
    </row>
    <row r="43" spans="1:31" x14ac:dyDescent="0.2">
      <c r="A43" s="184" t="s">
        <v>303</v>
      </c>
      <c r="B43" s="185">
        <f>B54</f>
        <v>1</v>
      </c>
      <c r="C43" s="185">
        <f t="shared" ref="C43:AE43" si="0">C54</f>
        <v>2</v>
      </c>
      <c r="D43" s="185">
        <f t="shared" si="0"/>
        <v>3</v>
      </c>
      <c r="E43" s="185">
        <f t="shared" si="0"/>
        <v>4</v>
      </c>
      <c r="F43" s="185">
        <f t="shared" si="0"/>
        <v>5</v>
      </c>
      <c r="G43" s="185">
        <f t="shared" si="0"/>
        <v>6</v>
      </c>
      <c r="H43" s="185">
        <f t="shared" si="0"/>
        <v>7</v>
      </c>
      <c r="I43" s="185">
        <f t="shared" si="0"/>
        <v>8</v>
      </c>
      <c r="J43" s="185">
        <f t="shared" si="0"/>
        <v>9</v>
      </c>
      <c r="K43" s="185">
        <f t="shared" si="0"/>
        <v>10</v>
      </c>
      <c r="L43" s="185">
        <f t="shared" si="0"/>
        <v>11</v>
      </c>
      <c r="M43" s="185">
        <f t="shared" si="0"/>
        <v>12</v>
      </c>
      <c r="N43" s="185">
        <f t="shared" si="0"/>
        <v>13</v>
      </c>
      <c r="O43" s="185">
        <f t="shared" si="0"/>
        <v>14</v>
      </c>
      <c r="P43" s="185">
        <f t="shared" si="0"/>
        <v>15</v>
      </c>
      <c r="Q43" s="185">
        <f t="shared" si="0"/>
        <v>16</v>
      </c>
      <c r="R43" s="185">
        <f t="shared" si="0"/>
        <v>17</v>
      </c>
      <c r="S43" s="185">
        <f t="shared" si="0"/>
        <v>18</v>
      </c>
      <c r="T43" s="185">
        <f t="shared" si="0"/>
        <v>19</v>
      </c>
      <c r="U43" s="185">
        <f t="shared" si="0"/>
        <v>20</v>
      </c>
      <c r="V43" s="185">
        <f t="shared" si="0"/>
        <v>21</v>
      </c>
      <c r="W43" s="185">
        <f t="shared" si="0"/>
        <v>22</v>
      </c>
      <c r="X43" s="185">
        <f t="shared" si="0"/>
        <v>23</v>
      </c>
      <c r="Y43" s="185">
        <f t="shared" si="0"/>
        <v>24</v>
      </c>
      <c r="Z43" s="185">
        <f t="shared" si="0"/>
        <v>25</v>
      </c>
      <c r="AA43" s="185">
        <f t="shared" si="0"/>
        <v>26</v>
      </c>
      <c r="AB43" s="185">
        <f t="shared" si="0"/>
        <v>27</v>
      </c>
      <c r="AC43" s="185">
        <f t="shared" si="0"/>
        <v>28</v>
      </c>
      <c r="AD43" s="185">
        <f t="shared" si="0"/>
        <v>29</v>
      </c>
      <c r="AE43" s="185">
        <f t="shared" si="0"/>
        <v>30</v>
      </c>
    </row>
    <row r="44" spans="1:31" x14ac:dyDescent="0.2">
      <c r="A44" s="186" t="s">
        <v>302</v>
      </c>
      <c r="B44" s="187">
        <v>6.8000000000000005E-2</v>
      </c>
      <c r="C44" s="187">
        <v>7.3999999999999996E-2</v>
      </c>
      <c r="D44" s="187">
        <v>6.7000000000000004E-2</v>
      </c>
      <c r="E44" s="187">
        <v>4.3999999999999997E-2</v>
      </c>
      <c r="F44" s="187">
        <v>4.2999999999999997E-2</v>
      </c>
      <c r="G44" s="187">
        <v>4.1000000000000002E-2</v>
      </c>
      <c r="H44" s="187">
        <v>3.5999999999999997E-2</v>
      </c>
      <c r="I44" s="187">
        <v>3.2000000000000001E-2</v>
      </c>
      <c r="J44" s="187">
        <v>2.8000000000000001E-2</v>
      </c>
      <c r="K44" s="187">
        <v>2.7E-2</v>
      </c>
      <c r="L44" s="187">
        <v>2.7E-2</v>
      </c>
      <c r="M44" s="187">
        <v>2.5000000000000001E-2</v>
      </c>
      <c r="N44" s="187">
        <v>2.3E-2</v>
      </c>
      <c r="O44" s="187">
        <v>2.1999999999999999E-2</v>
      </c>
      <c r="P44" s="187">
        <v>0.02</v>
      </c>
      <c r="Q44" s="187">
        <v>0.02</v>
      </c>
      <c r="R44" s="187">
        <v>0.02</v>
      </c>
      <c r="S44" s="187">
        <v>0.02</v>
      </c>
      <c r="T44" s="187">
        <v>0.02</v>
      </c>
      <c r="U44" s="187">
        <v>0.02</v>
      </c>
      <c r="V44" s="187">
        <v>0.02</v>
      </c>
      <c r="W44" s="187">
        <v>0.02</v>
      </c>
      <c r="X44" s="187">
        <v>0.02</v>
      </c>
      <c r="Y44" s="187">
        <v>0.02</v>
      </c>
      <c r="Z44" s="187">
        <v>0.02</v>
      </c>
      <c r="AA44" s="187">
        <v>0.02</v>
      </c>
      <c r="AB44" s="187">
        <f>AA44</f>
        <v>0.02</v>
      </c>
      <c r="AC44" s="187">
        <f>AB44</f>
        <v>0.02</v>
      </c>
      <c r="AD44" s="187">
        <f>AC44</f>
        <v>0.02</v>
      </c>
      <c r="AE44" s="187">
        <f>AD44</f>
        <v>0.02</v>
      </c>
    </row>
    <row r="45" spans="1:31" x14ac:dyDescent="0.2">
      <c r="A45" s="186" t="s">
        <v>301</v>
      </c>
      <c r="B45" s="187"/>
      <c r="C45" s="187"/>
      <c r="D45" s="187">
        <f t="shared" ref="D45:AB45" si="1">(1+C45)*(1+D44)-1</f>
        <v>6.6999999999999948E-2</v>
      </c>
      <c r="E45" s="187">
        <f t="shared" si="1"/>
        <v>0.11394799999999994</v>
      </c>
      <c r="F45" s="187">
        <f>(1+E45)*(1+F44)-1</f>
        <v>0.16184776399999978</v>
      </c>
      <c r="G45" s="187">
        <f t="shared" si="1"/>
        <v>0.20948352232399969</v>
      </c>
      <c r="H45" s="187">
        <f t="shared" si="1"/>
        <v>0.25302492912766361</v>
      </c>
      <c r="I45" s="187">
        <f t="shared" si="1"/>
        <v>0.2931217268597488</v>
      </c>
      <c r="J45" s="187">
        <f t="shared" si="1"/>
        <v>0.32932913521182172</v>
      </c>
      <c r="K45" s="187">
        <f t="shared" si="1"/>
        <v>0.36522102186254068</v>
      </c>
      <c r="L45" s="187">
        <f t="shared" si="1"/>
        <v>0.40208198945282914</v>
      </c>
      <c r="M45" s="187">
        <f t="shared" si="1"/>
        <v>0.43713403918914984</v>
      </c>
      <c r="N45" s="187">
        <f t="shared" si="1"/>
        <v>0.4701881220905002</v>
      </c>
      <c r="O45" s="187">
        <f t="shared" si="1"/>
        <v>0.50253226077649127</v>
      </c>
      <c r="P45" s="187">
        <f t="shared" si="1"/>
        <v>0.53258290599202107</v>
      </c>
      <c r="Q45" s="187">
        <f t="shared" si="1"/>
        <v>0.56323456411186146</v>
      </c>
      <c r="R45" s="187">
        <f t="shared" si="1"/>
        <v>0.59449925539409865</v>
      </c>
      <c r="S45" s="187">
        <f t="shared" si="1"/>
        <v>0.62638924050198064</v>
      </c>
      <c r="T45" s="187">
        <f t="shared" si="1"/>
        <v>0.65891702531202023</v>
      </c>
      <c r="U45" s="187">
        <f t="shared" si="1"/>
        <v>0.6920953658182607</v>
      </c>
      <c r="V45" s="187">
        <f t="shared" si="1"/>
        <v>0.72593727313462586</v>
      </c>
      <c r="W45" s="187">
        <f t="shared" si="1"/>
        <v>0.76045601859731837</v>
      </c>
      <c r="X45" s="187">
        <f t="shared" si="1"/>
        <v>0.79566513896926483</v>
      </c>
      <c r="Y45" s="187">
        <f t="shared" si="1"/>
        <v>0.83157844174865025</v>
      </c>
      <c r="Z45" s="187">
        <f t="shared" si="1"/>
        <v>0.86821001058362324</v>
      </c>
      <c r="AA45" s="187">
        <f t="shared" si="1"/>
        <v>0.90557421079529576</v>
      </c>
      <c r="AB45" s="187">
        <f t="shared" si="1"/>
        <v>0.94368569501120181</v>
      </c>
      <c r="AC45" s="187">
        <f>(1+AB45)*(1+AC44)-1</f>
        <v>0.98255940891142579</v>
      </c>
      <c r="AD45" s="187">
        <f>(1+AC45)*(1+AD44)-1</f>
        <v>1.0222105970896544</v>
      </c>
      <c r="AE45" s="187">
        <f>(1+AD45)*(1+AE44)-1</f>
        <v>1.0626548090314474</v>
      </c>
    </row>
    <row r="46" spans="1:31" ht="16.5" thickBot="1" x14ac:dyDescent="0.25">
      <c r="A46" s="188" t="s">
        <v>495</v>
      </c>
      <c r="B46" s="189"/>
      <c r="C46" s="189">
        <v>-0.05</v>
      </c>
      <c r="D46" s="189">
        <v>0</v>
      </c>
      <c r="E46" s="189">
        <v>268969999.94999999</v>
      </c>
      <c r="F46" s="189">
        <v>35029999.950000003</v>
      </c>
      <c r="G46" s="189">
        <v>19185127.387826398</v>
      </c>
      <c r="H46" s="189">
        <v>23044289.550839167</v>
      </c>
      <c r="I46" s="189">
        <v>27057068.504625287</v>
      </c>
      <c r="J46" s="189">
        <v>31207941.131687809</v>
      </c>
      <c r="K46" s="189">
        <v>32250614.870129667</v>
      </c>
      <c r="L46" s="189">
        <v>33294791.845820144</v>
      </c>
      <c r="M46" s="189">
        <v>34371843.679957591</v>
      </c>
      <c r="N46" s="189">
        <v>35413684.537614331</v>
      </c>
      <c r="O46" s="189">
        <v>36414942.577247404</v>
      </c>
      <c r="P46" s="189">
        <v>37273326.808275998</v>
      </c>
      <c r="Q46" s="189">
        <v>38018793.344441511</v>
      </c>
      <c r="R46" s="189">
        <v>38779169.211330347</v>
      </c>
      <c r="S46" s="189">
        <v>39554752.595556952</v>
      </c>
      <c r="T46" s="190">
        <v>40345847.64746809</v>
      </c>
      <c r="U46" s="189">
        <v>41152764.60041745</v>
      </c>
      <c r="V46" s="189">
        <v>41975819.892425798</v>
      </c>
      <c r="W46" s="189">
        <v>42815336.290274315</v>
      </c>
      <c r="X46" s="189">
        <v>43671643.016079798</v>
      </c>
      <c r="Y46" s="189">
        <v>44545075.876401395</v>
      </c>
      <c r="Z46" s="189">
        <v>45435977.393929422</v>
      </c>
      <c r="AA46" s="189">
        <v>46344696.941808008</v>
      </c>
      <c r="AB46" s="189">
        <v>47271590.880644165</v>
      </c>
      <c r="AC46" s="189">
        <v>48217022.698257051</v>
      </c>
      <c r="AD46" s="189">
        <v>49181363.152222194</v>
      </c>
      <c r="AE46" s="189">
        <v>50164990.41526664</v>
      </c>
    </row>
    <row r="47" spans="1:31" ht="16.5" thickBot="1" x14ac:dyDescent="0.25"/>
    <row r="48" spans="1:31" x14ac:dyDescent="0.2">
      <c r="A48" s="191" t="s">
        <v>300</v>
      </c>
      <c r="B48" s="185">
        <f>B54</f>
        <v>1</v>
      </c>
      <c r="C48" s="185">
        <f t="shared" ref="C48:AE48" si="2">C54</f>
        <v>2</v>
      </c>
      <c r="D48" s="185">
        <f t="shared" si="2"/>
        <v>3</v>
      </c>
      <c r="E48" s="185">
        <f t="shared" si="2"/>
        <v>4</v>
      </c>
      <c r="F48" s="185">
        <f t="shared" si="2"/>
        <v>5</v>
      </c>
      <c r="G48" s="185">
        <f t="shared" si="2"/>
        <v>6</v>
      </c>
      <c r="H48" s="185">
        <f t="shared" si="2"/>
        <v>7</v>
      </c>
      <c r="I48" s="185">
        <f t="shared" si="2"/>
        <v>8</v>
      </c>
      <c r="J48" s="185">
        <f t="shared" si="2"/>
        <v>9</v>
      </c>
      <c r="K48" s="185">
        <f t="shared" si="2"/>
        <v>10</v>
      </c>
      <c r="L48" s="185">
        <f t="shared" si="2"/>
        <v>11</v>
      </c>
      <c r="M48" s="185">
        <f t="shared" si="2"/>
        <v>12</v>
      </c>
      <c r="N48" s="185">
        <f t="shared" si="2"/>
        <v>13</v>
      </c>
      <c r="O48" s="185">
        <f t="shared" si="2"/>
        <v>14</v>
      </c>
      <c r="P48" s="185">
        <f t="shared" si="2"/>
        <v>15</v>
      </c>
      <c r="Q48" s="185">
        <f t="shared" si="2"/>
        <v>16</v>
      </c>
      <c r="R48" s="185">
        <f t="shared" si="2"/>
        <v>17</v>
      </c>
      <c r="S48" s="185">
        <f t="shared" si="2"/>
        <v>18</v>
      </c>
      <c r="T48" s="185">
        <f t="shared" si="2"/>
        <v>19</v>
      </c>
      <c r="U48" s="185">
        <f t="shared" si="2"/>
        <v>20</v>
      </c>
      <c r="V48" s="185">
        <f t="shared" si="2"/>
        <v>21</v>
      </c>
      <c r="W48" s="185">
        <f t="shared" si="2"/>
        <v>22</v>
      </c>
      <c r="X48" s="185">
        <f t="shared" si="2"/>
        <v>23</v>
      </c>
      <c r="Y48" s="185">
        <f t="shared" si="2"/>
        <v>24</v>
      </c>
      <c r="Z48" s="185">
        <f t="shared" si="2"/>
        <v>25</v>
      </c>
      <c r="AA48" s="185">
        <f t="shared" si="2"/>
        <v>26</v>
      </c>
      <c r="AB48" s="185">
        <f t="shared" si="2"/>
        <v>27</v>
      </c>
      <c r="AC48" s="185">
        <f t="shared" si="2"/>
        <v>28</v>
      </c>
      <c r="AD48" s="185">
        <f t="shared" si="2"/>
        <v>29</v>
      </c>
      <c r="AE48" s="185">
        <f t="shared" si="2"/>
        <v>30</v>
      </c>
    </row>
    <row r="49" spans="1:33" x14ac:dyDescent="0.2">
      <c r="A49" s="186" t="s">
        <v>299</v>
      </c>
      <c r="B49" s="192">
        <v>0</v>
      </c>
      <c r="C49" s="192">
        <f t="shared" ref="C49:AB49" si="3">B49+B50-B51</f>
        <v>0</v>
      </c>
      <c r="D49" s="192">
        <f t="shared" si="3"/>
        <v>0</v>
      </c>
      <c r="E49" s="192">
        <f t="shared" si="3"/>
        <v>0</v>
      </c>
      <c r="F49" s="192">
        <f t="shared" si="3"/>
        <v>0</v>
      </c>
      <c r="G49" s="192">
        <f t="shared" si="3"/>
        <v>0</v>
      </c>
      <c r="H49" s="192">
        <f t="shared" si="3"/>
        <v>0</v>
      </c>
      <c r="I49" s="192">
        <f t="shared" si="3"/>
        <v>0</v>
      </c>
      <c r="J49" s="192">
        <f t="shared" si="3"/>
        <v>0</v>
      </c>
      <c r="K49" s="192">
        <f t="shared" si="3"/>
        <v>0</v>
      </c>
      <c r="L49" s="192">
        <f t="shared" si="3"/>
        <v>0</v>
      </c>
      <c r="M49" s="192">
        <f t="shared" si="3"/>
        <v>0</v>
      </c>
      <c r="N49" s="192">
        <f t="shared" si="3"/>
        <v>0</v>
      </c>
      <c r="O49" s="192">
        <f t="shared" si="3"/>
        <v>0</v>
      </c>
      <c r="P49" s="192">
        <f t="shared" si="3"/>
        <v>0</v>
      </c>
      <c r="Q49" s="192">
        <f t="shared" si="3"/>
        <v>0</v>
      </c>
      <c r="R49" s="192">
        <f t="shared" si="3"/>
        <v>0</v>
      </c>
      <c r="S49" s="192">
        <f t="shared" si="3"/>
        <v>0</v>
      </c>
      <c r="T49" s="192">
        <f t="shared" si="3"/>
        <v>0</v>
      </c>
      <c r="U49" s="192">
        <f t="shared" si="3"/>
        <v>0</v>
      </c>
      <c r="V49" s="192">
        <f t="shared" si="3"/>
        <v>0</v>
      </c>
      <c r="W49" s="192">
        <f t="shared" si="3"/>
        <v>0</v>
      </c>
      <c r="X49" s="192">
        <f t="shared" si="3"/>
        <v>0</v>
      </c>
      <c r="Y49" s="192">
        <f t="shared" si="3"/>
        <v>0</v>
      </c>
      <c r="Z49" s="192">
        <f t="shared" si="3"/>
        <v>0</v>
      </c>
      <c r="AA49" s="192">
        <f t="shared" si="3"/>
        <v>0</v>
      </c>
      <c r="AB49" s="192">
        <f t="shared" si="3"/>
        <v>0</v>
      </c>
      <c r="AC49" s="192">
        <f>AB49+AB50-AB51</f>
        <v>0</v>
      </c>
      <c r="AD49" s="192">
        <f>AC49+AC50-AC51</f>
        <v>0</v>
      </c>
      <c r="AE49" s="192">
        <f>AD49+AD50-AD51</f>
        <v>0</v>
      </c>
    </row>
    <row r="50" spans="1:33" x14ac:dyDescent="0.2">
      <c r="A50" s="186" t="s">
        <v>298</v>
      </c>
      <c r="B50" s="192">
        <f>B21*B24*B39*1.18</f>
        <v>0</v>
      </c>
      <c r="C50" s="192">
        <v>0</v>
      </c>
      <c r="D50" s="192">
        <v>0</v>
      </c>
      <c r="E50" s="192">
        <v>0</v>
      </c>
      <c r="F50" s="192">
        <v>0</v>
      </c>
      <c r="G50" s="192">
        <v>0</v>
      </c>
      <c r="H50" s="192">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192">
        <v>0</v>
      </c>
      <c r="AC50" s="192">
        <v>0</v>
      </c>
      <c r="AD50" s="192">
        <v>0</v>
      </c>
      <c r="AE50" s="192">
        <v>0</v>
      </c>
    </row>
    <row r="51" spans="1:33" x14ac:dyDescent="0.2">
      <c r="A51" s="186" t="s">
        <v>297</v>
      </c>
      <c r="B51" s="192">
        <f>$B$50/$B$36</f>
        <v>0</v>
      </c>
      <c r="C51" s="192">
        <f t="shared" ref="C51:AB51" si="4">IF(ROUND(C49,1)=0,0,B51+C50/$B$36)</f>
        <v>0</v>
      </c>
      <c r="D51" s="192">
        <f t="shared" si="4"/>
        <v>0</v>
      </c>
      <c r="E51" s="192">
        <f t="shared" si="4"/>
        <v>0</v>
      </c>
      <c r="F51" s="192">
        <f t="shared" si="4"/>
        <v>0</v>
      </c>
      <c r="G51" s="192">
        <f t="shared" si="4"/>
        <v>0</v>
      </c>
      <c r="H51" s="192">
        <f t="shared" si="4"/>
        <v>0</v>
      </c>
      <c r="I51" s="192">
        <f t="shared" si="4"/>
        <v>0</v>
      </c>
      <c r="J51" s="192">
        <f t="shared" si="4"/>
        <v>0</v>
      </c>
      <c r="K51" s="192">
        <f t="shared" si="4"/>
        <v>0</v>
      </c>
      <c r="L51" s="192">
        <f t="shared" si="4"/>
        <v>0</v>
      </c>
      <c r="M51" s="192">
        <f t="shared" si="4"/>
        <v>0</v>
      </c>
      <c r="N51" s="192">
        <f t="shared" si="4"/>
        <v>0</v>
      </c>
      <c r="O51" s="192">
        <f t="shared" si="4"/>
        <v>0</v>
      </c>
      <c r="P51" s="192">
        <f t="shared" si="4"/>
        <v>0</v>
      </c>
      <c r="Q51" s="192">
        <f t="shared" si="4"/>
        <v>0</v>
      </c>
      <c r="R51" s="192">
        <f t="shared" si="4"/>
        <v>0</v>
      </c>
      <c r="S51" s="192">
        <f t="shared" si="4"/>
        <v>0</v>
      </c>
      <c r="T51" s="192">
        <f t="shared" si="4"/>
        <v>0</v>
      </c>
      <c r="U51" s="192">
        <f t="shared" si="4"/>
        <v>0</v>
      </c>
      <c r="V51" s="192">
        <f t="shared" si="4"/>
        <v>0</v>
      </c>
      <c r="W51" s="192">
        <f t="shared" si="4"/>
        <v>0</v>
      </c>
      <c r="X51" s="192">
        <f t="shared" si="4"/>
        <v>0</v>
      </c>
      <c r="Y51" s="192">
        <f t="shared" si="4"/>
        <v>0</v>
      </c>
      <c r="Z51" s="192">
        <f t="shared" si="4"/>
        <v>0</v>
      </c>
      <c r="AA51" s="192">
        <f t="shared" si="4"/>
        <v>0</v>
      </c>
      <c r="AB51" s="192">
        <f t="shared" si="4"/>
        <v>0</v>
      </c>
      <c r="AC51" s="192">
        <f>IF(ROUND(AC49,1)=0,0,AB51+AC50/$B$36)</f>
        <v>0</v>
      </c>
      <c r="AD51" s="192">
        <f>IF(ROUND(AD49,1)=0,0,AC51+AD50/$B$36)</f>
        <v>0</v>
      </c>
      <c r="AE51" s="192">
        <f>IF(ROUND(AE49,1)=0,0,AD51+AE50/$B$36)</f>
        <v>0</v>
      </c>
    </row>
    <row r="52" spans="1:33" ht="16.5" thickBot="1" x14ac:dyDescent="0.25">
      <c r="A52" s="188" t="s">
        <v>296</v>
      </c>
      <c r="B52" s="189">
        <f t="shared" ref="B52:AB52" si="5">AVERAGE(SUM(B49:B50),(SUM(B49:B50)-B51))*$B$38</f>
        <v>0</v>
      </c>
      <c r="C52" s="189">
        <f t="shared" si="5"/>
        <v>0</v>
      </c>
      <c r="D52" s="189">
        <f t="shared" si="5"/>
        <v>0</v>
      </c>
      <c r="E52" s="189">
        <f t="shared" si="5"/>
        <v>0</v>
      </c>
      <c r="F52" s="189">
        <f t="shared" si="5"/>
        <v>0</v>
      </c>
      <c r="G52" s="189">
        <f t="shared" si="5"/>
        <v>0</v>
      </c>
      <c r="H52" s="189">
        <f t="shared" si="5"/>
        <v>0</v>
      </c>
      <c r="I52" s="189">
        <f t="shared" si="5"/>
        <v>0</v>
      </c>
      <c r="J52" s="189">
        <f t="shared" si="5"/>
        <v>0</v>
      </c>
      <c r="K52" s="189">
        <f t="shared" si="5"/>
        <v>0</v>
      </c>
      <c r="L52" s="189">
        <f t="shared" si="5"/>
        <v>0</v>
      </c>
      <c r="M52" s="189">
        <f t="shared" si="5"/>
        <v>0</v>
      </c>
      <c r="N52" s="189">
        <f t="shared" si="5"/>
        <v>0</v>
      </c>
      <c r="O52" s="189">
        <f t="shared" si="5"/>
        <v>0</v>
      </c>
      <c r="P52" s="189">
        <f t="shared" si="5"/>
        <v>0</v>
      </c>
      <c r="Q52" s="189">
        <f t="shared" si="5"/>
        <v>0</v>
      </c>
      <c r="R52" s="189">
        <f t="shared" si="5"/>
        <v>0</v>
      </c>
      <c r="S52" s="189">
        <f t="shared" si="5"/>
        <v>0</v>
      </c>
      <c r="T52" s="189">
        <f t="shared" si="5"/>
        <v>0</v>
      </c>
      <c r="U52" s="189">
        <f t="shared" si="5"/>
        <v>0</v>
      </c>
      <c r="V52" s="189">
        <f t="shared" si="5"/>
        <v>0</v>
      </c>
      <c r="W52" s="189">
        <f t="shared" si="5"/>
        <v>0</v>
      </c>
      <c r="X52" s="189">
        <f t="shared" si="5"/>
        <v>0</v>
      </c>
      <c r="Y52" s="189">
        <f t="shared" si="5"/>
        <v>0</v>
      </c>
      <c r="Z52" s="189">
        <f t="shared" si="5"/>
        <v>0</v>
      </c>
      <c r="AA52" s="189">
        <f t="shared" si="5"/>
        <v>0</v>
      </c>
      <c r="AB52" s="189">
        <f t="shared" si="5"/>
        <v>0</v>
      </c>
      <c r="AC52" s="189">
        <f>AVERAGE(SUM(AC49:AC50),(SUM(AC49:AC50)-AC51))*$B$38</f>
        <v>0</v>
      </c>
      <c r="AD52" s="189">
        <f>AVERAGE(SUM(AD49:AD50),(SUM(AD49:AD50)-AD51))*$B$38</f>
        <v>0</v>
      </c>
      <c r="AE52" s="189">
        <f>AVERAGE(SUM(AE49:AE50),(SUM(AE49:AE50)-AE51))*$B$38</f>
        <v>0</v>
      </c>
    </row>
    <row r="53" spans="1:33" ht="16.5" thickBot="1" x14ac:dyDescent="0.25">
      <c r="A53" s="193"/>
      <c r="B53" s="194"/>
      <c r="C53" s="194"/>
      <c r="D53" s="225">
        <v>1</v>
      </c>
      <c r="E53" s="225">
        <f>D53+1</f>
        <v>2</v>
      </c>
      <c r="F53" s="225">
        <f>E53+1</f>
        <v>3</v>
      </c>
      <c r="G53" s="225">
        <f t="shared" ref="G53:AE53" si="6">F53+1</f>
        <v>4</v>
      </c>
      <c r="H53" s="225">
        <f t="shared" si="6"/>
        <v>5</v>
      </c>
      <c r="I53" s="225">
        <f t="shared" si="6"/>
        <v>6</v>
      </c>
      <c r="J53" s="225">
        <f t="shared" si="6"/>
        <v>7</v>
      </c>
      <c r="K53" s="225">
        <f t="shared" si="6"/>
        <v>8</v>
      </c>
      <c r="L53" s="225">
        <f t="shared" si="6"/>
        <v>9</v>
      </c>
      <c r="M53" s="225">
        <f t="shared" si="6"/>
        <v>10</v>
      </c>
      <c r="N53" s="225">
        <f t="shared" si="6"/>
        <v>11</v>
      </c>
      <c r="O53" s="225">
        <f t="shared" si="6"/>
        <v>12</v>
      </c>
      <c r="P53" s="225">
        <f t="shared" si="6"/>
        <v>13</v>
      </c>
      <c r="Q53" s="225">
        <f t="shared" si="6"/>
        <v>14</v>
      </c>
      <c r="R53" s="225">
        <f t="shared" si="6"/>
        <v>15</v>
      </c>
      <c r="S53" s="225">
        <f t="shared" si="6"/>
        <v>16</v>
      </c>
      <c r="T53" s="225">
        <f t="shared" si="6"/>
        <v>17</v>
      </c>
      <c r="U53" s="225">
        <f t="shared" si="6"/>
        <v>18</v>
      </c>
      <c r="V53" s="225">
        <f t="shared" si="6"/>
        <v>19</v>
      </c>
      <c r="W53" s="225">
        <f t="shared" si="6"/>
        <v>20</v>
      </c>
      <c r="X53" s="225">
        <f t="shared" si="6"/>
        <v>21</v>
      </c>
      <c r="Y53" s="225">
        <f t="shared" si="6"/>
        <v>22</v>
      </c>
      <c r="Z53" s="225">
        <f t="shared" si="6"/>
        <v>23</v>
      </c>
      <c r="AA53" s="225">
        <f t="shared" si="6"/>
        <v>24</v>
      </c>
      <c r="AB53" s="225">
        <f t="shared" si="6"/>
        <v>25</v>
      </c>
      <c r="AC53" s="225">
        <f t="shared" si="6"/>
        <v>26</v>
      </c>
      <c r="AD53" s="225">
        <f t="shared" si="6"/>
        <v>27</v>
      </c>
      <c r="AE53" s="225">
        <f t="shared" si="6"/>
        <v>28</v>
      </c>
    </row>
    <row r="54" spans="1:33" x14ac:dyDescent="0.2">
      <c r="A54" s="191" t="s">
        <v>496</v>
      </c>
      <c r="B54" s="185">
        <v>1</v>
      </c>
      <c r="C54" s="185">
        <f>B54+1</f>
        <v>2</v>
      </c>
      <c r="D54" s="185">
        <f>C54+1</f>
        <v>3</v>
      </c>
      <c r="E54" s="185">
        <f t="shared" ref="E54:AB54" si="7">D54+1</f>
        <v>4</v>
      </c>
      <c r="F54" s="185">
        <f t="shared" si="7"/>
        <v>5</v>
      </c>
      <c r="G54" s="185">
        <f t="shared" si="7"/>
        <v>6</v>
      </c>
      <c r="H54" s="185">
        <f t="shared" si="7"/>
        <v>7</v>
      </c>
      <c r="I54" s="185">
        <f t="shared" si="7"/>
        <v>8</v>
      </c>
      <c r="J54" s="185">
        <f t="shared" si="7"/>
        <v>9</v>
      </c>
      <c r="K54" s="185">
        <f t="shared" si="7"/>
        <v>10</v>
      </c>
      <c r="L54" s="185">
        <f t="shared" si="7"/>
        <v>11</v>
      </c>
      <c r="M54" s="185">
        <f t="shared" si="7"/>
        <v>12</v>
      </c>
      <c r="N54" s="185">
        <f t="shared" si="7"/>
        <v>13</v>
      </c>
      <c r="O54" s="185">
        <f t="shared" si="7"/>
        <v>14</v>
      </c>
      <c r="P54" s="185">
        <f t="shared" si="7"/>
        <v>15</v>
      </c>
      <c r="Q54" s="185">
        <f t="shared" si="7"/>
        <v>16</v>
      </c>
      <c r="R54" s="185">
        <f t="shared" si="7"/>
        <v>17</v>
      </c>
      <c r="S54" s="185">
        <f t="shared" si="7"/>
        <v>18</v>
      </c>
      <c r="T54" s="185">
        <f t="shared" si="7"/>
        <v>19</v>
      </c>
      <c r="U54" s="185">
        <f t="shared" si="7"/>
        <v>20</v>
      </c>
      <c r="V54" s="185">
        <f t="shared" si="7"/>
        <v>21</v>
      </c>
      <c r="W54" s="185">
        <f t="shared" si="7"/>
        <v>22</v>
      </c>
      <c r="X54" s="185">
        <f t="shared" si="7"/>
        <v>23</v>
      </c>
      <c r="Y54" s="185">
        <f t="shared" si="7"/>
        <v>24</v>
      </c>
      <c r="Z54" s="185">
        <f t="shared" si="7"/>
        <v>25</v>
      </c>
      <c r="AA54" s="185">
        <f t="shared" si="7"/>
        <v>26</v>
      </c>
      <c r="AB54" s="185">
        <f t="shared" si="7"/>
        <v>27</v>
      </c>
      <c r="AC54" s="185">
        <f>AB54+1</f>
        <v>28</v>
      </c>
      <c r="AD54" s="185">
        <f>AC54+1</f>
        <v>29</v>
      </c>
      <c r="AE54" s="185">
        <f>AD54+1</f>
        <v>30</v>
      </c>
    </row>
    <row r="55" spans="1:33" ht="14.25" x14ac:dyDescent="0.2">
      <c r="A55" s="195" t="s">
        <v>295</v>
      </c>
      <c r="B55" s="196">
        <f t="shared" ref="B55:AB55" si="8">B46*$B$24</f>
        <v>0</v>
      </c>
      <c r="C55" s="196">
        <f t="shared" si="8"/>
        <v>-0.05</v>
      </c>
      <c r="D55" s="196">
        <f>D46*$B$24</f>
        <v>0</v>
      </c>
      <c r="E55" s="196">
        <f t="shared" si="8"/>
        <v>268969999.94999999</v>
      </c>
      <c r="F55" s="196">
        <f t="shared" si="8"/>
        <v>35029999.950000003</v>
      </c>
      <c r="G55" s="196">
        <f t="shared" si="8"/>
        <v>19185127.387826398</v>
      </c>
      <c r="H55" s="196">
        <f t="shared" si="8"/>
        <v>23044289.550839167</v>
      </c>
      <c r="I55" s="196">
        <f t="shared" si="8"/>
        <v>27057068.504625287</v>
      </c>
      <c r="J55" s="196">
        <f t="shared" si="8"/>
        <v>31207941.131687809</v>
      </c>
      <c r="K55" s="196">
        <f t="shared" si="8"/>
        <v>32250614.870129667</v>
      </c>
      <c r="L55" s="196">
        <f t="shared" si="8"/>
        <v>33294791.845820144</v>
      </c>
      <c r="M55" s="196">
        <f t="shared" si="8"/>
        <v>34371843.679957591</v>
      </c>
      <c r="N55" s="196">
        <f t="shared" si="8"/>
        <v>35413684.537614331</v>
      </c>
      <c r="O55" s="196">
        <f t="shared" si="8"/>
        <v>36414942.577247404</v>
      </c>
      <c r="P55" s="196">
        <f t="shared" si="8"/>
        <v>37273326.808275998</v>
      </c>
      <c r="Q55" s="196">
        <f t="shared" si="8"/>
        <v>38018793.344441511</v>
      </c>
      <c r="R55" s="196">
        <f t="shared" si="8"/>
        <v>38779169.211330347</v>
      </c>
      <c r="S55" s="196">
        <f t="shared" si="8"/>
        <v>39554752.595556952</v>
      </c>
      <c r="T55" s="196">
        <f t="shared" si="8"/>
        <v>40345847.64746809</v>
      </c>
      <c r="U55" s="196">
        <f t="shared" si="8"/>
        <v>41152764.60041745</v>
      </c>
      <c r="V55" s="196">
        <f t="shared" si="8"/>
        <v>41975819.892425798</v>
      </c>
      <c r="W55" s="196">
        <f t="shared" si="8"/>
        <v>42815336.290274315</v>
      </c>
      <c r="X55" s="196">
        <f t="shared" si="8"/>
        <v>43671643.016079798</v>
      </c>
      <c r="Y55" s="196">
        <f t="shared" si="8"/>
        <v>44545075.876401395</v>
      </c>
      <c r="Z55" s="196">
        <f t="shared" si="8"/>
        <v>45435977.393929422</v>
      </c>
      <c r="AA55" s="196">
        <f t="shared" si="8"/>
        <v>46344696.941808008</v>
      </c>
      <c r="AB55" s="196">
        <f t="shared" si="8"/>
        <v>47271590.880644165</v>
      </c>
      <c r="AC55" s="196">
        <f>AC46*$B$24</f>
        <v>48217022.698257051</v>
      </c>
      <c r="AD55" s="196">
        <f>AD46*$B$24</f>
        <v>49181363.152222194</v>
      </c>
      <c r="AE55" s="196">
        <f>AE46*$B$24</f>
        <v>50164990.41526664</v>
      </c>
    </row>
    <row r="56" spans="1:33" x14ac:dyDescent="0.2">
      <c r="A56" s="186" t="s">
        <v>294</v>
      </c>
      <c r="B56" s="192">
        <f t="shared" ref="B56:V56" si="9">SUM(B57:B62)</f>
        <v>0</v>
      </c>
      <c r="C56" s="192">
        <f t="shared" si="9"/>
        <v>0</v>
      </c>
      <c r="D56" s="192">
        <f t="shared" si="9"/>
        <v>0</v>
      </c>
      <c r="E56" s="192">
        <f t="shared" si="9"/>
        <v>0</v>
      </c>
      <c r="F56" s="192">
        <f t="shared" si="9"/>
        <v>0</v>
      </c>
      <c r="G56" s="192">
        <f t="shared" si="9"/>
        <v>-241896.70446479993</v>
      </c>
      <c r="H56" s="192">
        <f t="shared" si="9"/>
        <v>-250604.98582553273</v>
      </c>
      <c r="I56" s="192">
        <f t="shared" si="9"/>
        <v>-1034497.381487799</v>
      </c>
      <c r="J56" s="192">
        <f t="shared" si="9"/>
        <v>-265865.82704236434</v>
      </c>
      <c r="K56" s="192">
        <f t="shared" si="9"/>
        <v>-273044.20437250816</v>
      </c>
      <c r="L56" s="192">
        <f t="shared" si="9"/>
        <v>-1121665.5915622632</v>
      </c>
      <c r="M56" s="192">
        <f t="shared" si="9"/>
        <v>-287426.80783782998</v>
      </c>
      <c r="N56" s="192">
        <f t="shared" si="9"/>
        <v>-2340037.6244180999</v>
      </c>
      <c r="O56" s="192">
        <f t="shared" si="9"/>
        <v>-1202025.808621193</v>
      </c>
      <c r="P56" s="192">
        <f t="shared" si="9"/>
        <v>-306516.58119840419</v>
      </c>
      <c r="Q56" s="192">
        <f t="shared" si="9"/>
        <v>-312646.91282237228</v>
      </c>
      <c r="R56" s="192">
        <f t="shared" si="9"/>
        <v>-1275599.4043152789</v>
      </c>
      <c r="S56" s="192">
        <f t="shared" si="9"/>
        <v>-325277.84810039611</v>
      </c>
      <c r="T56" s="192">
        <f t="shared" si="9"/>
        <v>-331783.40506240405</v>
      </c>
      <c r="U56" s="192">
        <f t="shared" si="9"/>
        <v>-1353676.2926546086</v>
      </c>
      <c r="V56" s="192">
        <f t="shared" si="9"/>
        <v>-3797062.0008961768</v>
      </c>
      <c r="W56" s="192">
        <f t="shared" ref="W56:AB56" si="10">SUM(W57:W62)</f>
        <v>-352091.20371946367</v>
      </c>
      <c r="X56" s="192">
        <f t="shared" si="10"/>
        <v>-1436532.1111754118</v>
      </c>
      <c r="Y56" s="192">
        <f t="shared" si="10"/>
        <v>-366315.68834973004</v>
      </c>
      <c r="Z56" s="192">
        <f t="shared" si="10"/>
        <v>-373642.00211672467</v>
      </c>
      <c r="AA56" s="192">
        <f t="shared" si="10"/>
        <v>-1524459.3686362365</v>
      </c>
      <c r="AB56" s="192">
        <f t="shared" si="10"/>
        <v>-388737.13900224038</v>
      </c>
      <c r="AC56" s="192">
        <f>SUM(AC57:AC62)</f>
        <v>-396511.88178228517</v>
      </c>
      <c r="AD56" s="192">
        <f>SUM(AD57:AD62)</f>
        <v>-5662189.6718510324</v>
      </c>
      <c r="AE56" s="192">
        <f>SUM(AE57:AE62)</f>
        <v>-412530.9618062895</v>
      </c>
    </row>
    <row r="57" spans="1:33" x14ac:dyDescent="0.2">
      <c r="A57" s="197" t="s">
        <v>293</v>
      </c>
      <c r="B57" s="192"/>
      <c r="C57" s="192"/>
      <c r="D57" s="192"/>
      <c r="E57" s="192"/>
      <c r="F57" s="192"/>
      <c r="G57" s="192">
        <v>0</v>
      </c>
      <c r="H57" s="192">
        <v>0</v>
      </c>
      <c r="I57" s="192">
        <f>-IF(I$43&lt;=$B$26,0,$B$25*(1+I$45)*$B$24)</f>
        <v>-775873.03611584927</v>
      </c>
      <c r="J57" s="192">
        <v>0</v>
      </c>
      <c r="K57" s="192">
        <v>0</v>
      </c>
      <c r="L57" s="192">
        <f>-IF(L$43&lt;=$B$26,0,$B$25*(1+L$45)*$B$24)</f>
        <v>-841249.19367169752</v>
      </c>
      <c r="M57" s="192">
        <v>0</v>
      </c>
      <c r="N57" s="192">
        <v>0</v>
      </c>
      <c r="O57" s="192">
        <f>-IF(O$43&lt;=$B$26,0,$B$25*(1+O$45)*$B$24)</f>
        <v>-901519.35646589473</v>
      </c>
      <c r="P57" s="192">
        <v>0</v>
      </c>
      <c r="Q57" s="192">
        <v>0</v>
      </c>
      <c r="R57" s="192">
        <f>-IF(R$43&lt;=$B$26,0,$B$25*(1+R$45)*$B$24)</f>
        <v>-956699.55323645915</v>
      </c>
      <c r="S57" s="192">
        <v>0</v>
      </c>
      <c r="T57" s="192">
        <v>0</v>
      </c>
      <c r="U57" s="192">
        <f>-IF(U$43&lt;=$B$26,0,$B$25*(1+U$45)*$B$24)</f>
        <v>-1015257.2194909564</v>
      </c>
      <c r="V57" s="192">
        <v>0</v>
      </c>
      <c r="W57" s="192">
        <v>0</v>
      </c>
      <c r="X57" s="192">
        <f>-IF(X$43&lt;=$B$26,0,$B$25*(1+X$45)*$B$24)</f>
        <v>-1077399.083381559</v>
      </c>
      <c r="Y57" s="192">
        <v>0</v>
      </c>
      <c r="Z57" s="192">
        <v>0</v>
      </c>
      <c r="AA57" s="192">
        <f>-IF(AA$43&lt;=$B$26,0,$B$25*(1+AA$45)*$B$24)</f>
        <v>-1143344.5264771774</v>
      </c>
      <c r="AB57" s="192">
        <v>0</v>
      </c>
      <c r="AC57" s="192">
        <v>0</v>
      </c>
      <c r="AD57" s="192">
        <f>-IF(AD$43&lt;=$B$26,0,$B$25*(1+AD$45)*$B$24)</f>
        <v>-1213326.3582537926</v>
      </c>
      <c r="AE57" s="192">
        <v>0</v>
      </c>
    </row>
    <row r="58" spans="1:33" x14ac:dyDescent="0.2">
      <c r="A58" s="197" t="str">
        <f>A28</f>
        <v>Прочие расходы при эксплуатации объекта, руб. без НДС</v>
      </c>
      <c r="B58" s="192"/>
      <c r="C58" s="192"/>
      <c r="D58" s="192"/>
      <c r="E58" s="192"/>
      <c r="F58" s="192"/>
      <c r="G58" s="192">
        <f>-IF(G$43&lt;=$B$29,0,$B$28*(1+G$45)*$B$24)</f>
        <v>-241896.70446479993</v>
      </c>
      <c r="H58" s="192">
        <f>-IF(H$43&lt;=$B$29,0,$B$28*(1+H$45)*$B$24)</f>
        <v>-250604.98582553273</v>
      </c>
      <c r="I58" s="192">
        <f t="shared" ref="I58:AE58" si="11">-IF(I$43&lt;=$B$29,0,$B$28*(1+I$45)*$B$24)</f>
        <v>-258624.34537194975</v>
      </c>
      <c r="J58" s="192">
        <f>-IF(J$43&lt;=$B$29,0,$B$28*(1+J$45)*$B$24)</f>
        <v>-265865.82704236434</v>
      </c>
      <c r="K58" s="192">
        <f t="shared" si="11"/>
        <v>-273044.20437250816</v>
      </c>
      <c r="L58" s="192">
        <f t="shared" si="11"/>
        <v>-280416.3978905658</v>
      </c>
      <c r="M58" s="192">
        <f t="shared" si="11"/>
        <v>-287426.80783782998</v>
      </c>
      <c r="N58" s="192">
        <f t="shared" si="11"/>
        <v>-294037.62441810005</v>
      </c>
      <c r="O58" s="192">
        <f t="shared" si="11"/>
        <v>-300506.45215529826</v>
      </c>
      <c r="P58" s="192">
        <f t="shared" si="11"/>
        <v>-306516.58119840419</v>
      </c>
      <c r="Q58" s="192">
        <f t="shared" si="11"/>
        <v>-312646.91282237228</v>
      </c>
      <c r="R58" s="192">
        <f t="shared" si="11"/>
        <v>-318899.85107881972</v>
      </c>
      <c r="S58" s="192">
        <f t="shared" si="11"/>
        <v>-325277.84810039611</v>
      </c>
      <c r="T58" s="192">
        <f t="shared" si="11"/>
        <v>-331783.40506240405</v>
      </c>
      <c r="U58" s="192">
        <f t="shared" si="11"/>
        <v>-338419.07316365215</v>
      </c>
      <c r="V58" s="192">
        <f t="shared" si="11"/>
        <v>-345187.45462692517</v>
      </c>
      <c r="W58" s="192">
        <f t="shared" si="11"/>
        <v>-352091.20371946367</v>
      </c>
      <c r="X58" s="192">
        <f t="shared" si="11"/>
        <v>-359133.02779385296</v>
      </c>
      <c r="Y58" s="192">
        <f t="shared" si="11"/>
        <v>-366315.68834973004</v>
      </c>
      <c r="Z58" s="192">
        <f t="shared" si="11"/>
        <v>-373642.00211672467</v>
      </c>
      <c r="AA58" s="192">
        <f t="shared" si="11"/>
        <v>-381114.84215905913</v>
      </c>
      <c r="AB58" s="192">
        <f t="shared" si="11"/>
        <v>-388737.13900224038</v>
      </c>
      <c r="AC58" s="192">
        <f t="shared" si="11"/>
        <v>-396511.88178228517</v>
      </c>
      <c r="AD58" s="192">
        <f t="shared" si="11"/>
        <v>-404442.11941793089</v>
      </c>
      <c r="AE58" s="192">
        <f t="shared" si="11"/>
        <v>-412530.9618062895</v>
      </c>
    </row>
    <row r="59" spans="1:33" x14ac:dyDescent="0.2">
      <c r="A59" s="197" t="s">
        <v>491</v>
      </c>
      <c r="B59" s="192"/>
      <c r="C59" s="192"/>
      <c r="D59" s="192"/>
      <c r="E59" s="192"/>
      <c r="F59" s="192"/>
      <c r="G59" s="192">
        <v>0</v>
      </c>
      <c r="H59" s="192">
        <v>0</v>
      </c>
      <c r="I59" s="192">
        <v>0</v>
      </c>
      <c r="J59" s="192">
        <v>0</v>
      </c>
      <c r="K59" s="192">
        <v>0</v>
      </c>
      <c r="L59" s="192">
        <v>0</v>
      </c>
      <c r="M59" s="192">
        <v>0</v>
      </c>
      <c r="N59" s="192">
        <f>-IF(N$43&lt;=$B$26,0,$B$31*(1+N$44)*$B$24)</f>
        <v>-2045999.9999999998</v>
      </c>
      <c r="O59" s="192">
        <v>0</v>
      </c>
      <c r="P59" s="192">
        <v>0</v>
      </c>
      <c r="Q59" s="192">
        <v>0</v>
      </c>
      <c r="R59" s="192">
        <v>0</v>
      </c>
      <c r="S59" s="192">
        <v>0</v>
      </c>
      <c r="T59" s="192">
        <v>0</v>
      </c>
      <c r="U59" s="192">
        <v>0</v>
      </c>
      <c r="V59" s="192">
        <f>-IF(V$43&lt;=$B$26,0,$B$31*(1+V$45)*$B$24)</f>
        <v>-3451874.5462692515</v>
      </c>
      <c r="W59" s="192">
        <v>0</v>
      </c>
      <c r="X59" s="192">
        <v>0</v>
      </c>
      <c r="Y59" s="192">
        <v>0</v>
      </c>
      <c r="Z59" s="192">
        <v>0</v>
      </c>
      <c r="AA59" s="192">
        <v>0</v>
      </c>
      <c r="AB59" s="192">
        <v>0</v>
      </c>
      <c r="AC59" s="192">
        <v>0</v>
      </c>
      <c r="AD59" s="192">
        <f>-IF(AD$43&lt;=$B$26,0,$B$31*(1+AD$45)*$B$24)</f>
        <v>-4044421.1941793091</v>
      </c>
      <c r="AE59" s="192">
        <v>0</v>
      </c>
    </row>
    <row r="60" spans="1:33" x14ac:dyDescent="0.2">
      <c r="A60" s="197" t="s">
        <v>492</v>
      </c>
      <c r="B60" s="192">
        <f>-$B$33*(1+B$45)*$B$24*365</f>
        <v>0</v>
      </c>
      <c r="C60" s="192">
        <f t="shared" ref="C60:AE60" si="12">-$B$33*(1+C$45)*$B$24*365</f>
        <v>0</v>
      </c>
      <c r="D60" s="192">
        <f t="shared" si="12"/>
        <v>0</v>
      </c>
      <c r="E60" s="192">
        <f t="shared" si="12"/>
        <v>0</v>
      </c>
      <c r="F60" s="192">
        <f t="shared" si="12"/>
        <v>0</v>
      </c>
      <c r="G60" s="192">
        <f t="shared" si="12"/>
        <v>0</v>
      </c>
      <c r="H60" s="192">
        <f t="shared" si="12"/>
        <v>0</v>
      </c>
      <c r="I60" s="192">
        <f t="shared" si="12"/>
        <v>0</v>
      </c>
      <c r="J60" s="192">
        <f t="shared" si="12"/>
        <v>0</v>
      </c>
      <c r="K60" s="192">
        <f t="shared" si="12"/>
        <v>0</v>
      </c>
      <c r="L60" s="192">
        <f t="shared" si="12"/>
        <v>0</v>
      </c>
      <c r="M60" s="192">
        <f t="shared" si="12"/>
        <v>0</v>
      </c>
      <c r="N60" s="192">
        <f t="shared" si="12"/>
        <v>0</v>
      </c>
      <c r="O60" s="192">
        <f t="shared" si="12"/>
        <v>0</v>
      </c>
      <c r="P60" s="192">
        <f t="shared" si="12"/>
        <v>0</v>
      </c>
      <c r="Q60" s="192">
        <f t="shared" si="12"/>
        <v>0</v>
      </c>
      <c r="R60" s="192">
        <f t="shared" si="12"/>
        <v>0</v>
      </c>
      <c r="S60" s="192">
        <f t="shared" si="12"/>
        <v>0</v>
      </c>
      <c r="T60" s="192">
        <f t="shared" si="12"/>
        <v>0</v>
      </c>
      <c r="U60" s="192">
        <f t="shared" si="12"/>
        <v>0</v>
      </c>
      <c r="V60" s="192">
        <f t="shared" si="12"/>
        <v>0</v>
      </c>
      <c r="W60" s="192">
        <f t="shared" si="12"/>
        <v>0</v>
      </c>
      <c r="X60" s="192">
        <f t="shared" si="12"/>
        <v>0</v>
      </c>
      <c r="Y60" s="192">
        <f t="shared" si="12"/>
        <v>0</v>
      </c>
      <c r="Z60" s="192">
        <f t="shared" si="12"/>
        <v>0</v>
      </c>
      <c r="AA60" s="192">
        <f t="shared" si="12"/>
        <v>0</v>
      </c>
      <c r="AB60" s="192">
        <f t="shared" si="12"/>
        <v>0</v>
      </c>
      <c r="AC60" s="192">
        <f t="shared" si="12"/>
        <v>0</v>
      </c>
      <c r="AD60" s="192">
        <f t="shared" si="12"/>
        <v>0</v>
      </c>
      <c r="AE60" s="192">
        <f t="shared" si="12"/>
        <v>0</v>
      </c>
    </row>
    <row r="61" spans="1:33" x14ac:dyDescent="0.2">
      <c r="A61" s="197" t="s">
        <v>492</v>
      </c>
      <c r="B61" s="192">
        <f t="shared" ref="B61:AE61" si="13">-$B$34*(1+B$45)*12</f>
        <v>0</v>
      </c>
      <c r="C61" s="192">
        <f t="shared" si="13"/>
        <v>0</v>
      </c>
      <c r="D61" s="192">
        <f t="shared" si="13"/>
        <v>0</v>
      </c>
      <c r="E61" s="192">
        <f t="shared" si="13"/>
        <v>0</v>
      </c>
      <c r="F61" s="192">
        <f t="shared" si="13"/>
        <v>0</v>
      </c>
      <c r="G61" s="192">
        <f t="shared" si="13"/>
        <v>0</v>
      </c>
      <c r="H61" s="192">
        <f t="shared" si="13"/>
        <v>0</v>
      </c>
      <c r="I61" s="192">
        <f t="shared" si="13"/>
        <v>0</v>
      </c>
      <c r="J61" s="192">
        <f t="shared" si="13"/>
        <v>0</v>
      </c>
      <c r="K61" s="192">
        <f t="shared" si="13"/>
        <v>0</v>
      </c>
      <c r="L61" s="192">
        <f t="shared" si="13"/>
        <v>0</v>
      </c>
      <c r="M61" s="192">
        <f t="shared" si="13"/>
        <v>0</v>
      </c>
      <c r="N61" s="192">
        <f t="shared" si="13"/>
        <v>0</v>
      </c>
      <c r="O61" s="192">
        <f t="shared" si="13"/>
        <v>0</v>
      </c>
      <c r="P61" s="192">
        <f t="shared" si="13"/>
        <v>0</v>
      </c>
      <c r="Q61" s="192">
        <f t="shared" si="13"/>
        <v>0</v>
      </c>
      <c r="R61" s="192">
        <f t="shared" si="13"/>
        <v>0</v>
      </c>
      <c r="S61" s="192">
        <f t="shared" si="13"/>
        <v>0</v>
      </c>
      <c r="T61" s="192">
        <f t="shared" si="13"/>
        <v>0</v>
      </c>
      <c r="U61" s="192">
        <f t="shared" si="13"/>
        <v>0</v>
      </c>
      <c r="V61" s="192">
        <f t="shared" si="13"/>
        <v>0</v>
      </c>
      <c r="W61" s="192">
        <f t="shared" si="13"/>
        <v>0</v>
      </c>
      <c r="X61" s="192">
        <f t="shared" si="13"/>
        <v>0</v>
      </c>
      <c r="Y61" s="192">
        <f t="shared" si="13"/>
        <v>0</v>
      </c>
      <c r="Z61" s="192">
        <f t="shared" si="13"/>
        <v>0</v>
      </c>
      <c r="AA61" s="192">
        <f t="shared" si="13"/>
        <v>0</v>
      </c>
      <c r="AB61" s="192">
        <f t="shared" si="13"/>
        <v>0</v>
      </c>
      <c r="AC61" s="192">
        <f t="shared" si="13"/>
        <v>0</v>
      </c>
      <c r="AD61" s="192">
        <f t="shared" si="13"/>
        <v>0</v>
      </c>
      <c r="AE61" s="192">
        <f t="shared" si="13"/>
        <v>0</v>
      </c>
    </row>
    <row r="62" spans="1:33" x14ac:dyDescent="0.2">
      <c r="A62" s="197" t="s">
        <v>497</v>
      </c>
      <c r="B62" s="192">
        <v>0</v>
      </c>
      <c r="C62" s="192">
        <v>0</v>
      </c>
      <c r="D62" s="192">
        <v>0</v>
      </c>
      <c r="E62" s="192">
        <v>0</v>
      </c>
      <c r="F62" s="192">
        <v>0</v>
      </c>
      <c r="G62" s="192">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192">
        <v>0</v>
      </c>
      <c r="AC62" s="192">
        <v>0</v>
      </c>
      <c r="AD62" s="192">
        <v>0</v>
      </c>
      <c r="AE62" s="192">
        <v>0</v>
      </c>
    </row>
    <row r="63" spans="1:33" ht="14.25" x14ac:dyDescent="0.2">
      <c r="A63" s="198" t="s">
        <v>498</v>
      </c>
      <c r="B63" s="196">
        <f t="shared" ref="B63:AB63" si="14">B55+B56</f>
        <v>0</v>
      </c>
      <c r="C63" s="196">
        <f t="shared" si="14"/>
        <v>-0.05</v>
      </c>
      <c r="D63" s="196">
        <f>D55+D56</f>
        <v>0</v>
      </c>
      <c r="E63" s="196">
        <f t="shared" si="14"/>
        <v>268969999.94999999</v>
      </c>
      <c r="F63" s="196">
        <f t="shared" si="14"/>
        <v>35029999.950000003</v>
      </c>
      <c r="G63" s="196">
        <f t="shared" si="14"/>
        <v>18943230.683361597</v>
      </c>
      <c r="H63" s="196">
        <f t="shared" si="14"/>
        <v>22793684.565013636</v>
      </c>
      <c r="I63" s="196">
        <f t="shared" si="14"/>
        <v>26022571.123137489</v>
      </c>
      <c r="J63" s="196">
        <f t="shared" si="14"/>
        <v>30942075.304645445</v>
      </c>
      <c r="K63" s="196">
        <f t="shared" si="14"/>
        <v>31977570.665757161</v>
      </c>
      <c r="L63" s="196">
        <f t="shared" si="14"/>
        <v>32173126.25425788</v>
      </c>
      <c r="M63" s="196">
        <f t="shared" si="14"/>
        <v>34084416.872119762</v>
      </c>
      <c r="N63" s="196">
        <f t="shared" si="14"/>
        <v>33073646.913196232</v>
      </c>
      <c r="O63" s="196">
        <f t="shared" si="14"/>
        <v>35212916.768626213</v>
      </c>
      <c r="P63" s="196">
        <f t="shared" si="14"/>
        <v>36966810.227077596</v>
      </c>
      <c r="Q63" s="196">
        <f t="shared" si="14"/>
        <v>37706146.431619138</v>
      </c>
      <c r="R63" s="196">
        <f t="shared" si="14"/>
        <v>37503569.807015069</v>
      </c>
      <c r="S63" s="196">
        <f t="shared" si="14"/>
        <v>39229474.747456558</v>
      </c>
      <c r="T63" s="196">
        <f t="shared" si="14"/>
        <v>40014064.242405683</v>
      </c>
      <c r="U63" s="196">
        <f t="shared" si="14"/>
        <v>39799088.307762839</v>
      </c>
      <c r="V63" s="196">
        <f t="shared" si="14"/>
        <v>38178757.89152962</v>
      </c>
      <c r="W63" s="196">
        <f t="shared" si="14"/>
        <v>42463245.086554848</v>
      </c>
      <c r="X63" s="196">
        <f t="shared" si="14"/>
        <v>42235110.904904388</v>
      </c>
      <c r="Y63" s="196">
        <f t="shared" si="14"/>
        <v>44178760.188051663</v>
      </c>
      <c r="Z63" s="196">
        <f t="shared" si="14"/>
        <v>45062335.391812697</v>
      </c>
      <c r="AA63" s="196">
        <f t="shared" si="14"/>
        <v>44820237.573171772</v>
      </c>
      <c r="AB63" s="196">
        <f t="shared" si="14"/>
        <v>46882853.741641924</v>
      </c>
      <c r="AC63" s="196">
        <f>AC55+AC56</f>
        <v>47820510.816474766</v>
      </c>
      <c r="AD63" s="196">
        <f>AD55+AD56</f>
        <v>43519173.480371162</v>
      </c>
      <c r="AE63" s="196">
        <f>AE55+AE56</f>
        <v>49752459.453460351</v>
      </c>
    </row>
    <row r="64" spans="1:33" x14ac:dyDescent="0.2">
      <c r="A64" s="197" t="s">
        <v>288</v>
      </c>
      <c r="C64" s="192"/>
      <c r="D64" s="192"/>
      <c r="E64" s="192"/>
      <c r="F64" s="192"/>
      <c r="G64" s="192">
        <v>-19020424.399999999</v>
      </c>
      <c r="H64" s="192">
        <v>-19020424.399999999</v>
      </c>
      <c r="I64" s="192">
        <v>-19020424.399999999</v>
      </c>
      <c r="J64" s="192">
        <v>-19020424.399999999</v>
      </c>
      <c r="K64" s="192">
        <v>-19020424.399999999</v>
      </c>
      <c r="L64" s="192">
        <v>-19020424.399999999</v>
      </c>
      <c r="M64" s="192">
        <v>-19020424.399999999</v>
      </c>
      <c r="N64" s="192">
        <v>-19020424.399999999</v>
      </c>
      <c r="O64" s="192">
        <v>-19020424.399999999</v>
      </c>
      <c r="P64" s="192">
        <v>-19020424.399999999</v>
      </c>
      <c r="Q64" s="192">
        <v>-19020424.399999999</v>
      </c>
      <c r="R64" s="192">
        <v>-19020424.399999999</v>
      </c>
      <c r="S64" s="192">
        <v>-19020424.399999999</v>
      </c>
      <c r="T64" s="192">
        <v>-19020424.399999999</v>
      </c>
      <c r="U64" s="192">
        <v>-19020424.399999999</v>
      </c>
      <c r="V64" s="192">
        <v>-19020424.399999999</v>
      </c>
      <c r="W64" s="192">
        <v>-19020424.399999999</v>
      </c>
      <c r="X64" s="192">
        <v>-19020424.399999999</v>
      </c>
      <c r="Y64" s="192">
        <v>-19020424.399999999</v>
      </c>
      <c r="Z64" s="192">
        <v>-19020424.399999999</v>
      </c>
      <c r="AA64" s="192">
        <v>-19020424.399999999</v>
      </c>
      <c r="AB64" s="192">
        <v>-19020424.399999999</v>
      </c>
      <c r="AC64" s="192">
        <v>-19020424.399999999</v>
      </c>
      <c r="AD64" s="192">
        <v>-19020424.399999999</v>
      </c>
      <c r="AE64" s="192">
        <v>-19020424.399999999</v>
      </c>
      <c r="AF64" s="199">
        <f>SUM(B64:AE64)/1.18</f>
        <v>-402975093.22033888</v>
      </c>
      <c r="AG64" s="226">
        <f>AF64*1.18</f>
        <v>-475510609.99999988</v>
      </c>
    </row>
    <row r="65" spans="1:33" ht="14.25" x14ac:dyDescent="0.2">
      <c r="A65" s="198" t="s">
        <v>499</v>
      </c>
      <c r="B65" s="196">
        <f t="shared" ref="B65:J65" si="15">B63+B64</f>
        <v>0</v>
      </c>
      <c r="C65" s="196">
        <f t="shared" si="15"/>
        <v>-0.05</v>
      </c>
      <c r="D65" s="196">
        <f>D63+D64</f>
        <v>0</v>
      </c>
      <c r="E65" s="196">
        <f t="shared" si="15"/>
        <v>268969999.94999999</v>
      </c>
      <c r="F65" s="196">
        <f t="shared" si="15"/>
        <v>35029999.950000003</v>
      </c>
      <c r="G65" s="196">
        <f t="shared" si="15"/>
        <v>-77193.716638401151</v>
      </c>
      <c r="H65" s="196">
        <f t="shared" si="15"/>
        <v>3773260.1650136374</v>
      </c>
      <c r="I65" s="196">
        <f t="shared" si="15"/>
        <v>7002146.7231374905</v>
      </c>
      <c r="J65" s="196">
        <f t="shared" si="15"/>
        <v>11921650.904645447</v>
      </c>
      <c r="K65" s="196">
        <f>K63+K64</f>
        <v>12957146.265757162</v>
      </c>
      <c r="L65" s="196">
        <f>L63+L64</f>
        <v>13152701.854257882</v>
      </c>
      <c r="M65" s="196">
        <f t="shared" ref="M65:AB65" si="16">M63+M64</f>
        <v>15063992.472119763</v>
      </c>
      <c r="N65" s="196">
        <f t="shared" si="16"/>
        <v>14053222.513196234</v>
      </c>
      <c r="O65" s="196">
        <f t="shared" si="16"/>
        <v>16192492.368626215</v>
      </c>
      <c r="P65" s="196">
        <f t="shared" si="16"/>
        <v>17946385.827077597</v>
      </c>
      <c r="Q65" s="196">
        <f t="shared" si="16"/>
        <v>18685722.031619139</v>
      </c>
      <c r="R65" s="196">
        <f t="shared" si="16"/>
        <v>18483145.40701507</v>
      </c>
      <c r="S65" s="196">
        <f t="shared" si="16"/>
        <v>20209050.34745656</v>
      </c>
      <c r="T65" s="196">
        <f t="shared" si="16"/>
        <v>20993639.842405684</v>
      </c>
      <c r="U65" s="196">
        <f t="shared" si="16"/>
        <v>20778663.90776284</v>
      </c>
      <c r="V65" s="196">
        <f t="shared" si="16"/>
        <v>19158333.491529621</v>
      </c>
      <c r="W65" s="196">
        <f t="shared" si="16"/>
        <v>23442820.686554849</v>
      </c>
      <c r="X65" s="196">
        <f t="shared" si="16"/>
        <v>23214686.504904389</v>
      </c>
      <c r="Y65" s="196">
        <f t="shared" si="16"/>
        <v>25158335.788051665</v>
      </c>
      <c r="Z65" s="196">
        <f t="shared" si="16"/>
        <v>26041910.991812699</v>
      </c>
      <c r="AA65" s="196">
        <f t="shared" si="16"/>
        <v>25799813.173171774</v>
      </c>
      <c r="AB65" s="196">
        <f t="shared" si="16"/>
        <v>27862429.341641925</v>
      </c>
      <c r="AC65" s="196">
        <f>AC63+AC64</f>
        <v>28800086.416474767</v>
      </c>
      <c r="AD65" s="196">
        <f>AD63+AD64</f>
        <v>24498749.080371164</v>
      </c>
      <c r="AE65" s="196">
        <f>AE63+AE64</f>
        <v>30732035.053460352</v>
      </c>
    </row>
    <row r="66" spans="1:33" x14ac:dyDescent="0.2">
      <c r="A66" s="197" t="s">
        <v>287</v>
      </c>
      <c r="B66" s="192">
        <f t="shared" ref="B66:AB66" si="17">-B52</f>
        <v>0</v>
      </c>
      <c r="C66" s="192">
        <f t="shared" si="17"/>
        <v>0</v>
      </c>
      <c r="D66" s="192">
        <f t="shared" si="17"/>
        <v>0</v>
      </c>
      <c r="E66" s="192">
        <f t="shared" si="17"/>
        <v>0</v>
      </c>
      <c r="F66" s="192">
        <f t="shared" si="17"/>
        <v>0</v>
      </c>
      <c r="G66" s="192">
        <f t="shared" si="17"/>
        <v>0</v>
      </c>
      <c r="H66" s="192">
        <f t="shared" si="17"/>
        <v>0</v>
      </c>
      <c r="I66" s="192">
        <f t="shared" si="17"/>
        <v>0</v>
      </c>
      <c r="J66" s="192">
        <f t="shared" si="17"/>
        <v>0</v>
      </c>
      <c r="K66" s="192">
        <f t="shared" si="17"/>
        <v>0</v>
      </c>
      <c r="L66" s="192">
        <f t="shared" si="17"/>
        <v>0</v>
      </c>
      <c r="M66" s="192">
        <f t="shared" si="17"/>
        <v>0</v>
      </c>
      <c r="N66" s="192">
        <f t="shared" si="17"/>
        <v>0</v>
      </c>
      <c r="O66" s="192">
        <f t="shared" si="17"/>
        <v>0</v>
      </c>
      <c r="P66" s="192">
        <f t="shared" si="17"/>
        <v>0</v>
      </c>
      <c r="Q66" s="192">
        <f t="shared" si="17"/>
        <v>0</v>
      </c>
      <c r="R66" s="192">
        <f t="shared" si="17"/>
        <v>0</v>
      </c>
      <c r="S66" s="192">
        <f t="shared" si="17"/>
        <v>0</v>
      </c>
      <c r="T66" s="192">
        <f t="shared" si="17"/>
        <v>0</v>
      </c>
      <c r="U66" s="192">
        <f t="shared" si="17"/>
        <v>0</v>
      </c>
      <c r="V66" s="192">
        <f t="shared" si="17"/>
        <v>0</v>
      </c>
      <c r="W66" s="192">
        <f t="shared" si="17"/>
        <v>0</v>
      </c>
      <c r="X66" s="192">
        <f t="shared" si="17"/>
        <v>0</v>
      </c>
      <c r="Y66" s="192">
        <f t="shared" si="17"/>
        <v>0</v>
      </c>
      <c r="Z66" s="192">
        <f t="shared" si="17"/>
        <v>0</v>
      </c>
      <c r="AA66" s="192">
        <f t="shared" si="17"/>
        <v>0</v>
      </c>
      <c r="AB66" s="192">
        <f t="shared" si="17"/>
        <v>0</v>
      </c>
      <c r="AC66" s="192">
        <f>-AC52</f>
        <v>0</v>
      </c>
      <c r="AD66" s="192">
        <f>-AD52</f>
        <v>0</v>
      </c>
      <c r="AE66" s="192">
        <f>-AE52</f>
        <v>0</v>
      </c>
    </row>
    <row r="67" spans="1:33" ht="14.25" x14ac:dyDescent="0.2">
      <c r="A67" s="198" t="s">
        <v>291</v>
      </c>
      <c r="B67" s="196">
        <f t="shared" ref="B67:AB67" si="18">B65+B66</f>
        <v>0</v>
      </c>
      <c r="C67" s="196">
        <f t="shared" si="18"/>
        <v>-0.05</v>
      </c>
      <c r="D67" s="196">
        <f t="shared" si="18"/>
        <v>0</v>
      </c>
      <c r="E67" s="196">
        <f t="shared" si="18"/>
        <v>268969999.94999999</v>
      </c>
      <c r="F67" s="196">
        <f t="shared" si="18"/>
        <v>35029999.950000003</v>
      </c>
      <c r="G67" s="196">
        <f t="shared" si="18"/>
        <v>-77193.716638401151</v>
      </c>
      <c r="H67" s="196">
        <f t="shared" si="18"/>
        <v>3773260.1650136374</v>
      </c>
      <c r="I67" s="196">
        <f t="shared" si="18"/>
        <v>7002146.7231374905</v>
      </c>
      <c r="J67" s="196">
        <f t="shared" si="18"/>
        <v>11921650.904645447</v>
      </c>
      <c r="K67" s="196">
        <f t="shared" si="18"/>
        <v>12957146.265757162</v>
      </c>
      <c r="L67" s="196">
        <f t="shared" si="18"/>
        <v>13152701.854257882</v>
      </c>
      <c r="M67" s="196">
        <f t="shared" si="18"/>
        <v>15063992.472119763</v>
      </c>
      <c r="N67" s="196">
        <f t="shared" si="18"/>
        <v>14053222.513196234</v>
      </c>
      <c r="O67" s="196">
        <f t="shared" si="18"/>
        <v>16192492.368626215</v>
      </c>
      <c r="P67" s="196">
        <f t="shared" si="18"/>
        <v>17946385.827077597</v>
      </c>
      <c r="Q67" s="196">
        <f t="shared" si="18"/>
        <v>18685722.031619139</v>
      </c>
      <c r="R67" s="196">
        <f t="shared" si="18"/>
        <v>18483145.40701507</v>
      </c>
      <c r="S67" s="196">
        <f t="shared" si="18"/>
        <v>20209050.34745656</v>
      </c>
      <c r="T67" s="196">
        <f t="shared" si="18"/>
        <v>20993639.842405684</v>
      </c>
      <c r="U67" s="196">
        <f t="shared" si="18"/>
        <v>20778663.90776284</v>
      </c>
      <c r="V67" s="196">
        <f t="shared" si="18"/>
        <v>19158333.491529621</v>
      </c>
      <c r="W67" s="196">
        <f t="shared" si="18"/>
        <v>23442820.686554849</v>
      </c>
      <c r="X67" s="196">
        <f t="shared" si="18"/>
        <v>23214686.504904389</v>
      </c>
      <c r="Y67" s="196">
        <f t="shared" si="18"/>
        <v>25158335.788051665</v>
      </c>
      <c r="Z67" s="196">
        <f t="shared" si="18"/>
        <v>26041910.991812699</v>
      </c>
      <c r="AA67" s="196">
        <f t="shared" si="18"/>
        <v>25799813.173171774</v>
      </c>
      <c r="AB67" s="196">
        <f t="shared" si="18"/>
        <v>27862429.341641925</v>
      </c>
      <c r="AC67" s="196">
        <f>AC65+AC66</f>
        <v>28800086.416474767</v>
      </c>
      <c r="AD67" s="196">
        <f>AD65+AD66</f>
        <v>24498749.080371164</v>
      </c>
      <c r="AE67" s="196">
        <f>AE65+AE66</f>
        <v>30732035.053460352</v>
      </c>
    </row>
    <row r="68" spans="1:33" x14ac:dyDescent="0.2">
      <c r="A68" s="197" t="s">
        <v>286</v>
      </c>
      <c r="B68" s="192">
        <f t="shared" ref="B68:AB68" si="19">-B67*$B$32</f>
        <v>0</v>
      </c>
      <c r="C68" s="192">
        <f t="shared" si="19"/>
        <v>1.0000000000000002E-2</v>
      </c>
      <c r="D68" s="192">
        <f t="shared" si="19"/>
        <v>0</v>
      </c>
      <c r="E68" s="192">
        <f t="shared" si="19"/>
        <v>-53793999.990000002</v>
      </c>
      <c r="F68" s="192">
        <f t="shared" si="19"/>
        <v>-7005999.9900000012</v>
      </c>
      <c r="G68" s="192">
        <f t="shared" si="19"/>
        <v>15438.743327680231</v>
      </c>
      <c r="H68" s="192">
        <f t="shared" si="19"/>
        <v>-754652.03300272755</v>
      </c>
      <c r="I68" s="192">
        <f t="shared" si="19"/>
        <v>-1400429.3446274982</v>
      </c>
      <c r="J68" s="192">
        <f t="shared" si="19"/>
        <v>-2384330.1809290894</v>
      </c>
      <c r="K68" s="192">
        <f t="shared" si="19"/>
        <v>-2591429.2531514326</v>
      </c>
      <c r="L68" s="192">
        <f t="shared" si="19"/>
        <v>-2630540.3708515763</v>
      </c>
      <c r="M68" s="192">
        <f t="shared" si="19"/>
        <v>-3012798.4944239529</v>
      </c>
      <c r="N68" s="192">
        <f t="shared" si="19"/>
        <v>-2810644.5026392471</v>
      </c>
      <c r="O68" s="192">
        <f t="shared" si="19"/>
        <v>-3238498.473725243</v>
      </c>
      <c r="P68" s="192">
        <f t="shared" si="19"/>
        <v>-3589277.1654155198</v>
      </c>
      <c r="Q68" s="192">
        <f t="shared" si="19"/>
        <v>-3737144.4063238278</v>
      </c>
      <c r="R68" s="192">
        <f t="shared" si="19"/>
        <v>-3696629.0814030143</v>
      </c>
      <c r="S68" s="192">
        <f t="shared" si="19"/>
        <v>-4041810.0694913119</v>
      </c>
      <c r="T68" s="192">
        <f t="shared" si="19"/>
        <v>-4198727.9684811374</v>
      </c>
      <c r="U68" s="192">
        <f t="shared" si="19"/>
        <v>-4155732.7815525681</v>
      </c>
      <c r="V68" s="192">
        <f t="shared" si="19"/>
        <v>-3831666.6983059244</v>
      </c>
      <c r="W68" s="192">
        <f t="shared" si="19"/>
        <v>-4688564.1373109696</v>
      </c>
      <c r="X68" s="192">
        <f t="shared" si="19"/>
        <v>-4642937.3009808781</v>
      </c>
      <c r="Y68" s="192">
        <f t="shared" si="19"/>
        <v>-5031667.1576103335</v>
      </c>
      <c r="Z68" s="192">
        <f t="shared" si="19"/>
        <v>-5208382.1983625405</v>
      </c>
      <c r="AA68" s="192">
        <f t="shared" si="19"/>
        <v>-5159962.6346343551</v>
      </c>
      <c r="AB68" s="192">
        <f t="shared" si="19"/>
        <v>-5572485.8683283851</v>
      </c>
      <c r="AC68" s="192">
        <f>-AC67*$B$32</f>
        <v>-5760017.2832949534</v>
      </c>
      <c r="AD68" s="192">
        <f>-AD67*$B$32</f>
        <v>-4899749.8160742326</v>
      </c>
      <c r="AE68" s="192">
        <f>-AE67*$B$32</f>
        <v>-6146407.0106920712</v>
      </c>
    </row>
    <row r="69" spans="1:33" ht="15" thickBot="1" x14ac:dyDescent="0.25">
      <c r="A69" s="200" t="s">
        <v>290</v>
      </c>
      <c r="B69" s="190">
        <f t="shared" ref="B69:AB69" si="20">B67+B68</f>
        <v>0</v>
      </c>
      <c r="C69" s="190">
        <f t="shared" si="20"/>
        <v>-0.04</v>
      </c>
      <c r="D69" s="190">
        <f t="shared" si="20"/>
        <v>0</v>
      </c>
      <c r="E69" s="190">
        <f t="shared" si="20"/>
        <v>215175999.95999998</v>
      </c>
      <c r="F69" s="190">
        <f t="shared" si="20"/>
        <v>28023999.960000001</v>
      </c>
      <c r="G69" s="190">
        <f t="shared" si="20"/>
        <v>-61754.973310720918</v>
      </c>
      <c r="H69" s="190">
        <f t="shared" si="20"/>
        <v>3018608.1320109097</v>
      </c>
      <c r="I69" s="190">
        <f t="shared" si="20"/>
        <v>5601717.3785099927</v>
      </c>
      <c r="J69" s="190">
        <f t="shared" si="20"/>
        <v>9537320.7237163577</v>
      </c>
      <c r="K69" s="190">
        <f t="shared" si="20"/>
        <v>10365717.01260573</v>
      </c>
      <c r="L69" s="190">
        <f t="shared" si="20"/>
        <v>10522161.483406305</v>
      </c>
      <c r="M69" s="190">
        <f t="shared" si="20"/>
        <v>12051193.977695812</v>
      </c>
      <c r="N69" s="190">
        <f t="shared" si="20"/>
        <v>11242578.010556987</v>
      </c>
      <c r="O69" s="190">
        <f t="shared" si="20"/>
        <v>12953993.894900972</v>
      </c>
      <c r="P69" s="190">
        <f t="shared" si="20"/>
        <v>14357108.661662078</v>
      </c>
      <c r="Q69" s="190">
        <f t="shared" si="20"/>
        <v>14948577.625295311</v>
      </c>
      <c r="R69" s="190">
        <f t="shared" si="20"/>
        <v>14786516.325612057</v>
      </c>
      <c r="S69" s="190">
        <f t="shared" si="20"/>
        <v>16167240.277965248</v>
      </c>
      <c r="T69" s="190">
        <f t="shared" si="20"/>
        <v>16794911.873924546</v>
      </c>
      <c r="U69" s="190">
        <f t="shared" si="20"/>
        <v>16622931.126210272</v>
      </c>
      <c r="V69" s="190">
        <f t="shared" si="20"/>
        <v>15326666.793223698</v>
      </c>
      <c r="W69" s="190">
        <f t="shared" si="20"/>
        <v>18754256.549243879</v>
      </c>
      <c r="X69" s="190">
        <f t="shared" si="20"/>
        <v>18571749.203923512</v>
      </c>
      <c r="Y69" s="190">
        <f t="shared" si="20"/>
        <v>20126668.63044133</v>
      </c>
      <c r="Z69" s="190">
        <f t="shared" si="20"/>
        <v>20833528.793450158</v>
      </c>
      <c r="AA69" s="190">
        <f t="shared" si="20"/>
        <v>20639850.53853742</v>
      </c>
      <c r="AB69" s="190">
        <f t="shared" si="20"/>
        <v>22289943.47331354</v>
      </c>
      <c r="AC69" s="190">
        <f>AC67+AC68</f>
        <v>23040069.133179814</v>
      </c>
      <c r="AD69" s="190">
        <f>AD67+AD68</f>
        <v>19598999.26429693</v>
      </c>
      <c r="AE69" s="190">
        <f>AE67+AE68</f>
        <v>24585628.042768281</v>
      </c>
    </row>
    <row r="70" spans="1:33" ht="16.5" thickBot="1" x14ac:dyDescent="0.25">
      <c r="A70" s="193"/>
      <c r="B70" s="201"/>
      <c r="C70" s="201"/>
      <c r="D70" s="227">
        <v>0.5</v>
      </c>
      <c r="E70" s="227">
        <f>AVERAGE(D53:E53)</f>
        <v>1.5</v>
      </c>
      <c r="F70" s="227">
        <f t="shared" ref="F70:AE70" si="21">AVERAGE(E53:F53)</f>
        <v>2.5</v>
      </c>
      <c r="G70" s="227">
        <f t="shared" si="21"/>
        <v>3.5</v>
      </c>
      <c r="H70" s="227">
        <f t="shared" si="21"/>
        <v>4.5</v>
      </c>
      <c r="I70" s="227">
        <f t="shared" si="21"/>
        <v>5.5</v>
      </c>
      <c r="J70" s="227">
        <f t="shared" si="21"/>
        <v>6.5</v>
      </c>
      <c r="K70" s="227">
        <f t="shared" si="21"/>
        <v>7.5</v>
      </c>
      <c r="L70" s="227">
        <f t="shared" si="21"/>
        <v>8.5</v>
      </c>
      <c r="M70" s="227">
        <f t="shared" si="21"/>
        <v>9.5</v>
      </c>
      <c r="N70" s="227">
        <f t="shared" si="21"/>
        <v>10.5</v>
      </c>
      <c r="O70" s="227">
        <f t="shared" si="21"/>
        <v>11.5</v>
      </c>
      <c r="P70" s="227">
        <f t="shared" si="21"/>
        <v>12.5</v>
      </c>
      <c r="Q70" s="227">
        <f t="shared" si="21"/>
        <v>13.5</v>
      </c>
      <c r="R70" s="227">
        <f t="shared" si="21"/>
        <v>14.5</v>
      </c>
      <c r="S70" s="227">
        <f t="shared" si="21"/>
        <v>15.5</v>
      </c>
      <c r="T70" s="227">
        <f t="shared" si="21"/>
        <v>16.5</v>
      </c>
      <c r="U70" s="227">
        <f t="shared" si="21"/>
        <v>17.5</v>
      </c>
      <c r="V70" s="227">
        <f t="shared" si="21"/>
        <v>18.5</v>
      </c>
      <c r="W70" s="227">
        <f t="shared" si="21"/>
        <v>19.5</v>
      </c>
      <c r="X70" s="227">
        <f t="shared" si="21"/>
        <v>20.5</v>
      </c>
      <c r="Y70" s="227">
        <f t="shared" si="21"/>
        <v>21.5</v>
      </c>
      <c r="Z70" s="227">
        <f t="shared" si="21"/>
        <v>22.5</v>
      </c>
      <c r="AA70" s="227">
        <f t="shared" si="21"/>
        <v>23.5</v>
      </c>
      <c r="AB70" s="227">
        <f t="shared" si="21"/>
        <v>24.5</v>
      </c>
      <c r="AC70" s="227">
        <f t="shared" si="21"/>
        <v>25.5</v>
      </c>
      <c r="AD70" s="227">
        <f t="shared" si="21"/>
        <v>26.5</v>
      </c>
      <c r="AE70" s="227">
        <f t="shared" si="21"/>
        <v>27.5</v>
      </c>
    </row>
    <row r="71" spans="1:33" x14ac:dyDescent="0.2">
      <c r="A71" s="191" t="s">
        <v>289</v>
      </c>
      <c r="B71" s="185">
        <f>B54</f>
        <v>1</v>
      </c>
      <c r="C71" s="185">
        <f t="shared" ref="C71:AB71" si="22">C54</f>
        <v>2</v>
      </c>
      <c r="D71" s="185">
        <f t="shared" si="22"/>
        <v>3</v>
      </c>
      <c r="E71" s="185">
        <f t="shared" si="22"/>
        <v>4</v>
      </c>
      <c r="F71" s="185">
        <f t="shared" si="22"/>
        <v>5</v>
      </c>
      <c r="G71" s="185">
        <f t="shared" si="22"/>
        <v>6</v>
      </c>
      <c r="H71" s="185">
        <f t="shared" si="22"/>
        <v>7</v>
      </c>
      <c r="I71" s="185">
        <f t="shared" si="22"/>
        <v>8</v>
      </c>
      <c r="J71" s="185">
        <f t="shared" si="22"/>
        <v>9</v>
      </c>
      <c r="K71" s="185">
        <f t="shared" si="22"/>
        <v>10</v>
      </c>
      <c r="L71" s="185">
        <f t="shared" si="22"/>
        <v>11</v>
      </c>
      <c r="M71" s="185">
        <f t="shared" si="22"/>
        <v>12</v>
      </c>
      <c r="N71" s="185">
        <f t="shared" si="22"/>
        <v>13</v>
      </c>
      <c r="O71" s="185">
        <f t="shared" si="22"/>
        <v>14</v>
      </c>
      <c r="P71" s="185">
        <f t="shared" si="22"/>
        <v>15</v>
      </c>
      <c r="Q71" s="185">
        <f t="shared" si="22"/>
        <v>16</v>
      </c>
      <c r="R71" s="185">
        <f t="shared" si="22"/>
        <v>17</v>
      </c>
      <c r="S71" s="185">
        <f t="shared" si="22"/>
        <v>18</v>
      </c>
      <c r="T71" s="185">
        <f t="shared" si="22"/>
        <v>19</v>
      </c>
      <c r="U71" s="185">
        <f t="shared" si="22"/>
        <v>20</v>
      </c>
      <c r="V71" s="185">
        <f t="shared" si="22"/>
        <v>21</v>
      </c>
      <c r="W71" s="185">
        <f t="shared" si="22"/>
        <v>22</v>
      </c>
      <c r="X71" s="185">
        <f t="shared" si="22"/>
        <v>23</v>
      </c>
      <c r="Y71" s="185">
        <f t="shared" si="22"/>
        <v>24</v>
      </c>
      <c r="Z71" s="185">
        <f t="shared" si="22"/>
        <v>25</v>
      </c>
      <c r="AA71" s="185">
        <f t="shared" si="22"/>
        <v>26</v>
      </c>
      <c r="AB71" s="185">
        <f t="shared" si="22"/>
        <v>27</v>
      </c>
      <c r="AC71" s="185">
        <f>AC54</f>
        <v>28</v>
      </c>
      <c r="AD71" s="185">
        <f>AD54</f>
        <v>29</v>
      </c>
      <c r="AE71" s="185">
        <f>AE54</f>
        <v>30</v>
      </c>
    </row>
    <row r="72" spans="1:33" ht="14.25" x14ac:dyDescent="0.2">
      <c r="A72" s="195" t="s">
        <v>499</v>
      </c>
      <c r="B72" s="196">
        <f t="shared" ref="B72:AB72" si="23">B65</f>
        <v>0</v>
      </c>
      <c r="C72" s="196">
        <f t="shared" si="23"/>
        <v>-0.05</v>
      </c>
      <c r="D72" s="196">
        <f>D65</f>
        <v>0</v>
      </c>
      <c r="E72" s="196">
        <f t="shared" si="23"/>
        <v>268969999.94999999</v>
      </c>
      <c r="F72" s="196">
        <f t="shared" si="23"/>
        <v>35029999.950000003</v>
      </c>
      <c r="G72" s="196">
        <f t="shared" si="23"/>
        <v>-77193.716638401151</v>
      </c>
      <c r="H72" s="196">
        <f t="shared" si="23"/>
        <v>3773260.1650136374</v>
      </c>
      <c r="I72" s="196">
        <f t="shared" si="23"/>
        <v>7002146.7231374905</v>
      </c>
      <c r="J72" s="196">
        <f t="shared" si="23"/>
        <v>11921650.904645447</v>
      </c>
      <c r="K72" s="196">
        <f t="shared" si="23"/>
        <v>12957146.265757162</v>
      </c>
      <c r="L72" s="196">
        <f t="shared" si="23"/>
        <v>13152701.854257882</v>
      </c>
      <c r="M72" s="196">
        <f t="shared" si="23"/>
        <v>15063992.472119763</v>
      </c>
      <c r="N72" s="196">
        <f t="shared" si="23"/>
        <v>14053222.513196234</v>
      </c>
      <c r="O72" s="196">
        <f t="shared" si="23"/>
        <v>16192492.368626215</v>
      </c>
      <c r="P72" s="196">
        <f t="shared" si="23"/>
        <v>17946385.827077597</v>
      </c>
      <c r="Q72" s="196">
        <f t="shared" si="23"/>
        <v>18685722.031619139</v>
      </c>
      <c r="R72" s="196">
        <f t="shared" si="23"/>
        <v>18483145.40701507</v>
      </c>
      <c r="S72" s="196">
        <f t="shared" si="23"/>
        <v>20209050.34745656</v>
      </c>
      <c r="T72" s="196">
        <f t="shared" si="23"/>
        <v>20993639.842405684</v>
      </c>
      <c r="U72" s="196">
        <f t="shared" si="23"/>
        <v>20778663.90776284</v>
      </c>
      <c r="V72" s="196">
        <f t="shared" si="23"/>
        <v>19158333.491529621</v>
      </c>
      <c r="W72" s="196">
        <f t="shared" si="23"/>
        <v>23442820.686554849</v>
      </c>
      <c r="X72" s="196">
        <f t="shared" si="23"/>
        <v>23214686.504904389</v>
      </c>
      <c r="Y72" s="196">
        <f t="shared" si="23"/>
        <v>25158335.788051665</v>
      </c>
      <c r="Z72" s="196">
        <f t="shared" si="23"/>
        <v>26041910.991812699</v>
      </c>
      <c r="AA72" s="196">
        <f t="shared" si="23"/>
        <v>25799813.173171774</v>
      </c>
      <c r="AB72" s="196">
        <f t="shared" si="23"/>
        <v>27862429.341641925</v>
      </c>
      <c r="AC72" s="196">
        <f>AC65</f>
        <v>28800086.416474767</v>
      </c>
      <c r="AD72" s="196">
        <f>AD65</f>
        <v>24498749.080371164</v>
      </c>
      <c r="AE72" s="196">
        <f>AE65</f>
        <v>30732035.053460352</v>
      </c>
    </row>
    <row r="73" spans="1:33" x14ac:dyDescent="0.2">
      <c r="A73" s="197" t="s">
        <v>288</v>
      </c>
      <c r="B73" s="192">
        <f t="shared" ref="B73:AB73" si="24">-B64</f>
        <v>0</v>
      </c>
      <c r="C73" s="192">
        <f t="shared" si="24"/>
        <v>0</v>
      </c>
      <c r="D73" s="192">
        <f t="shared" si="24"/>
        <v>0</v>
      </c>
      <c r="E73" s="192">
        <f t="shared" si="24"/>
        <v>0</v>
      </c>
      <c r="F73" s="192">
        <f t="shared" si="24"/>
        <v>0</v>
      </c>
      <c r="G73" s="192">
        <f t="shared" si="24"/>
        <v>19020424.399999999</v>
      </c>
      <c r="H73" s="192">
        <f t="shared" si="24"/>
        <v>19020424.399999999</v>
      </c>
      <c r="I73" s="192">
        <f t="shared" si="24"/>
        <v>19020424.399999999</v>
      </c>
      <c r="J73" s="192">
        <f t="shared" si="24"/>
        <v>19020424.399999999</v>
      </c>
      <c r="K73" s="192">
        <f t="shared" si="24"/>
        <v>19020424.399999999</v>
      </c>
      <c r="L73" s="192">
        <f>-L64</f>
        <v>19020424.399999999</v>
      </c>
      <c r="M73" s="192">
        <f>-M64</f>
        <v>19020424.399999999</v>
      </c>
      <c r="N73" s="192">
        <f t="shared" si="24"/>
        <v>19020424.399999999</v>
      </c>
      <c r="O73" s="192">
        <f t="shared" si="24"/>
        <v>19020424.399999999</v>
      </c>
      <c r="P73" s="192">
        <f t="shared" si="24"/>
        <v>19020424.399999999</v>
      </c>
      <c r="Q73" s="192">
        <f t="shared" si="24"/>
        <v>19020424.399999999</v>
      </c>
      <c r="R73" s="192">
        <f t="shared" si="24"/>
        <v>19020424.399999999</v>
      </c>
      <c r="S73" s="192">
        <f t="shared" si="24"/>
        <v>19020424.399999999</v>
      </c>
      <c r="T73" s="192">
        <f t="shared" si="24"/>
        <v>19020424.399999999</v>
      </c>
      <c r="U73" s="192">
        <f t="shared" si="24"/>
        <v>19020424.399999999</v>
      </c>
      <c r="V73" s="192">
        <f t="shared" si="24"/>
        <v>19020424.399999999</v>
      </c>
      <c r="W73" s="192">
        <f t="shared" si="24"/>
        <v>19020424.399999999</v>
      </c>
      <c r="X73" s="192">
        <f t="shared" si="24"/>
        <v>19020424.399999999</v>
      </c>
      <c r="Y73" s="192">
        <f t="shared" si="24"/>
        <v>19020424.399999999</v>
      </c>
      <c r="Z73" s="192">
        <f t="shared" si="24"/>
        <v>19020424.399999999</v>
      </c>
      <c r="AA73" s="192">
        <f t="shared" si="24"/>
        <v>19020424.399999999</v>
      </c>
      <c r="AB73" s="192">
        <f t="shared" si="24"/>
        <v>19020424.399999999</v>
      </c>
      <c r="AC73" s="192">
        <f>-AC64</f>
        <v>19020424.399999999</v>
      </c>
      <c r="AD73" s="192">
        <f>-AD64</f>
        <v>19020424.399999999</v>
      </c>
      <c r="AE73" s="192">
        <f>-AE64</f>
        <v>19020424.399999999</v>
      </c>
    </row>
    <row r="74" spans="1:33" x14ac:dyDescent="0.2">
      <c r="A74" s="197" t="s">
        <v>287</v>
      </c>
      <c r="B74" s="192">
        <f t="shared" ref="B74:AB74" si="25">B66</f>
        <v>0</v>
      </c>
      <c r="C74" s="192">
        <f t="shared" si="25"/>
        <v>0</v>
      </c>
      <c r="D74" s="192">
        <f t="shared" si="25"/>
        <v>0</v>
      </c>
      <c r="E74" s="192">
        <f t="shared" si="25"/>
        <v>0</v>
      </c>
      <c r="F74" s="192">
        <f t="shared" si="25"/>
        <v>0</v>
      </c>
      <c r="G74" s="192">
        <f t="shared" si="25"/>
        <v>0</v>
      </c>
      <c r="H74" s="192">
        <f t="shared" si="25"/>
        <v>0</v>
      </c>
      <c r="I74" s="192">
        <f t="shared" si="25"/>
        <v>0</v>
      </c>
      <c r="J74" s="192">
        <f t="shared" si="25"/>
        <v>0</v>
      </c>
      <c r="K74" s="192">
        <f t="shared" si="25"/>
        <v>0</v>
      </c>
      <c r="L74" s="192">
        <f t="shared" si="25"/>
        <v>0</v>
      </c>
      <c r="M74" s="192">
        <f t="shared" si="25"/>
        <v>0</v>
      </c>
      <c r="N74" s="192">
        <f t="shared" si="25"/>
        <v>0</v>
      </c>
      <c r="O74" s="192">
        <f t="shared" si="25"/>
        <v>0</v>
      </c>
      <c r="P74" s="192">
        <f t="shared" si="25"/>
        <v>0</v>
      </c>
      <c r="Q74" s="192">
        <f t="shared" si="25"/>
        <v>0</v>
      </c>
      <c r="R74" s="192">
        <f t="shared" si="25"/>
        <v>0</v>
      </c>
      <c r="S74" s="192">
        <f t="shared" si="25"/>
        <v>0</v>
      </c>
      <c r="T74" s="192">
        <f t="shared" si="25"/>
        <v>0</v>
      </c>
      <c r="U74" s="192">
        <f t="shared" si="25"/>
        <v>0</v>
      </c>
      <c r="V74" s="192">
        <f t="shared" si="25"/>
        <v>0</v>
      </c>
      <c r="W74" s="192">
        <f t="shared" si="25"/>
        <v>0</v>
      </c>
      <c r="X74" s="192">
        <f t="shared" si="25"/>
        <v>0</v>
      </c>
      <c r="Y74" s="192">
        <f t="shared" si="25"/>
        <v>0</v>
      </c>
      <c r="Z74" s="192">
        <f t="shared" si="25"/>
        <v>0</v>
      </c>
      <c r="AA74" s="192">
        <f t="shared" si="25"/>
        <v>0</v>
      </c>
      <c r="AB74" s="192">
        <f t="shared" si="25"/>
        <v>0</v>
      </c>
      <c r="AC74" s="192">
        <f>AC66</f>
        <v>0</v>
      </c>
      <c r="AD74" s="192">
        <f>AD66</f>
        <v>0</v>
      </c>
      <c r="AE74" s="192">
        <f>AE66</f>
        <v>0</v>
      </c>
    </row>
    <row r="75" spans="1:33" x14ac:dyDescent="0.2">
      <c r="A75" s="197" t="s">
        <v>286</v>
      </c>
      <c r="B75" s="192">
        <f>IF(SUM($B$68:B68)+SUM($A$75:A75)&gt;0,0,SUM($B$68:B68)-SUM($A$75:A75))</f>
        <v>0</v>
      </c>
      <c r="C75" s="192">
        <f>IF(SUM($B$68:C68)+SUM($A$75:B75)&gt;0,0,SUM($B$68:C68)-SUM($A$75:B75))</f>
        <v>0</v>
      </c>
      <c r="D75" s="192">
        <f>IF(SUM($B$68:D68)+SUM($A$75:C75)&gt;0,0,SUM($B$68:D68)-SUM($A$75:C75))</f>
        <v>0</v>
      </c>
      <c r="E75" s="192">
        <f>IF(SUM($B$68:E68)+SUM($A$75:D75)&gt;0,0,SUM($B$68:E68)-SUM($A$75:D75))</f>
        <v>-53793999.980000004</v>
      </c>
      <c r="F75" s="192">
        <f>IF(SUM($B$68:F68)+SUM($A$75:E75)&gt;0,0,SUM($B$68:F68)-SUM($A$75:E75))</f>
        <v>-7005999.9900000021</v>
      </c>
      <c r="G75" s="192">
        <f>IF(SUM($B$68:G68)+SUM($A$75:F75)&gt;0,0,SUM($B$68:G68)-SUM($A$75:F75))</f>
        <v>15438.74332767725</v>
      </c>
      <c r="H75" s="192">
        <f>IF(SUM($B$68:H68)+SUM($A$75:G75)&gt;0,0,SUM($B$68:H68)-SUM($A$75:G75))</f>
        <v>-754652.03300272673</v>
      </c>
      <c r="I75" s="192">
        <f>IF(SUM($B$68:I68)+SUM($A$75:H75)&gt;0,0,SUM($B$68:I68)-SUM($A$75:H75))</f>
        <v>-1400429.3446274996</v>
      </c>
      <c r="J75" s="192">
        <f>IF(SUM($B$68:J68)+SUM($A$75:I75)&gt;0,0,SUM($B$68:J68)-SUM($A$75:I75))</f>
        <v>-2384330.1809290871</v>
      </c>
      <c r="K75" s="192">
        <f>IF(SUM($B$68:K68)+SUM($A$75:J75)&gt;0,0,SUM($B$68:K68)-SUM($A$75:J75))</f>
        <v>-2591429.2531514391</v>
      </c>
      <c r="L75" s="192">
        <f>IF(SUM($B$68:L68)+SUM($A$75:K75)&gt;0,0,SUM($B$68:L68)-SUM($A$75:K75))</f>
        <v>-2630540.3708515763</v>
      </c>
      <c r="M75" s="192">
        <f>IF(SUM($B$68:M68)+SUM($A$75:L75)&gt;0,0,SUM($B$68:M68)-SUM($A$75:L75))</f>
        <v>-3012798.4944239557</v>
      </c>
      <c r="N75" s="192">
        <f>IF(SUM($B$68:N68)+SUM($A$75:M75)&gt;0,0,SUM($B$68:N68)-SUM($A$75:M75))</f>
        <v>-2810644.502639249</v>
      </c>
      <c r="O75" s="192">
        <f>IF(SUM($B$68:O68)+SUM($A$75:N75)&gt;0,0,SUM($B$68:O68)-SUM($A$75:N75))</f>
        <v>-3238498.4737252444</v>
      </c>
      <c r="P75" s="192">
        <f>IF(SUM($B$68:P68)+SUM($A$75:O75)&gt;0,0,SUM($B$68:P68)-SUM($A$75:O75))</f>
        <v>-3589277.1654155254</v>
      </c>
      <c r="Q75" s="192">
        <f>IF(SUM($B$68:Q68)+SUM($A$75:P75)&gt;0,0,SUM($B$68:Q68)-SUM($A$75:P75))</f>
        <v>-3737144.4063238353</v>
      </c>
      <c r="R75" s="192">
        <f>IF(SUM($B$68:R68)+SUM($A$75:Q75)&gt;0,0,SUM($B$68:R68)-SUM($A$75:Q75))</f>
        <v>-3696629.081403017</v>
      </c>
      <c r="S75" s="192">
        <f>IF(SUM($B$68:S68)+SUM($A$75:R75)&gt;0,0,SUM($B$68:S68)-SUM($A$75:R75))</f>
        <v>-4041810.0694913119</v>
      </c>
      <c r="T75" s="192">
        <f>IF(SUM($B$68:T68)+SUM($A$75:S75)&gt;0,0,SUM($B$68:T68)-SUM($A$75:S75))</f>
        <v>-4198727.9684811383</v>
      </c>
      <c r="U75" s="192">
        <f>IF(SUM($B$68:U68)+SUM($A$75:T75)&gt;0,0,SUM($B$68:U68)-SUM($A$75:T75))</f>
        <v>-4155732.7815525681</v>
      </c>
      <c r="V75" s="192">
        <f>IF(SUM($B$68:V68)+SUM($A$75:U75)&gt;0,0,SUM($B$68:V68)-SUM($A$75:U75))</f>
        <v>-3831666.6983059198</v>
      </c>
      <c r="W75" s="192">
        <f>IF(SUM($B$68:W68)+SUM($A$75:V75)&gt;0,0,SUM($B$68:W68)-SUM($A$75:V75))</f>
        <v>-4688564.1373109668</v>
      </c>
      <c r="X75" s="192">
        <f>IF(SUM($B$68:X68)+SUM($A$75:W75)&gt;0,0,SUM($B$68:X68)-SUM($A$75:W75))</f>
        <v>-4642937.3009808809</v>
      </c>
      <c r="Y75" s="192">
        <f>IF(SUM($B$68:Y68)+SUM($A$75:X75)&gt;0,0,SUM($B$68:Y68)-SUM($A$75:X75))</f>
        <v>-5031667.157610327</v>
      </c>
      <c r="Z75" s="192">
        <f>IF(SUM($B$68:Z68)+SUM($A$75:Y75)&gt;0,0,SUM($B$68:Z68)-SUM($A$75:Y75))</f>
        <v>-5208382.1983625442</v>
      </c>
      <c r="AA75" s="192">
        <f>IF(SUM($B$68:AA68)+SUM($A$75:Z75)&gt;0,0,SUM($B$68:AA68)-SUM($A$75:Z75))</f>
        <v>-5159962.6346343607</v>
      </c>
      <c r="AB75" s="192">
        <f>IF(SUM($B$68:AB68)+SUM($A$75:AA75)&gt;0,0,SUM($B$68:AB68)-SUM($A$75:AA75))</f>
        <v>-5572485.8683283925</v>
      </c>
      <c r="AC75" s="192">
        <f>IF(SUM($B$68:AC68)+SUM($A$75:AB75)&gt;0,0,SUM($B$68:AC68)-SUM($A$75:AB75))</f>
        <v>-5760017.283294946</v>
      </c>
      <c r="AD75" s="192">
        <f>IF(SUM($B$68:AD68)+SUM($A$75:AC75)&gt;0,0,SUM($B$68:AD68)-SUM($A$75:AC75))</f>
        <v>-4899749.8160742223</v>
      </c>
      <c r="AE75" s="192">
        <f>IF(SUM($B$68:AE68)+SUM($A$75:AD75)&gt;0,0,SUM($B$68:AE68)-SUM($A$75:AD75))</f>
        <v>-6146407.01069206</v>
      </c>
    </row>
    <row r="76" spans="1:33" x14ac:dyDescent="0.2">
      <c r="A76" s="197" t="s">
        <v>285</v>
      </c>
      <c r="B76" s="192">
        <f>IF(((SUM($B$55:B55)+SUM($B$57:B61))+SUM($B$78:B78))&lt;0,((SUM($B$55:B55)+SUM($B$57:B61))+SUM($B$78:B78))*0.18-SUM($A$76:A76),IF(SUM(A$76:$B76)&lt;0,0-SUM(A$76:$B76),0))</f>
        <v>-11700</v>
      </c>
      <c r="C76" s="192">
        <f>IF(((SUM($B$55:C55)+SUM($B$57:C61))+SUM($B$78:C78))&lt;0,((SUM($B$55:C55)+SUM($B$57:C61))+SUM($B$78:C78))*0.18-SUM($A$76:B76),IF(SUM($B$76:B76)&lt;0,0-SUM($B$76:B76),0))</f>
        <v>-121338.00899999999</v>
      </c>
      <c r="D76" s="192">
        <f>IF(((SUM($B$55:D55)+SUM($B$57:D61))+SUM($B$78:D78))&lt;0,((SUM($B$55:D55)+SUM($B$57:D61))+SUM($B$78:D78))*0.18-SUM($A$76:C76),IF(SUM($B$76:C76)&lt;0,0-SUM($B$76:C76),0))</f>
        <v>-1821801.8687040003</v>
      </c>
      <c r="E76" s="192">
        <f>IF(((SUM($B$55:E55)+SUM($B$57:E61))+SUM($B$78:E78))&lt;0,((SUM($B$55:E55)+SUM($B$57:E61))+SUM($B$78:E78))*0.18-SUM($A$76:D76),IF(SUM($B$76:D76)&lt;0,0-SUM($B$76:D76),0))</f>
        <v>-2451528.0090000033</v>
      </c>
      <c r="F76" s="192">
        <f>IF(((SUM($B$55:F55)+SUM($B$57:F61))+SUM($B$78:F78))&lt;0,((SUM($B$55:F55)+SUM($B$57:F61))+SUM($B$78:F78))*0.18-SUM($A$76:E76),IF(SUM($B$76:E76)&lt;0,0-SUM($B$76:E76),0))</f>
        <v>-1715857.2090000026</v>
      </c>
      <c r="G76" s="192">
        <f>IF(((SUM($B$55:G55)+SUM($B$57:G61))+SUM($B$78:G78))&lt;0,((SUM($B$55:G55)+SUM($B$57:G61))+SUM($B$78:G78))*0.18-SUM($A$76:F76),IF(SUM($B$76:F76)&lt;0,0-SUM($B$76:F76),0))</f>
        <v>3409781.5230050865</v>
      </c>
      <c r="H76" s="192">
        <f>IF(((SUM($B$55:H55)+SUM($B$57:H61))+SUM($B$78:H78))&lt;0,((SUM($B$55:H55)+SUM($B$57:H61))+SUM($B$78:H78))*0.18-SUM($A$76:G76),IF(SUM($B$76:G76)&lt;0,0-SUM($B$76:G76),0))</f>
        <v>2712443.5726989196</v>
      </c>
      <c r="I76" s="192">
        <f>IF(((SUM($B$55:I55)+SUM($B$57:I61))+SUM($B$78:I78))&lt;0,((SUM($B$55:I55)+SUM($B$57:I61))+SUM($B$78:I78))*0.18-SUM($A$76:H76),IF(SUM($B$76:H76)&lt;0,0-SUM($B$76:H76),0))</f>
        <v>0</v>
      </c>
      <c r="J76" s="192">
        <f>IF(((SUM($B$55:J55)+SUM($B$57:J61))+SUM($B$78:J78))&lt;0,((SUM($B$55:J55)+SUM($B$57:J61))+SUM($B$78:J78))*0.18-SUM($A$76:I76),IF(SUM($B$76:I76)&lt;0,0-SUM($B$76:I76),0))</f>
        <v>0</v>
      </c>
      <c r="K76" s="192">
        <f>IF(((SUM($B$55:K55)+SUM($B$57:K61))+SUM($B$78:K78))&lt;0,((SUM($B$55:K55)+SUM($B$57:K61))+SUM($B$78:K78))*0.18-SUM($A$76:J76),IF(SUM($B$76:J76)&lt;0,0-SUM($B$76:J76),0))</f>
        <v>0</v>
      </c>
      <c r="L76" s="192">
        <f>IF(((SUM($B$55:L55)+SUM($B$57:L61))+SUM($B$78:L78))&lt;0,((SUM($B$55:L55)+SUM($B$57:L61))+SUM($B$78:L78))*0.18-SUM($A$76:K76),IF(SUM($B$76:K76)&lt;0,0-SUM($B$76:K76),0))</f>
        <v>0</v>
      </c>
      <c r="M76" s="192">
        <f>IF(((SUM($B$55:M55)+SUM($B$57:M61))+SUM($B$78:M78))&lt;0,((SUM($B$55:M55)+SUM($B$57:M61))+SUM($B$78:M78))*0.18-SUM($A$76:L76),IF(SUM($B$76:L76)&lt;0,0-SUM($B$76:L76),0))</f>
        <v>0</v>
      </c>
      <c r="N76" s="192">
        <f>IF(((SUM($B$55:N55)+SUM($B$57:N61))+SUM($B$78:N78))&lt;0,((SUM($B$55:N55)+SUM($B$57:N61))+SUM($B$78:N78))*0.18-SUM($A$76:M76),IF(SUM($B$76:M76)&lt;0,0-SUM($B$76:M76),0))</f>
        <v>0</v>
      </c>
      <c r="O76" s="192">
        <f>IF(((SUM($B$55:O55)+SUM($B$57:O61))+SUM($B$78:O78))&lt;0,((SUM($B$55:O55)+SUM($B$57:O61))+SUM($B$78:O78))*0.18-SUM($A$76:N76),IF(SUM($B$76:N76)&lt;0,0-SUM($B$76:N76),0))</f>
        <v>0</v>
      </c>
      <c r="P76" s="192">
        <f>IF(((SUM($B$55:P55)+SUM($B$57:P61))+SUM($B$78:P78))&lt;0,((SUM($B$55:P55)+SUM($B$57:P61))+SUM($B$78:P78))*0.18-SUM($A$76:O76),IF(SUM($B$76:O76)&lt;0,0-SUM($B$76:O76),0))</f>
        <v>0</v>
      </c>
      <c r="Q76" s="192">
        <f>IF(((SUM($B$55:Q55)+SUM($B$57:Q61))+SUM($B$78:Q78))&lt;0,((SUM($B$55:Q55)+SUM($B$57:Q61))+SUM($B$78:Q78))*0.18-SUM($A$76:P76),IF(SUM($B$76:P76)&lt;0,0-SUM($B$76:P76),0))</f>
        <v>0</v>
      </c>
      <c r="R76" s="192">
        <f>IF(((SUM($B$55:R55)+SUM($B$57:R61))+SUM($B$78:R78))&lt;0,((SUM($B$55:R55)+SUM($B$57:R61))+SUM($B$78:R78))*0.18-SUM($A$76:Q76),IF(SUM($B$76:Q76)&lt;0,0-SUM($B$76:Q76),0))</f>
        <v>0</v>
      </c>
      <c r="S76" s="192">
        <f>IF(((SUM($B$55:S55)+SUM($B$57:S61))+SUM($B$78:S78))&lt;0,((SUM($B$55:S55)+SUM($B$57:S61))+SUM($B$78:S78))*0.18-SUM($A$76:R76),IF(SUM($B$76:R76)&lt;0,0-SUM($B$76:R76),0))</f>
        <v>0</v>
      </c>
      <c r="T76" s="192">
        <f>IF(((SUM($B$55:T55)+SUM($B$57:T61))+SUM($B$78:T78))&lt;0,((SUM($B$55:T55)+SUM($B$57:T61))+SUM($B$78:T78))*0.18-SUM($A$76:S76),IF(SUM($B$76:S76)&lt;0,0-SUM($B$76:S76),0))</f>
        <v>0</v>
      </c>
      <c r="U76" s="192">
        <f>IF(((SUM($B$55:U55)+SUM($B$57:U61))+SUM($B$78:U78))&lt;0,((SUM($B$55:U55)+SUM($B$57:U61))+SUM($B$78:U78))*0.18-SUM($A$76:T76),IF(SUM($B$76:T76)&lt;0,0-SUM($B$76:T76),0))</f>
        <v>0</v>
      </c>
      <c r="V76" s="192">
        <f>IF(((SUM($B$55:V55)+SUM($B$57:V61))+SUM($B$78:V78))&lt;0,((SUM($B$55:V55)+SUM($B$57:V61))+SUM($B$78:V78))*0.18-SUM($A$76:U76),IF(SUM($B$76:U76)&lt;0,0-SUM($B$76:U76),0))</f>
        <v>0</v>
      </c>
      <c r="W76" s="192">
        <f>IF(((SUM($B$55:W55)+SUM($B$57:W61))+SUM($B$78:W78))&lt;0,((SUM($B$55:W55)+SUM($B$57:W61))+SUM($B$78:W78))*0.18-SUM($A$76:V76),IF(SUM($B$76:V76)&lt;0,0-SUM($B$76:V76),0))</f>
        <v>0</v>
      </c>
      <c r="X76" s="192">
        <f>IF(((SUM($B$55:X55)+SUM($B$57:X61))+SUM($B$78:X78))&lt;0,((SUM($B$55:X55)+SUM($B$57:X61))+SUM($B$78:X78))*0.18-SUM($A$76:W76),IF(SUM($B$76:W76)&lt;0,0-SUM($B$76:W76),0))</f>
        <v>0</v>
      </c>
      <c r="Y76" s="192">
        <f>IF(((SUM($B$55:Y55)+SUM($B$57:Y61))+SUM($B$78:Y78))&lt;0,((SUM($B$55:Y55)+SUM($B$57:Y61))+SUM($B$78:Y78))*0.18-SUM($A$76:X76),IF(SUM($B$76:X76)&lt;0,0-SUM($B$76:X76),0))</f>
        <v>0</v>
      </c>
      <c r="Z76" s="192">
        <f>IF(((SUM($B$55:Z55)+SUM($B$57:Z61))+SUM($B$78:Z78))&lt;0,((SUM($B$55:Z55)+SUM($B$57:Z61))+SUM($B$78:Z78))*0.18-SUM($A$76:Y76),IF(SUM($B$76:Y76)&lt;0,0-SUM($B$76:Y76),0))</f>
        <v>0</v>
      </c>
      <c r="AA76" s="192">
        <f>IF(((SUM($B$55:AA55)+SUM($B$57:AA61))+SUM($B$78:AA78))&lt;0,((SUM($B$55:AA55)+SUM($B$57:AA61))+SUM($B$78:AA78))*0.18-SUM($A$76:Z76),IF(SUM($B$76:Z76)&lt;0,0-SUM($B$76:Z76),0))</f>
        <v>0</v>
      </c>
      <c r="AB76" s="192">
        <f>IF(((SUM($B$55:AB55)+SUM($B$57:AB61))+SUM($B$78:AB78))&lt;0,((SUM($B$55:AB55)+SUM($B$57:AB61))+SUM($B$78:AB78))*0.18-SUM($A$76:AA76),IF(SUM($B$76:AA76)&lt;0,0-SUM($B$76:AA76),0))</f>
        <v>0</v>
      </c>
      <c r="AC76" s="192">
        <f>IF(((SUM($B$55:AC55)+SUM($B$57:AC61))+SUM($B$78:AC78))&lt;0,((SUM($B$55:AC55)+SUM($B$57:AC61))+SUM($B$78:AC78))*0.18-SUM($A$76:AB76),IF(SUM($B$76:AB76)&lt;0,0-SUM($B$76:AB76),0))</f>
        <v>0</v>
      </c>
      <c r="AD76" s="192">
        <f>IF(((SUM($B$55:AD55)+SUM($B$57:AD61))+SUM($B$78:AD78))&lt;0,((SUM($B$55:AD55)+SUM($B$57:AD61))+SUM($B$78:AD78))*0.18-SUM($A$76:AC76),IF(SUM($B$76:AC76)&lt;0,0-SUM($B$76:AC76),0))</f>
        <v>0</v>
      </c>
      <c r="AE76" s="192">
        <f>IF(((SUM($B$55:AE55)+SUM($B$57:AE61))+SUM($B$78:AE78))&lt;0,((SUM($B$55:AE55)+SUM($B$57:AE61))+SUM($B$78:AE78))*0.18-SUM($A$76:AD76),IF(SUM($B$76:AD76)&lt;0,0-SUM($B$76:AD76),0))</f>
        <v>0</v>
      </c>
    </row>
    <row r="77" spans="1:33" x14ac:dyDescent="0.2">
      <c r="A77" s="197" t="s">
        <v>284</v>
      </c>
      <c r="B77" s="192">
        <f>-B55*(B35)</f>
        <v>0</v>
      </c>
      <c r="C77" s="192">
        <f>-(C55-B55)*$B$35</f>
        <v>4.4999999999999997E-3</v>
      </c>
      <c r="D77" s="192">
        <f>-(D55-C55)*$B$35</f>
        <v>-4.4999999999999997E-3</v>
      </c>
      <c r="E77" s="192">
        <f t="shared" ref="E77:AB77" si="26">-(E55-D55)*$B$35</f>
        <v>-24207299.995499998</v>
      </c>
      <c r="F77" s="192">
        <f t="shared" si="26"/>
        <v>21054600</v>
      </c>
      <c r="G77" s="192">
        <f t="shared" si="26"/>
        <v>1426038.5305956244</v>
      </c>
      <c r="H77" s="192">
        <f t="shared" si="26"/>
        <v>-347324.59467114921</v>
      </c>
      <c r="I77" s="192">
        <f t="shared" si="26"/>
        <v>-361150.1058407508</v>
      </c>
      <c r="J77" s="192">
        <f t="shared" si="26"/>
        <v>-373578.53643562697</v>
      </c>
      <c r="K77" s="192">
        <f t="shared" si="26"/>
        <v>-93840.636459767251</v>
      </c>
      <c r="L77" s="192">
        <f t="shared" si="26"/>
        <v>-93975.927812142894</v>
      </c>
      <c r="M77" s="192">
        <f t="shared" si="26"/>
        <v>-96934.665072370248</v>
      </c>
      <c r="N77" s="192">
        <f t="shared" si="26"/>
        <v>-93765.677189106558</v>
      </c>
      <c r="O77" s="192">
        <f t="shared" si="26"/>
        <v>-90113.223566976565</v>
      </c>
      <c r="P77" s="192">
        <f t="shared" si="26"/>
        <v>-77254.58079257347</v>
      </c>
      <c r="Q77" s="192">
        <f t="shared" si="26"/>
        <v>-67091.988254896176</v>
      </c>
      <c r="R77" s="192">
        <f t="shared" si="26"/>
        <v>-68433.828019995242</v>
      </c>
      <c r="S77" s="192">
        <f t="shared" si="26"/>
        <v>-69802.504580394481</v>
      </c>
      <c r="T77" s="192">
        <f t="shared" si="26"/>
        <v>-71198.554672002414</v>
      </c>
      <c r="U77" s="192">
        <f t="shared" si="26"/>
        <v>-72622.525765442391</v>
      </c>
      <c r="V77" s="192">
        <f t="shared" si="26"/>
        <v>-74074.976280751303</v>
      </c>
      <c r="W77" s="192">
        <f t="shared" si="26"/>
        <v>-75556.475806366507</v>
      </c>
      <c r="X77" s="192">
        <f t="shared" si="26"/>
        <v>-77067.605322493531</v>
      </c>
      <c r="Y77" s="192">
        <f t="shared" si="26"/>
        <v>-78608.957428943657</v>
      </c>
      <c r="Z77" s="192">
        <f t="shared" si="26"/>
        <v>-80181.136577522455</v>
      </c>
      <c r="AA77" s="192">
        <f t="shared" si="26"/>
        <v>-81784.759309072717</v>
      </c>
      <c r="AB77" s="192">
        <f t="shared" si="26"/>
        <v>-83420.454495254162</v>
      </c>
      <c r="AC77" s="192">
        <f>-(AC55-AB55)*$B$35</f>
        <v>-85088.863585159779</v>
      </c>
      <c r="AD77" s="192">
        <f>-(AD55-AC55)*$B$35</f>
        <v>-86790.64085686281</v>
      </c>
      <c r="AE77" s="192">
        <f>-(AE55-AD55)*$B$35</f>
        <v>-88526.453674000193</v>
      </c>
    </row>
    <row r="78" spans="1:33" x14ac:dyDescent="0.2">
      <c r="A78" s="197" t="s">
        <v>500</v>
      </c>
      <c r="B78" s="192">
        <v>-65000</v>
      </c>
      <c r="C78" s="192">
        <v>-674100</v>
      </c>
      <c r="D78" s="192">
        <v>-10121121.492800001</v>
      </c>
      <c r="E78" s="192">
        <v>-282589600</v>
      </c>
      <c r="F78" s="192">
        <v>-44562540</v>
      </c>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9">
        <f>SUM(B78:AE78)/1.18</f>
        <v>-286451153.80745763</v>
      </c>
      <c r="AG78" s="226">
        <f>AF78*1.18</f>
        <v>-338012361.4928</v>
      </c>
    </row>
    <row r="79" spans="1:33" x14ac:dyDescent="0.2">
      <c r="A79" s="197" t="s">
        <v>283</v>
      </c>
      <c r="B79" s="192">
        <f t="shared" ref="B79:AB79" si="27">B50-B51</f>
        <v>0</v>
      </c>
      <c r="C79" s="192">
        <f t="shared" si="27"/>
        <v>0</v>
      </c>
      <c r="D79" s="192">
        <f t="shared" si="27"/>
        <v>0</v>
      </c>
      <c r="E79" s="192">
        <f t="shared" si="27"/>
        <v>0</v>
      </c>
      <c r="F79" s="192">
        <f t="shared" si="27"/>
        <v>0</v>
      </c>
      <c r="G79" s="192">
        <f t="shared" si="27"/>
        <v>0</v>
      </c>
      <c r="H79" s="192">
        <f t="shared" si="27"/>
        <v>0</v>
      </c>
      <c r="I79" s="192">
        <f t="shared" si="27"/>
        <v>0</v>
      </c>
      <c r="J79" s="192">
        <f t="shared" si="27"/>
        <v>0</v>
      </c>
      <c r="K79" s="192">
        <f t="shared" si="27"/>
        <v>0</v>
      </c>
      <c r="L79" s="192">
        <f t="shared" si="27"/>
        <v>0</v>
      </c>
      <c r="M79" s="192">
        <f t="shared" si="27"/>
        <v>0</v>
      </c>
      <c r="N79" s="192">
        <f t="shared" si="27"/>
        <v>0</v>
      </c>
      <c r="O79" s="192">
        <f t="shared" si="27"/>
        <v>0</v>
      </c>
      <c r="P79" s="192">
        <f t="shared" si="27"/>
        <v>0</v>
      </c>
      <c r="Q79" s="192">
        <f t="shared" si="27"/>
        <v>0</v>
      </c>
      <c r="R79" s="192">
        <f t="shared" si="27"/>
        <v>0</v>
      </c>
      <c r="S79" s="192">
        <f t="shared" si="27"/>
        <v>0</v>
      </c>
      <c r="T79" s="192">
        <f t="shared" si="27"/>
        <v>0</v>
      </c>
      <c r="U79" s="192">
        <f t="shared" si="27"/>
        <v>0</v>
      </c>
      <c r="V79" s="192">
        <f t="shared" si="27"/>
        <v>0</v>
      </c>
      <c r="W79" s="192">
        <f t="shared" si="27"/>
        <v>0</v>
      </c>
      <c r="X79" s="192">
        <f t="shared" si="27"/>
        <v>0</v>
      </c>
      <c r="Y79" s="192">
        <f t="shared" si="27"/>
        <v>0</v>
      </c>
      <c r="Z79" s="192">
        <f t="shared" si="27"/>
        <v>0</v>
      </c>
      <c r="AA79" s="192">
        <f t="shared" si="27"/>
        <v>0</v>
      </c>
      <c r="AB79" s="192">
        <f t="shared" si="27"/>
        <v>0</v>
      </c>
      <c r="AC79" s="192">
        <f>AC50-AC51</f>
        <v>0</v>
      </c>
      <c r="AD79" s="192">
        <f>AD50-AD51</f>
        <v>0</v>
      </c>
      <c r="AE79" s="192">
        <f>AE50-AE51</f>
        <v>0</v>
      </c>
    </row>
    <row r="80" spans="1:33" ht="14.25" x14ac:dyDescent="0.2">
      <c r="A80" s="198" t="s">
        <v>282</v>
      </c>
      <c r="B80" s="196">
        <f>SUM(B72:B79)</f>
        <v>-76700</v>
      </c>
      <c r="C80" s="196">
        <f t="shared" ref="C80:V80" si="28">SUM(C72:C79)</f>
        <v>-795438.05449999997</v>
      </c>
      <c r="D80" s="196">
        <f t="shared" si="28"/>
        <v>-11942923.366004001</v>
      </c>
      <c r="E80" s="196">
        <f t="shared" si="28"/>
        <v>-94072428.034500033</v>
      </c>
      <c r="F80" s="196">
        <f t="shared" si="28"/>
        <v>2800202.751000002</v>
      </c>
      <c r="G80" s="196">
        <f t="shared" si="28"/>
        <v>23794489.480289984</v>
      </c>
      <c r="H80" s="196">
        <f>SUM(H72:H79)</f>
        <v>24404151.510038681</v>
      </c>
      <c r="I80" s="196">
        <f t="shared" si="28"/>
        <v>24260991.672669239</v>
      </c>
      <c r="J80" s="196">
        <f t="shared" si="28"/>
        <v>28184166.587280732</v>
      </c>
      <c r="K80" s="196">
        <f t="shared" si="28"/>
        <v>29292300.776145954</v>
      </c>
      <c r="L80" s="196">
        <f t="shared" si="28"/>
        <v>29448609.95559416</v>
      </c>
      <c r="M80" s="196">
        <f t="shared" si="28"/>
        <v>30974683.712623436</v>
      </c>
      <c r="N80" s="196">
        <f t="shared" si="28"/>
        <v>30169236.733367875</v>
      </c>
      <c r="O80" s="196">
        <f t="shared" si="28"/>
        <v>31884305.071333993</v>
      </c>
      <c r="P80" s="196">
        <f t="shared" si="28"/>
        <v>33300278.480869498</v>
      </c>
      <c r="Q80" s="196">
        <f t="shared" si="28"/>
        <v>33901910.037040405</v>
      </c>
      <c r="R80" s="196">
        <f t="shared" si="28"/>
        <v>33738506.897592053</v>
      </c>
      <c r="S80" s="196">
        <f t="shared" si="28"/>
        <v>35117862.173384853</v>
      </c>
      <c r="T80" s="196">
        <f t="shared" si="28"/>
        <v>35744137.719252542</v>
      </c>
      <c r="U80" s="196">
        <f t="shared" si="28"/>
        <v>35570733.000444829</v>
      </c>
      <c r="V80" s="196">
        <f t="shared" si="28"/>
        <v>34273016.216942951</v>
      </c>
      <c r="W80" s="196">
        <f t="shared" ref="W80:AB80" si="29">SUM(W72:W79)</f>
        <v>37699124.473437518</v>
      </c>
      <c r="X80" s="196">
        <f t="shared" si="29"/>
        <v>37515105.998601012</v>
      </c>
      <c r="Y80" s="196">
        <f t="shared" si="29"/>
        <v>39068484.073012389</v>
      </c>
      <c r="Z80" s="196">
        <f t="shared" si="29"/>
        <v>39773772.056872629</v>
      </c>
      <c r="AA80" s="196">
        <f t="shared" si="29"/>
        <v>39578490.179228336</v>
      </c>
      <c r="AB80" s="196">
        <f t="shared" si="29"/>
        <v>41226947.41881828</v>
      </c>
      <c r="AC80" s="196">
        <f>SUM(AC72:AC79)</f>
        <v>41975404.66959466</v>
      </c>
      <c r="AD80" s="196">
        <f>SUM(AD72:AD79)</f>
        <v>38532633.023440078</v>
      </c>
      <c r="AE80" s="196">
        <f>SUM(AE72:AE79)</f>
        <v>43517525.989094287</v>
      </c>
    </row>
    <row r="81" spans="1:36" ht="14.25" x14ac:dyDescent="0.2">
      <c r="A81" s="198" t="s">
        <v>501</v>
      </c>
      <c r="B81" s="196">
        <f>SUM($B$80:B80)</f>
        <v>-76700</v>
      </c>
      <c r="C81" s="196">
        <f>SUM($B$80:C80)</f>
        <v>-872138.05449999997</v>
      </c>
      <c r="D81" s="196">
        <f>SUM($B$80:D80)</f>
        <v>-12815061.420504002</v>
      </c>
      <c r="E81" s="196">
        <f>SUM($B$80:E80)</f>
        <v>-106887489.45500404</v>
      </c>
      <c r="F81" s="196">
        <f>SUM($B$80:F80)</f>
        <v>-104087286.70400403</v>
      </c>
      <c r="G81" s="196">
        <f>SUM($B$80:G80)</f>
        <v>-80292797.223714054</v>
      </c>
      <c r="H81" s="196">
        <f>SUM($B$80:H80)</f>
        <v>-55888645.713675372</v>
      </c>
      <c r="I81" s="196">
        <f>SUM($B$80:I80)</f>
        <v>-31627654.041006133</v>
      </c>
      <c r="J81" s="196">
        <f>SUM($B$80:J80)</f>
        <v>-3443487.4537254013</v>
      </c>
      <c r="K81" s="196">
        <f>SUM($B$80:K80)</f>
        <v>25848813.322420552</v>
      </c>
      <c r="L81" s="196">
        <f>SUM($B$80:L80)</f>
        <v>55297423.278014712</v>
      </c>
      <c r="M81" s="196">
        <f>SUM($B$80:M80)</f>
        <v>86272106.990638152</v>
      </c>
      <c r="N81" s="196">
        <f>SUM($B$80:N80)</f>
        <v>116441343.72400603</v>
      </c>
      <c r="O81" s="196">
        <f>SUM($B$80:O80)</f>
        <v>148325648.79534003</v>
      </c>
      <c r="P81" s="196">
        <f>SUM($B$80:P80)</f>
        <v>181625927.27620953</v>
      </c>
      <c r="Q81" s="196">
        <f>SUM($B$80:Q80)</f>
        <v>215527837.31324995</v>
      </c>
      <c r="R81" s="196">
        <f>SUM($B$80:R80)</f>
        <v>249266344.21084201</v>
      </c>
      <c r="S81" s="196">
        <f>SUM($B$80:S80)</f>
        <v>284384206.38422686</v>
      </c>
      <c r="T81" s="196">
        <f>SUM($B$80:T80)</f>
        <v>320128344.10347939</v>
      </c>
      <c r="U81" s="196">
        <f>SUM($B$80:U80)</f>
        <v>355699077.10392421</v>
      </c>
      <c r="V81" s="196">
        <f>SUM($B$80:V80)</f>
        <v>389972093.32086718</v>
      </c>
      <c r="W81" s="196">
        <f>SUM($B$80:W80)</f>
        <v>427671217.79430473</v>
      </c>
      <c r="X81" s="196">
        <f>SUM($B$80:X80)</f>
        <v>465186323.79290575</v>
      </c>
      <c r="Y81" s="196">
        <f>SUM($B$80:Y80)</f>
        <v>504254807.86591816</v>
      </c>
      <c r="Z81" s="196">
        <f>SUM($B$80:Z80)</f>
        <v>544028579.92279077</v>
      </c>
      <c r="AA81" s="196">
        <f>SUM($B$80:AA80)</f>
        <v>583607070.10201907</v>
      </c>
      <c r="AB81" s="196">
        <f>SUM($B$80:AB80)</f>
        <v>624834017.52083731</v>
      </c>
      <c r="AC81" s="196">
        <f>SUM($B$80:AC80)</f>
        <v>666809422.19043195</v>
      </c>
      <c r="AD81" s="196">
        <f>SUM($B$80:AD80)</f>
        <v>705342055.21387208</v>
      </c>
      <c r="AE81" s="196">
        <f>SUM($B$80:AE80)</f>
        <v>748859581.20296633</v>
      </c>
    </row>
    <row r="82" spans="1:36" x14ac:dyDescent="0.2">
      <c r="A82" s="202" t="s">
        <v>502</v>
      </c>
      <c r="B82" s="203">
        <f t="shared" ref="B82:AB82" si="30">1/POWER((1+$B$40),B70)</f>
        <v>1</v>
      </c>
      <c r="C82" s="203">
        <f t="shared" si="30"/>
        <v>1</v>
      </c>
      <c r="D82" s="203">
        <f t="shared" si="30"/>
        <v>0.9109750373485539</v>
      </c>
      <c r="E82" s="203">
        <f t="shared" si="30"/>
        <v>0.75599588161705711</v>
      </c>
      <c r="F82" s="203">
        <f t="shared" si="30"/>
        <v>0.6273824743710017</v>
      </c>
      <c r="G82" s="203">
        <f t="shared" si="30"/>
        <v>0.52064935632448273</v>
      </c>
      <c r="H82" s="203">
        <f t="shared" si="30"/>
        <v>0.43207415462612664</v>
      </c>
      <c r="I82" s="203">
        <f t="shared" si="30"/>
        <v>0.35856776317520883</v>
      </c>
      <c r="J82" s="203">
        <f t="shared" si="30"/>
        <v>0.29756660844415667</v>
      </c>
      <c r="K82" s="203">
        <f t="shared" si="30"/>
        <v>0.24694324352212174</v>
      </c>
      <c r="L82" s="203">
        <f t="shared" si="30"/>
        <v>0.20493215230051592</v>
      </c>
      <c r="M82" s="203">
        <f t="shared" si="30"/>
        <v>0.1700681761830008</v>
      </c>
      <c r="N82" s="203">
        <f t="shared" si="30"/>
        <v>0.14113541591950271</v>
      </c>
      <c r="O82" s="203">
        <f t="shared" si="30"/>
        <v>0.11712482648921385</v>
      </c>
      <c r="P82" s="203">
        <f t="shared" si="30"/>
        <v>9.719902613212765E-2</v>
      </c>
      <c r="Q82" s="203">
        <f t="shared" si="30"/>
        <v>8.0663092225832109E-2</v>
      </c>
      <c r="R82" s="203">
        <f t="shared" si="30"/>
        <v>6.6940325498615838E-2</v>
      </c>
      <c r="S82" s="203">
        <f t="shared" si="30"/>
        <v>5.5552137343249659E-2</v>
      </c>
      <c r="T82" s="203">
        <f t="shared" si="30"/>
        <v>4.6101358791078552E-2</v>
      </c>
      <c r="U82" s="203">
        <f t="shared" si="30"/>
        <v>3.825838903823945E-2</v>
      </c>
      <c r="V82" s="203">
        <f t="shared" si="30"/>
        <v>3.174970044667174E-2</v>
      </c>
      <c r="W82" s="203">
        <f t="shared" si="30"/>
        <v>2.6348299125868668E-2</v>
      </c>
      <c r="X82" s="203">
        <f t="shared" si="30"/>
        <v>2.1865808403210511E-2</v>
      </c>
      <c r="Y82" s="203">
        <f t="shared" si="30"/>
        <v>1.814589908980126E-2</v>
      </c>
      <c r="Z82" s="203">
        <f t="shared" si="30"/>
        <v>1.5058837418922204E-2</v>
      </c>
      <c r="AA82" s="203">
        <f t="shared" si="30"/>
        <v>1.2496960513628384E-2</v>
      </c>
      <c r="AB82" s="203">
        <f t="shared" si="30"/>
        <v>1.0370921588073345E-2</v>
      </c>
      <c r="AC82" s="203">
        <f>1/POWER((1+$B$40),AC70)</f>
        <v>8.6065739320110735E-3</v>
      </c>
      <c r="AD82" s="203">
        <f>1/POWER((1+$B$40),AD70)</f>
        <v>7.1423850058183183E-3</v>
      </c>
      <c r="AE82" s="203">
        <f>1/POWER((1+$B$40),AE70)</f>
        <v>5.9272904612600145E-3</v>
      </c>
    </row>
    <row r="83" spans="1:36" ht="14.25" x14ac:dyDescent="0.2">
      <c r="A83" s="195" t="s">
        <v>503</v>
      </c>
      <c r="B83" s="196">
        <f t="shared" ref="B83:AB83" si="31">B80*B82</f>
        <v>-76700</v>
      </c>
      <c r="C83" s="196">
        <f t="shared" si="31"/>
        <v>-795438.05449999997</v>
      </c>
      <c r="D83" s="196">
        <f t="shared" si="31"/>
        <v>-10879705.059396412</v>
      </c>
      <c r="E83" s="196">
        <f t="shared" si="31"/>
        <v>-71118368.167799011</v>
      </c>
      <c r="F83" s="196">
        <f t="shared" si="31"/>
        <v>1756798.1306628673</v>
      </c>
      <c r="G83" s="196">
        <f t="shared" si="31"/>
        <v>12388585.631982656</v>
      </c>
      <c r="H83" s="196">
        <f t="shared" si="31"/>
        <v>10544403.133067874</v>
      </c>
      <c r="I83" s="196">
        <f t="shared" si="31"/>
        <v>8699209.5164813772</v>
      </c>
      <c r="J83" s="196">
        <f t="shared" si="31"/>
        <v>8386666.8632022487</v>
      </c>
      <c r="K83" s="196">
        <f t="shared" si="31"/>
        <v>7233535.7638870459</v>
      </c>
      <c r="L83" s="196">
        <f t="shared" si="31"/>
        <v>6034967.0204583118</v>
      </c>
      <c r="M83" s="196">
        <f t="shared" si="31"/>
        <v>5267807.9668511674</v>
      </c>
      <c r="N83" s="196">
        <f t="shared" si="31"/>
        <v>4257947.7743378142</v>
      </c>
      <c r="O83" s="196">
        <f t="shared" si="31"/>
        <v>3734443.699209155</v>
      </c>
      <c r="P83" s="196">
        <f t="shared" si="31"/>
        <v>3236754.6382691623</v>
      </c>
      <c r="Q83" s="196">
        <f t="shared" si="31"/>
        <v>2734632.8959496533</v>
      </c>
      <c r="R83" s="196">
        <f t="shared" si="31"/>
        <v>2258466.6335621076</v>
      </c>
      <c r="S83" s="196">
        <f t="shared" si="31"/>
        <v>1950872.3026571872</v>
      </c>
      <c r="T83" s="196">
        <f t="shared" si="31"/>
        <v>1647853.3176729856</v>
      </c>
      <c r="U83" s="196">
        <f t="shared" si="31"/>
        <v>1360878.9415063607</v>
      </c>
      <c r="V83" s="196">
        <f t="shared" si="31"/>
        <v>1088157.9982918615</v>
      </c>
      <c r="W83" s="196">
        <f t="shared" si="31"/>
        <v>993307.80840948783</v>
      </c>
      <c r="X83" s="196">
        <f t="shared" si="31"/>
        <v>820298.119991543</v>
      </c>
      <c r="Y83" s="196">
        <f t="shared" si="31"/>
        <v>708932.76958039054</v>
      </c>
      <c r="Z83" s="196">
        <f t="shared" si="31"/>
        <v>598946.76694171596</v>
      </c>
      <c r="AA83" s="196">
        <f t="shared" si="31"/>
        <v>494610.82895884529</v>
      </c>
      <c r="AB83" s="196">
        <f t="shared" si="31"/>
        <v>427561.43899618718</v>
      </c>
      <c r="AC83" s="196">
        <f>AC80*AC82</f>
        <v>361264.42361494928</v>
      </c>
      <c r="AD83" s="196">
        <f>AD80*AD82</f>
        <v>275214.90034131816</v>
      </c>
      <c r="AE83" s="196">
        <f>AE80*AE82</f>
        <v>257941.01669279335</v>
      </c>
    </row>
    <row r="84" spans="1:36" ht="14.25" x14ac:dyDescent="0.2">
      <c r="A84" s="195" t="s">
        <v>504</v>
      </c>
      <c r="B84" s="196">
        <f>SUM($B$83:B83)</f>
        <v>-76700</v>
      </c>
      <c r="C84" s="196">
        <f>SUM($B$83:C83)</f>
        <v>-872138.05449999997</v>
      </c>
      <c r="D84" s="196">
        <f>SUM($B$83:D83)</f>
        <v>-11751843.113896413</v>
      </c>
      <c r="E84" s="196">
        <f>SUM($B$83:E83)</f>
        <v>-82870211.281695426</v>
      </c>
      <c r="F84" s="196">
        <f>SUM($B$83:F83)</f>
        <v>-81113413.151032552</v>
      </c>
      <c r="G84" s="196">
        <f>SUM($B$83:G83)</f>
        <v>-68724827.519049898</v>
      </c>
      <c r="H84" s="196">
        <f>SUM($B$83:H83)</f>
        <v>-58180424.385982022</v>
      </c>
      <c r="I84" s="196">
        <f>SUM($B$83:I83)</f>
        <v>-49481214.869500645</v>
      </c>
      <c r="J84" s="196">
        <f>SUM($B$83:J83)</f>
        <v>-41094548.006298393</v>
      </c>
      <c r="K84" s="196">
        <f>SUM($B$83:K83)</f>
        <v>-33861012.242411345</v>
      </c>
      <c r="L84" s="196">
        <f>SUM($B$83:L83)</f>
        <v>-27826045.221953034</v>
      </c>
      <c r="M84" s="196">
        <f>SUM($B$83:M83)</f>
        <v>-22558237.255101867</v>
      </c>
      <c r="N84" s="196">
        <f>SUM($B$83:N83)</f>
        <v>-18300289.480764054</v>
      </c>
      <c r="O84" s="196">
        <f>SUM($B$83:O83)</f>
        <v>-14565845.781554898</v>
      </c>
      <c r="P84" s="196">
        <f>SUM($B$83:P83)</f>
        <v>-11329091.143285736</v>
      </c>
      <c r="Q84" s="196">
        <f>SUM($B$83:Q83)</f>
        <v>-8594458.2473360822</v>
      </c>
      <c r="R84" s="196">
        <f>SUM($B$83:R83)</f>
        <v>-6335991.6137739746</v>
      </c>
      <c r="S84" s="196">
        <f>SUM($B$83:S83)</f>
        <v>-4385119.3111167876</v>
      </c>
      <c r="T84" s="196">
        <f>SUM($B$83:T83)</f>
        <v>-2737265.993443802</v>
      </c>
      <c r="U84" s="196">
        <f>SUM($B$83:U83)</f>
        <v>-1376387.0519374413</v>
      </c>
      <c r="V84" s="196">
        <f>SUM($B$83:V83)</f>
        <v>-288229.05364557984</v>
      </c>
      <c r="W84" s="196">
        <f>SUM($B$83:W83)</f>
        <v>705078.75476390799</v>
      </c>
      <c r="X84" s="196">
        <f>SUM($B$83:X83)</f>
        <v>1525376.874755451</v>
      </c>
      <c r="Y84" s="196">
        <f>SUM($B$83:Y83)</f>
        <v>2234309.6443358418</v>
      </c>
      <c r="Z84" s="196">
        <f>SUM($B$83:Z83)</f>
        <v>2833256.4112775577</v>
      </c>
      <c r="AA84" s="196">
        <f>SUM($B$83:AA83)</f>
        <v>3327867.240236403</v>
      </c>
      <c r="AB84" s="196">
        <f>SUM($B$83:AB83)</f>
        <v>3755428.6792325899</v>
      </c>
      <c r="AC84" s="196">
        <f>SUM($B$83:AC83)</f>
        <v>4116693.1028475394</v>
      </c>
      <c r="AD84" s="196">
        <f>SUM($B$83:AD83)</f>
        <v>4391908.0031888578</v>
      </c>
      <c r="AE84" s="196">
        <f>SUM($B$83:AE83)</f>
        <v>4649849.0198816508</v>
      </c>
    </row>
    <row r="85" spans="1:36" ht="14.25" x14ac:dyDescent="0.2">
      <c r="A85" s="195" t="s">
        <v>505</v>
      </c>
      <c r="B85" s="204">
        <f>IF((ISERR(IRR($B$80:B80))),0,IF(IRR($B$80:B80)&lt;0,0,IRR($B$80:B80)))</f>
        <v>0</v>
      </c>
      <c r="C85" s="204">
        <f>IF((ISERR(IRR($B$80:C80))),0,IF(IRR($B$80:C80)&lt;0,0,IRR($B$80:C80)))</f>
        <v>0</v>
      </c>
      <c r="D85" s="204">
        <f>IF((ISERR(IRR($B$80:D80))),0,IF(IRR($B$80:D80)&lt;0,0,IRR($B$80:D80)))</f>
        <v>0</v>
      </c>
      <c r="E85" s="204">
        <f>IF((ISERR(IRR($B$80:E80))),0,IF(IRR($B$80:E80)&lt;0,0,IRR($B$80:E80)))</f>
        <v>0</v>
      </c>
      <c r="F85" s="204">
        <f>IF((ISERR(IRR($B$80:F80))),0,IF(IRR($B$80:F80)&lt;0,0,IRR($B$80:F80)))</f>
        <v>0</v>
      </c>
      <c r="G85" s="204">
        <f>IF((ISERR(IRR($B$80:G80))),0,IF(IRR($B$80:G80)&lt;0,0,IRR($B$80:G80)))</f>
        <v>0</v>
      </c>
      <c r="H85" s="204">
        <f>IF((ISERR(IRR($B$80:H80))),0,IF(IRR($B$80:H80)&lt;0,0,IRR($B$80:H80)))</f>
        <v>0</v>
      </c>
      <c r="I85" s="204">
        <f>IF((ISERR(IRR($B$80:I80))),0,IF(IRR($B$80:I80)&lt;0,0,IRR($B$80:I80)))</f>
        <v>0</v>
      </c>
      <c r="J85" s="204">
        <f>IF((ISERR(IRR($B$80:J80))),0,IF(IRR($B$80:J80)&lt;0,0,IRR($B$80:J80)))</f>
        <v>0</v>
      </c>
      <c r="K85" s="204">
        <f>IF((ISERR(IRR($B$80:K80))),0,IF(IRR($B$80:K80)&lt;0,0,IRR($B$80:K80)))</f>
        <v>5.3939178110240737E-2</v>
      </c>
      <c r="L85" s="204">
        <f>IF((ISERR(IRR($B$80:L80))),0,IF(IRR($B$80:L80)&lt;0,0,IRR($B$80:L80)))</f>
        <v>9.5360543993354918E-2</v>
      </c>
      <c r="M85" s="204">
        <f>IF((ISERR(IRR($B$80:M80))),0,IF(IRR($B$80:M80)&lt;0,0,IRR($B$80:M80)))</f>
        <v>0.12505386378717209</v>
      </c>
      <c r="N85" s="204">
        <f>IF((ISERR(IRR($B$80:N80))),0,IF(IRR($B$80:N80)&lt;0,0,IRR($B$80:N80)))</f>
        <v>0.14541514547924983</v>
      </c>
      <c r="O85" s="204">
        <f>IF((ISERR(IRR($B$80:O80))),0,IF(IRR($B$80:O80)&lt;0,0,IRR($B$80:O80)))</f>
        <v>0.16096274452683623</v>
      </c>
      <c r="P85" s="204">
        <f>IF((ISERR(IRR($B$80:P80))),0,IF(IRR($B$80:P80)&lt;0,0,IRR($B$80:P80)))</f>
        <v>0.17286783615181767</v>
      </c>
      <c r="Q85" s="204">
        <f>IF((ISERR(IRR($B$80:Q80))),0,IF(IRR($B$80:Q80)&lt;0,0,IRR($B$80:Q80)))</f>
        <v>0.18189127522755411</v>
      </c>
      <c r="R85" s="204">
        <f>IF((ISERR(IRR($B$80:R80))),0,IF(IRR($B$80:R80)&lt;0,0,IRR($B$80:R80)))</f>
        <v>0.1886816468927468</v>
      </c>
      <c r="S85" s="204">
        <f>IF((ISERR(IRR($B$80:S80))),0,IF(IRR($B$80:S80)&lt;0,0,IRR($B$80:S80)))</f>
        <v>0.1940902944734344</v>
      </c>
      <c r="T85" s="204">
        <f>IF((ISERR(IRR($B$80:T80))),0,IF(IRR($B$80:T80)&lt;0,0,IRR($B$80:T80)))</f>
        <v>0.19834049415214539</v>
      </c>
      <c r="U85" s="204">
        <f>IF((ISERR(IRR($B$80:U80))),0,IF(IRR($B$80:U80)&lt;0,0,IRR($B$80:U80)))</f>
        <v>0.20163612602847936</v>
      </c>
      <c r="V85" s="204">
        <f>IF((ISERR(IRR($B$80:V80))),0,IF(IRR($B$80:V80)&lt;0,0,IRR($B$80:V80)))</f>
        <v>0.20413332851019472</v>
      </c>
      <c r="W85" s="204">
        <f>IF((ISERR(IRR($B$80:W80))),0,IF(IRR($B$80:W80)&lt;0,0,IRR($B$80:W80)))</f>
        <v>0.2063053852175909</v>
      </c>
      <c r="X85" s="204">
        <f>IF((ISERR(IRR($B$80:X80))),0,IF(IRR($B$80:X80)&lt;0,0,IRR($B$80:X80)))</f>
        <v>0.20802097712455914</v>
      </c>
      <c r="Y85" s="204">
        <f>IF((ISERR(IRR($B$80:Y80))),0,IF(IRR($B$80:Y80)&lt;0,0,IRR($B$80:Y80)))</f>
        <v>0.20944568493246796</v>
      </c>
      <c r="Z85" s="204">
        <f>IF((ISERR(IRR($B$80:Z80))),0,IF(IRR($B$80:Z80)&lt;0,0,IRR($B$80:Z80)))</f>
        <v>0.21060643703952553</v>
      </c>
      <c r="AA85" s="204">
        <f>IF((ISERR(IRR($B$80:AA80))),0,IF(IRR($B$80:AA80)&lt;0,0,IRR($B$80:AA80)))</f>
        <v>0.21153432210936041</v>
      </c>
      <c r="AB85" s="204">
        <f>IF((ISERR(IRR($B$80:AB80))),0,IF(IRR($B$80:AB80)&lt;0,0,IRR($B$80:AB80)))</f>
        <v>0.21231313712396171</v>
      </c>
      <c r="AC85" s="204">
        <f>IF((ISERR(IRR($B$80:AC80))),0,IF(IRR($B$80:AC80)&lt;0,0,IRR($B$80:AC80)))</f>
        <v>0.21295359473722519</v>
      </c>
      <c r="AD85" s="204">
        <f>IF((ISERR(IRR($B$80:AD80))),0,IF(IRR($B$80:AD80)&lt;0,0,IRR($B$80:AD80)))</f>
        <v>0.21342995040678514</v>
      </c>
      <c r="AE85" s="204">
        <f>IF((ISERR(IRR($B$80:AE80))),0,IF(IRR($B$80:AE80)&lt;0,0,IRR($B$80:AE80)))</f>
        <v>0.21386672802977058</v>
      </c>
    </row>
    <row r="86" spans="1:36" ht="14.25" x14ac:dyDescent="0.2">
      <c r="A86" s="195" t="s">
        <v>506</v>
      </c>
      <c r="B86" s="205">
        <f>IF(AND(B81&gt;0,A81&lt;0),(B71-(B81/(B81-A81))),0)</f>
        <v>0</v>
      </c>
      <c r="C86" s="205">
        <f t="shared" ref="C86:AB86" si="32">IF(AND(C81&gt;0,B81&lt;0),(C71-(C81/(C81-B81))),0)</f>
        <v>0</v>
      </c>
      <c r="D86" s="205">
        <f t="shared" si="32"/>
        <v>0</v>
      </c>
      <c r="E86" s="205">
        <f t="shared" si="32"/>
        <v>0</v>
      </c>
      <c r="F86" s="205">
        <f t="shared" si="32"/>
        <v>0</v>
      </c>
      <c r="G86" s="205">
        <f t="shared" si="32"/>
        <v>0</v>
      </c>
      <c r="H86" s="205">
        <f>IF(AND(H81&gt;0,G81&lt;0),(H71-(H81/(H81-G81))),0)</f>
        <v>0</v>
      </c>
      <c r="I86" s="205">
        <f t="shared" si="32"/>
        <v>0</v>
      </c>
      <c r="J86" s="205">
        <f t="shared" si="32"/>
        <v>0</v>
      </c>
      <c r="K86" s="205">
        <f t="shared" si="32"/>
        <v>9.1175560595270682</v>
      </c>
      <c r="L86" s="205">
        <f t="shared" si="32"/>
        <v>0</v>
      </c>
      <c r="M86" s="205">
        <f t="shared" si="32"/>
        <v>0</v>
      </c>
      <c r="N86" s="205">
        <f t="shared" si="32"/>
        <v>0</v>
      </c>
      <c r="O86" s="205">
        <f t="shared" si="32"/>
        <v>0</v>
      </c>
      <c r="P86" s="205">
        <f t="shared" si="32"/>
        <v>0</v>
      </c>
      <c r="Q86" s="205">
        <f t="shared" si="32"/>
        <v>0</v>
      </c>
      <c r="R86" s="205">
        <f t="shared" si="32"/>
        <v>0</v>
      </c>
      <c r="S86" s="205">
        <f t="shared" si="32"/>
        <v>0</v>
      </c>
      <c r="T86" s="205">
        <f t="shared" si="32"/>
        <v>0</v>
      </c>
      <c r="U86" s="205">
        <f t="shared" si="32"/>
        <v>0</v>
      </c>
      <c r="V86" s="205">
        <f t="shared" si="32"/>
        <v>0</v>
      </c>
      <c r="W86" s="205">
        <f t="shared" si="32"/>
        <v>0</v>
      </c>
      <c r="X86" s="205">
        <f t="shared" si="32"/>
        <v>0</v>
      </c>
      <c r="Y86" s="205">
        <f t="shared" si="32"/>
        <v>0</v>
      </c>
      <c r="Z86" s="205">
        <f t="shared" si="32"/>
        <v>0</v>
      </c>
      <c r="AA86" s="205">
        <f t="shared" si="32"/>
        <v>0</v>
      </c>
      <c r="AB86" s="205">
        <f t="shared" si="32"/>
        <v>0</v>
      </c>
      <c r="AC86" s="205">
        <f>IF(AND(AC81&gt;0,AB81&lt;0),(AC71-(AC81/(AC81-AB81))),0)</f>
        <v>0</v>
      </c>
      <c r="AD86" s="205">
        <f>IF(AND(AD81&gt;0,AC81&lt;0),(AD71-(AD81/(AD81-AC81))),0)</f>
        <v>0</v>
      </c>
      <c r="AE86" s="205">
        <f>IF(AND(AE81&gt;0,AD81&lt;0),(AE71-(AE81/(AE81-AD81))),0)</f>
        <v>0</v>
      </c>
    </row>
    <row r="87" spans="1:36" ht="15" thickBot="1" x14ac:dyDescent="0.25">
      <c r="A87" s="206" t="s">
        <v>507</v>
      </c>
      <c r="B87" s="207">
        <f t="shared" ref="B87:AB87" si="33">IF(AND(B84&gt;0,A84&lt;0),(B71-(B84/(B84-A84))),0)</f>
        <v>0</v>
      </c>
      <c r="C87" s="207">
        <f t="shared" si="33"/>
        <v>0</v>
      </c>
      <c r="D87" s="207">
        <f t="shared" si="33"/>
        <v>0</v>
      </c>
      <c r="E87" s="207">
        <f t="shared" si="33"/>
        <v>0</v>
      </c>
      <c r="F87" s="207">
        <f t="shared" si="33"/>
        <v>0</v>
      </c>
      <c r="G87" s="207">
        <f t="shared" si="33"/>
        <v>0</v>
      </c>
      <c r="H87" s="207">
        <f t="shared" si="33"/>
        <v>0</v>
      </c>
      <c r="I87" s="207">
        <f t="shared" si="33"/>
        <v>0</v>
      </c>
      <c r="J87" s="207">
        <f t="shared" si="33"/>
        <v>0</v>
      </c>
      <c r="K87" s="207">
        <f t="shared" si="33"/>
        <v>0</v>
      </c>
      <c r="L87" s="207">
        <f t="shared" si="33"/>
        <v>0</v>
      </c>
      <c r="M87" s="207">
        <f t="shared" si="33"/>
        <v>0</v>
      </c>
      <c r="N87" s="207">
        <f t="shared" si="33"/>
        <v>0</v>
      </c>
      <c r="O87" s="207">
        <f t="shared" si="33"/>
        <v>0</v>
      </c>
      <c r="P87" s="207">
        <f t="shared" si="33"/>
        <v>0</v>
      </c>
      <c r="Q87" s="207">
        <f t="shared" si="33"/>
        <v>0</v>
      </c>
      <c r="R87" s="207">
        <f t="shared" si="33"/>
        <v>0</v>
      </c>
      <c r="S87" s="207">
        <f t="shared" si="33"/>
        <v>0</v>
      </c>
      <c r="T87" s="207">
        <f t="shared" si="33"/>
        <v>0</v>
      </c>
      <c r="U87" s="207">
        <f t="shared" si="33"/>
        <v>0</v>
      </c>
      <c r="V87" s="207">
        <f t="shared" si="33"/>
        <v>0</v>
      </c>
      <c r="W87" s="207">
        <f t="shared" si="33"/>
        <v>21.290170933124045</v>
      </c>
      <c r="X87" s="207">
        <f t="shared" si="33"/>
        <v>0</v>
      </c>
      <c r="Y87" s="207">
        <f t="shared" si="33"/>
        <v>0</v>
      </c>
      <c r="Z87" s="207">
        <f t="shared" si="33"/>
        <v>0</v>
      </c>
      <c r="AA87" s="207">
        <f t="shared" si="33"/>
        <v>0</v>
      </c>
      <c r="AB87" s="207">
        <f t="shared" si="33"/>
        <v>0</v>
      </c>
      <c r="AC87" s="207">
        <f>IF(AND(AC84&gt;0,AB84&lt;0),(AC71-(AC84/(AC84-AB84))),0)</f>
        <v>0</v>
      </c>
      <c r="AD87" s="207">
        <f>IF(AND(AD84&gt;0,AC84&lt;0),(AD71-(AD84/(AD84-AC84))),0)</f>
        <v>0</v>
      </c>
      <c r="AE87" s="207">
        <f>IF(AND(AE84&gt;0,AD84&lt;0),(AE71-(AE84/(AE84-AD84))),0)</f>
        <v>0</v>
      </c>
    </row>
    <row r="88" spans="1:36" x14ac:dyDescent="0.2">
      <c r="B88" s="208">
        <v>2013</v>
      </c>
      <c r="C88" s="208">
        <f>B88+1</f>
        <v>2014</v>
      </c>
      <c r="D88" s="159">
        <f t="shared" ref="D88:AB88" si="34">C88+1</f>
        <v>2015</v>
      </c>
      <c r="E88" s="159">
        <f t="shared" si="34"/>
        <v>2016</v>
      </c>
      <c r="F88" s="159">
        <f t="shared" si="34"/>
        <v>2017</v>
      </c>
      <c r="G88" s="159">
        <f t="shared" si="34"/>
        <v>2018</v>
      </c>
      <c r="H88" s="159">
        <f t="shared" si="34"/>
        <v>2019</v>
      </c>
      <c r="I88" s="159">
        <f t="shared" si="34"/>
        <v>2020</v>
      </c>
      <c r="J88" s="159">
        <f t="shared" si="34"/>
        <v>2021</v>
      </c>
      <c r="K88" s="159">
        <f t="shared" si="34"/>
        <v>2022</v>
      </c>
      <c r="L88" s="159">
        <f t="shared" si="34"/>
        <v>2023</v>
      </c>
      <c r="M88" s="159">
        <f t="shared" si="34"/>
        <v>2024</v>
      </c>
      <c r="N88" s="159">
        <f t="shared" si="34"/>
        <v>2025</v>
      </c>
      <c r="O88" s="159">
        <f t="shared" si="34"/>
        <v>2026</v>
      </c>
      <c r="P88" s="159">
        <f t="shared" si="34"/>
        <v>2027</v>
      </c>
      <c r="Q88" s="159">
        <f t="shared" si="34"/>
        <v>2028</v>
      </c>
      <c r="R88" s="159">
        <f t="shared" si="34"/>
        <v>2029</v>
      </c>
      <c r="S88" s="159">
        <f t="shared" si="34"/>
        <v>2030</v>
      </c>
      <c r="T88" s="159">
        <f t="shared" si="34"/>
        <v>2031</v>
      </c>
      <c r="U88" s="159">
        <f t="shared" si="34"/>
        <v>2032</v>
      </c>
      <c r="V88" s="159">
        <f t="shared" si="34"/>
        <v>2033</v>
      </c>
      <c r="W88" s="159">
        <f t="shared" si="34"/>
        <v>2034</v>
      </c>
      <c r="X88" s="159">
        <f t="shared" si="34"/>
        <v>2035</v>
      </c>
      <c r="Y88" s="159">
        <f t="shared" si="34"/>
        <v>2036</v>
      </c>
      <c r="Z88" s="159">
        <f t="shared" si="34"/>
        <v>2037</v>
      </c>
      <c r="AA88" s="159">
        <f t="shared" si="34"/>
        <v>2038</v>
      </c>
      <c r="AB88" s="159">
        <f t="shared" si="34"/>
        <v>2039</v>
      </c>
      <c r="AC88" s="159">
        <f>AB88+1</f>
        <v>2040</v>
      </c>
      <c r="AD88" s="159">
        <f>AC88+1</f>
        <v>2041</v>
      </c>
      <c r="AE88" s="159">
        <f>AD88+1</f>
        <v>2042</v>
      </c>
    </row>
    <row r="89" spans="1:36" x14ac:dyDescent="0.2">
      <c r="A89" s="355" t="s">
        <v>508</v>
      </c>
      <c r="B89" s="355"/>
      <c r="C89" s="355"/>
      <c r="D89" s="355"/>
      <c r="E89" s="355"/>
      <c r="F89" s="355"/>
      <c r="G89" s="355"/>
      <c r="H89" s="355"/>
      <c r="I89" s="355"/>
      <c r="J89" s="355"/>
      <c r="K89" s="355"/>
      <c r="L89" s="355"/>
      <c r="M89" s="355"/>
      <c r="N89" s="355"/>
      <c r="O89" s="355"/>
      <c r="P89" s="355"/>
      <c r="Q89" s="355"/>
      <c r="R89" s="355"/>
      <c r="S89" s="355"/>
      <c r="T89" s="355"/>
      <c r="U89" s="355"/>
      <c r="V89" s="355"/>
      <c r="W89" s="355"/>
      <c r="X89" s="355"/>
      <c r="Y89" s="355"/>
      <c r="Z89" s="355"/>
      <c r="AA89" s="355"/>
      <c r="AB89" s="355"/>
      <c r="AC89" s="355"/>
      <c r="AD89" s="355"/>
      <c r="AE89" s="355"/>
    </row>
    <row r="90" spans="1:36" ht="64.150000000000006" customHeight="1" x14ac:dyDescent="0.2">
      <c r="A90" s="353" t="s">
        <v>509</v>
      </c>
      <c r="B90" s="353"/>
      <c r="C90" s="353"/>
      <c r="D90" s="353"/>
      <c r="E90" s="353"/>
      <c r="F90" s="353"/>
      <c r="G90" s="353"/>
      <c r="H90" s="353"/>
      <c r="I90" s="353"/>
    </row>
    <row r="91" spans="1:36" x14ac:dyDescent="0.2">
      <c r="C91" s="210"/>
    </row>
    <row r="92" spans="1:36" s="213" customFormat="1" ht="32.25" hidden="1" customHeight="1" x14ac:dyDescent="0.2">
      <c r="A92" s="211" t="s">
        <v>510</v>
      </c>
      <c r="B92" s="212">
        <f>B78*B82</f>
        <v>-65000</v>
      </c>
      <c r="C92" s="212">
        <f t="shared" ref="C92:AE92" si="35">C78*C82</f>
        <v>-674100</v>
      </c>
      <c r="D92" s="212">
        <f t="shared" si="35"/>
        <v>-9220089.0299127325</v>
      </c>
      <c r="E92" s="212">
        <f t="shared" si="35"/>
        <v>-213636573.78781152</v>
      </c>
      <c r="F92" s="212">
        <f t="shared" si="35"/>
        <v>-27957756.609456737</v>
      </c>
      <c r="G92" s="212">
        <f t="shared" si="35"/>
        <v>0</v>
      </c>
      <c r="H92" s="212">
        <f t="shared" si="35"/>
        <v>0</v>
      </c>
      <c r="I92" s="212">
        <f t="shared" si="35"/>
        <v>0</v>
      </c>
      <c r="J92" s="212">
        <f>J78*J82</f>
        <v>0</v>
      </c>
      <c r="K92" s="212">
        <f t="shared" si="35"/>
        <v>0</v>
      </c>
      <c r="L92" s="212">
        <f>L78*L82</f>
        <v>0</v>
      </c>
      <c r="M92" s="212">
        <f t="shared" si="35"/>
        <v>0</v>
      </c>
      <c r="N92" s="212">
        <f t="shared" si="35"/>
        <v>0</v>
      </c>
      <c r="O92" s="212">
        <f t="shared" si="35"/>
        <v>0</v>
      </c>
      <c r="P92" s="212">
        <f t="shared" si="35"/>
        <v>0</v>
      </c>
      <c r="Q92" s="212">
        <f t="shared" si="35"/>
        <v>0</v>
      </c>
      <c r="R92" s="212">
        <f t="shared" si="35"/>
        <v>0</v>
      </c>
      <c r="S92" s="212">
        <f t="shared" si="35"/>
        <v>0</v>
      </c>
      <c r="T92" s="212">
        <f t="shared" si="35"/>
        <v>0</v>
      </c>
      <c r="U92" s="212">
        <f t="shared" si="35"/>
        <v>0</v>
      </c>
      <c r="V92" s="212">
        <f t="shared" si="35"/>
        <v>0</v>
      </c>
      <c r="W92" s="212">
        <f t="shared" si="35"/>
        <v>0</v>
      </c>
      <c r="X92" s="212">
        <f t="shared" si="35"/>
        <v>0</v>
      </c>
      <c r="Y92" s="212">
        <f t="shared" si="35"/>
        <v>0</v>
      </c>
      <c r="Z92" s="212">
        <f t="shared" si="35"/>
        <v>0</v>
      </c>
      <c r="AA92" s="212">
        <f t="shared" si="35"/>
        <v>0</v>
      </c>
      <c r="AB92" s="212">
        <f t="shared" si="35"/>
        <v>0</v>
      </c>
      <c r="AC92" s="212">
        <f t="shared" si="35"/>
        <v>0</v>
      </c>
      <c r="AD92" s="212">
        <f t="shared" si="35"/>
        <v>0</v>
      </c>
      <c r="AE92" s="212">
        <f t="shared" si="35"/>
        <v>0</v>
      </c>
      <c r="AF92" s="228">
        <f>SUM(B92:AE92)</f>
        <v>-251553519.42718101</v>
      </c>
      <c r="AG92" s="163"/>
      <c r="AH92" s="224"/>
      <c r="AI92" s="224"/>
      <c r="AJ92" s="224"/>
    </row>
    <row r="93" spans="1:36" s="213" customFormat="1" hidden="1" x14ac:dyDescent="0.2">
      <c r="A93" s="214">
        <f>AF92</f>
        <v>-251553519.42718101</v>
      </c>
      <c r="B93" s="211"/>
      <c r="C93" s="211"/>
      <c r="D93" s="211"/>
      <c r="E93" s="211"/>
      <c r="F93" s="211"/>
      <c r="G93" s="211"/>
      <c r="H93" s="211"/>
      <c r="I93" s="211"/>
      <c r="J93" s="211"/>
      <c r="K93" s="211"/>
      <c r="L93" s="211"/>
      <c r="M93" s="211"/>
      <c r="N93" s="211"/>
      <c r="O93" s="211"/>
      <c r="P93" s="211"/>
      <c r="Q93" s="211"/>
      <c r="R93" s="211"/>
      <c r="S93" s="211"/>
      <c r="T93" s="211"/>
      <c r="U93" s="211"/>
      <c r="V93" s="211"/>
      <c r="W93" s="211"/>
      <c r="X93" s="211"/>
      <c r="Y93" s="211"/>
      <c r="Z93" s="211"/>
      <c r="AA93" s="211"/>
      <c r="AB93" s="211"/>
      <c r="AC93" s="211"/>
      <c r="AD93" s="211"/>
      <c r="AE93" s="211"/>
      <c r="AF93" s="163"/>
      <c r="AG93" s="163"/>
      <c r="AH93" s="224"/>
      <c r="AI93" s="224"/>
      <c r="AJ93" s="224"/>
    </row>
    <row r="94" spans="1:36" s="213" customFormat="1" hidden="1" x14ac:dyDescent="0.2">
      <c r="A94" s="211"/>
      <c r="B94" s="211"/>
      <c r="C94" s="211"/>
      <c r="D94" s="211"/>
      <c r="E94" s="211"/>
      <c r="F94" s="211"/>
      <c r="G94" s="211"/>
      <c r="H94" s="211"/>
      <c r="I94" s="211"/>
      <c r="J94" s="211"/>
      <c r="K94" s="211"/>
      <c r="L94" s="211"/>
      <c r="M94" s="211"/>
      <c r="N94" s="211"/>
      <c r="O94" s="211"/>
      <c r="P94" s="211"/>
      <c r="Q94" s="211"/>
      <c r="R94" s="211"/>
      <c r="S94" s="211"/>
      <c r="T94" s="211"/>
      <c r="U94" s="211"/>
      <c r="V94" s="211"/>
      <c r="W94" s="211"/>
      <c r="X94" s="211"/>
      <c r="Y94" s="211"/>
      <c r="Z94" s="211"/>
      <c r="AA94" s="211"/>
      <c r="AB94" s="211"/>
      <c r="AC94" s="211"/>
      <c r="AD94" s="211"/>
      <c r="AE94" s="211"/>
      <c r="AF94" s="163"/>
      <c r="AG94" s="163"/>
      <c r="AH94" s="224"/>
      <c r="AI94" s="224"/>
      <c r="AJ94" s="224"/>
    </row>
    <row r="95" spans="1:36" s="213" customFormat="1" hidden="1" x14ac:dyDescent="0.2">
      <c r="A95" s="211" t="s">
        <v>511</v>
      </c>
      <c r="B95" s="215">
        <f>(G26+-A93)/-A93</f>
        <v>1.0184845317627436</v>
      </c>
      <c r="C95" s="211"/>
      <c r="D95" s="211">
        <v>1</v>
      </c>
      <c r="E95" s="211"/>
      <c r="F95" s="211"/>
      <c r="G95" s="211"/>
      <c r="H95" s="211"/>
      <c r="I95" s="211"/>
      <c r="J95" s="211"/>
      <c r="K95" s="211"/>
      <c r="L95" s="211"/>
      <c r="M95" s="211"/>
      <c r="N95" s="211"/>
      <c r="O95" s="211"/>
      <c r="P95" s="211"/>
      <c r="Q95" s="211"/>
      <c r="R95" s="211"/>
      <c r="S95" s="211"/>
      <c r="T95" s="211"/>
      <c r="U95" s="211"/>
      <c r="V95" s="211"/>
      <c r="W95" s="211"/>
      <c r="X95" s="211"/>
      <c r="Y95" s="211"/>
      <c r="Z95" s="211"/>
      <c r="AA95" s="211"/>
      <c r="AB95" s="211"/>
      <c r="AC95" s="211"/>
      <c r="AD95" s="211"/>
      <c r="AE95" s="211"/>
      <c r="AF95" s="163"/>
      <c r="AG95" s="163"/>
      <c r="AH95" s="224"/>
      <c r="AI95" s="224"/>
      <c r="AJ95" s="224"/>
    </row>
    <row r="96" spans="1:36" s="213" customFormat="1" x14ac:dyDescent="0.2">
      <c r="A96" s="211"/>
      <c r="B96" s="231"/>
      <c r="C96" s="211"/>
      <c r="D96" s="211"/>
      <c r="E96" s="211"/>
      <c r="F96" s="211"/>
      <c r="G96" s="211"/>
      <c r="H96" s="211"/>
      <c r="I96" s="211"/>
      <c r="J96" s="211"/>
      <c r="K96" s="211"/>
      <c r="L96" s="211"/>
      <c r="M96" s="211"/>
      <c r="N96" s="211"/>
      <c r="O96" s="211"/>
      <c r="P96" s="211"/>
      <c r="Q96" s="211"/>
      <c r="R96" s="211"/>
      <c r="S96" s="211"/>
      <c r="T96" s="211"/>
      <c r="U96" s="211"/>
      <c r="V96" s="211"/>
      <c r="W96" s="211"/>
      <c r="X96" s="211"/>
      <c r="Y96" s="211"/>
      <c r="Z96" s="211"/>
      <c r="AA96" s="211"/>
      <c r="AB96" s="211"/>
      <c r="AC96" s="211"/>
      <c r="AD96" s="211"/>
      <c r="AE96" s="211"/>
      <c r="AF96" s="163"/>
      <c r="AG96" s="163"/>
      <c r="AH96" s="224"/>
      <c r="AI96" s="224"/>
      <c r="AJ96" s="224"/>
    </row>
  </sheetData>
  <mergeCells count="15">
    <mergeCell ref="A90:I90"/>
    <mergeCell ref="A5:AR5"/>
    <mergeCell ref="A7:AR7"/>
    <mergeCell ref="A9:AR9"/>
    <mergeCell ref="A10:AR10"/>
    <mergeCell ref="A12:AR12"/>
    <mergeCell ref="A13:AR13"/>
    <mergeCell ref="A15:AR15"/>
    <mergeCell ref="A16:AR16"/>
    <mergeCell ref="A18:AR18"/>
    <mergeCell ref="D24:E24"/>
    <mergeCell ref="D25:E25"/>
    <mergeCell ref="D26:E26"/>
    <mergeCell ref="D27:E27"/>
    <mergeCell ref="A89:AE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80" zoomScaleSheetLayoutView="80" workbookViewId="0">
      <selection activeCell="E23" sqref="E23"/>
    </sheetView>
  </sheetViews>
  <sheetFormatPr defaultRowHeight="15.75" x14ac:dyDescent="0.25"/>
  <cols>
    <col min="1" max="1" width="9.140625" style="60"/>
    <col min="2" max="2" width="37.7109375" style="60" customWidth="1"/>
    <col min="3" max="3" width="11.140625" style="60" customWidth="1"/>
    <col min="4" max="4" width="12.85546875" style="60" customWidth="1"/>
    <col min="5" max="5" width="11" style="60" customWidth="1"/>
    <col min="6" max="6" width="15.5703125" style="60" customWidth="1"/>
    <col min="7" max="8" width="18.28515625" style="60" customWidth="1"/>
    <col min="9" max="9" width="64.85546875" style="60" customWidth="1"/>
    <col min="10" max="10" width="32.28515625" style="60" customWidth="1"/>
    <col min="11" max="250" width="9.140625" style="60"/>
    <col min="251" max="251" width="37.7109375" style="60" customWidth="1"/>
    <col min="252" max="252" width="9.140625" style="60"/>
    <col min="253" max="253" width="12.85546875" style="60" customWidth="1"/>
    <col min="254" max="255" width="0" style="60" hidden="1" customWidth="1"/>
    <col min="256" max="256" width="18.28515625" style="60" customWidth="1"/>
    <col min="257" max="257" width="64.85546875" style="60" customWidth="1"/>
    <col min="258" max="261" width="9.140625" style="60"/>
    <col min="262" max="262" width="14.85546875" style="60" customWidth="1"/>
    <col min="263" max="506" width="9.140625" style="60"/>
    <col min="507" max="507" width="37.7109375" style="60" customWidth="1"/>
    <col min="508" max="508" width="9.140625" style="60"/>
    <col min="509" max="509" width="12.85546875" style="60" customWidth="1"/>
    <col min="510" max="511" width="0" style="60" hidden="1" customWidth="1"/>
    <col min="512" max="512" width="18.28515625" style="60" customWidth="1"/>
    <col min="513" max="513" width="64.85546875" style="60" customWidth="1"/>
    <col min="514" max="517" width="9.140625" style="60"/>
    <col min="518" max="518" width="14.85546875" style="60" customWidth="1"/>
    <col min="519" max="762" width="9.140625" style="60"/>
    <col min="763" max="763" width="37.7109375" style="60" customWidth="1"/>
    <col min="764" max="764" width="9.140625" style="60"/>
    <col min="765" max="765" width="12.85546875" style="60" customWidth="1"/>
    <col min="766" max="767" width="0" style="60" hidden="1" customWidth="1"/>
    <col min="768" max="768" width="18.28515625" style="60" customWidth="1"/>
    <col min="769" max="769" width="64.85546875" style="60" customWidth="1"/>
    <col min="770" max="773" width="9.140625" style="60"/>
    <col min="774" max="774" width="14.85546875" style="60" customWidth="1"/>
    <col min="775" max="1018" width="9.140625" style="60"/>
    <col min="1019" max="1019" width="37.7109375" style="60" customWidth="1"/>
    <col min="1020" max="1020" width="9.140625" style="60"/>
    <col min="1021" max="1021" width="12.85546875" style="60" customWidth="1"/>
    <col min="1022" max="1023" width="0" style="60" hidden="1" customWidth="1"/>
    <col min="1024" max="1024" width="18.28515625" style="60" customWidth="1"/>
    <col min="1025" max="1025" width="64.85546875" style="60" customWidth="1"/>
    <col min="1026" max="1029" width="9.140625" style="60"/>
    <col min="1030" max="1030" width="14.85546875" style="60" customWidth="1"/>
    <col min="1031" max="1274" width="9.140625" style="60"/>
    <col min="1275" max="1275" width="37.7109375" style="60" customWidth="1"/>
    <col min="1276" max="1276" width="9.140625" style="60"/>
    <col min="1277" max="1277" width="12.85546875" style="60" customWidth="1"/>
    <col min="1278" max="1279" width="0" style="60" hidden="1" customWidth="1"/>
    <col min="1280" max="1280" width="18.28515625" style="60" customWidth="1"/>
    <col min="1281" max="1281" width="64.85546875" style="60" customWidth="1"/>
    <col min="1282" max="1285" width="9.140625" style="60"/>
    <col min="1286" max="1286" width="14.85546875" style="60" customWidth="1"/>
    <col min="1287" max="1530" width="9.140625" style="60"/>
    <col min="1531" max="1531" width="37.7109375" style="60" customWidth="1"/>
    <col min="1532" max="1532" width="9.140625" style="60"/>
    <col min="1533" max="1533" width="12.85546875" style="60" customWidth="1"/>
    <col min="1534" max="1535" width="0" style="60" hidden="1" customWidth="1"/>
    <col min="1536" max="1536" width="18.28515625" style="60" customWidth="1"/>
    <col min="1537" max="1537" width="64.85546875" style="60" customWidth="1"/>
    <col min="1538" max="1541" width="9.140625" style="60"/>
    <col min="1542" max="1542" width="14.85546875" style="60" customWidth="1"/>
    <col min="1543" max="1786" width="9.140625" style="60"/>
    <col min="1787" max="1787" width="37.7109375" style="60" customWidth="1"/>
    <col min="1788" max="1788" width="9.140625" style="60"/>
    <col min="1789" max="1789" width="12.85546875" style="60" customWidth="1"/>
    <col min="1790" max="1791" width="0" style="60" hidden="1" customWidth="1"/>
    <col min="1792" max="1792" width="18.28515625" style="60" customWidth="1"/>
    <col min="1793" max="1793" width="64.85546875" style="60" customWidth="1"/>
    <col min="1794" max="1797" width="9.140625" style="60"/>
    <col min="1798" max="1798" width="14.85546875" style="60" customWidth="1"/>
    <col min="1799" max="2042" width="9.140625" style="60"/>
    <col min="2043" max="2043" width="37.7109375" style="60" customWidth="1"/>
    <col min="2044" max="2044" width="9.140625" style="60"/>
    <col min="2045" max="2045" width="12.85546875" style="60" customWidth="1"/>
    <col min="2046" max="2047" width="0" style="60" hidden="1" customWidth="1"/>
    <col min="2048" max="2048" width="18.28515625" style="60" customWidth="1"/>
    <col min="2049" max="2049" width="64.85546875" style="60" customWidth="1"/>
    <col min="2050" max="2053" width="9.140625" style="60"/>
    <col min="2054" max="2054" width="14.85546875" style="60" customWidth="1"/>
    <col min="2055" max="2298" width="9.140625" style="60"/>
    <col min="2299" max="2299" width="37.7109375" style="60" customWidth="1"/>
    <col min="2300" max="2300" width="9.140625" style="60"/>
    <col min="2301" max="2301" width="12.85546875" style="60" customWidth="1"/>
    <col min="2302" max="2303" width="0" style="60" hidden="1" customWidth="1"/>
    <col min="2304" max="2304" width="18.28515625" style="60" customWidth="1"/>
    <col min="2305" max="2305" width="64.85546875" style="60" customWidth="1"/>
    <col min="2306" max="2309" width="9.140625" style="60"/>
    <col min="2310" max="2310" width="14.85546875" style="60" customWidth="1"/>
    <col min="2311" max="2554" width="9.140625" style="60"/>
    <col min="2555" max="2555" width="37.7109375" style="60" customWidth="1"/>
    <col min="2556" max="2556" width="9.140625" style="60"/>
    <col min="2557" max="2557" width="12.85546875" style="60" customWidth="1"/>
    <col min="2558" max="2559" width="0" style="60" hidden="1" customWidth="1"/>
    <col min="2560" max="2560" width="18.28515625" style="60" customWidth="1"/>
    <col min="2561" max="2561" width="64.85546875" style="60" customWidth="1"/>
    <col min="2562" max="2565" width="9.140625" style="60"/>
    <col min="2566" max="2566" width="14.85546875" style="60" customWidth="1"/>
    <col min="2567" max="2810" width="9.140625" style="60"/>
    <col min="2811" max="2811" width="37.7109375" style="60" customWidth="1"/>
    <col min="2812" max="2812" width="9.140625" style="60"/>
    <col min="2813" max="2813" width="12.85546875" style="60" customWidth="1"/>
    <col min="2814" max="2815" width="0" style="60" hidden="1" customWidth="1"/>
    <col min="2816" max="2816" width="18.28515625" style="60" customWidth="1"/>
    <col min="2817" max="2817" width="64.85546875" style="60" customWidth="1"/>
    <col min="2818" max="2821" width="9.140625" style="60"/>
    <col min="2822" max="2822" width="14.85546875" style="60" customWidth="1"/>
    <col min="2823" max="3066" width="9.140625" style="60"/>
    <col min="3067" max="3067" width="37.7109375" style="60" customWidth="1"/>
    <col min="3068" max="3068" width="9.140625" style="60"/>
    <col min="3069" max="3069" width="12.85546875" style="60" customWidth="1"/>
    <col min="3070" max="3071" width="0" style="60" hidden="1" customWidth="1"/>
    <col min="3072" max="3072" width="18.28515625" style="60" customWidth="1"/>
    <col min="3073" max="3073" width="64.85546875" style="60" customWidth="1"/>
    <col min="3074" max="3077" width="9.140625" style="60"/>
    <col min="3078" max="3078" width="14.85546875" style="60" customWidth="1"/>
    <col min="3079" max="3322" width="9.140625" style="60"/>
    <col min="3323" max="3323" width="37.7109375" style="60" customWidth="1"/>
    <col min="3324" max="3324" width="9.140625" style="60"/>
    <col min="3325" max="3325" width="12.85546875" style="60" customWidth="1"/>
    <col min="3326" max="3327" width="0" style="60" hidden="1" customWidth="1"/>
    <col min="3328" max="3328" width="18.28515625" style="60" customWidth="1"/>
    <col min="3329" max="3329" width="64.85546875" style="60" customWidth="1"/>
    <col min="3330" max="3333" width="9.140625" style="60"/>
    <col min="3334" max="3334" width="14.85546875" style="60" customWidth="1"/>
    <col min="3335" max="3578" width="9.140625" style="60"/>
    <col min="3579" max="3579" width="37.7109375" style="60" customWidth="1"/>
    <col min="3580" max="3580" width="9.140625" style="60"/>
    <col min="3581" max="3581" width="12.85546875" style="60" customWidth="1"/>
    <col min="3582" max="3583" width="0" style="60" hidden="1" customWidth="1"/>
    <col min="3584" max="3584" width="18.28515625" style="60" customWidth="1"/>
    <col min="3585" max="3585" width="64.85546875" style="60" customWidth="1"/>
    <col min="3586" max="3589" width="9.140625" style="60"/>
    <col min="3590" max="3590" width="14.85546875" style="60" customWidth="1"/>
    <col min="3591" max="3834" width="9.140625" style="60"/>
    <col min="3835" max="3835" width="37.7109375" style="60" customWidth="1"/>
    <col min="3836" max="3836" width="9.140625" style="60"/>
    <col min="3837" max="3837" width="12.85546875" style="60" customWidth="1"/>
    <col min="3838" max="3839" width="0" style="60" hidden="1" customWidth="1"/>
    <col min="3840" max="3840" width="18.28515625" style="60" customWidth="1"/>
    <col min="3841" max="3841" width="64.85546875" style="60" customWidth="1"/>
    <col min="3842" max="3845" width="9.140625" style="60"/>
    <col min="3846" max="3846" width="14.85546875" style="60" customWidth="1"/>
    <col min="3847" max="4090" width="9.140625" style="60"/>
    <col min="4091" max="4091" width="37.7109375" style="60" customWidth="1"/>
    <col min="4092" max="4092" width="9.140625" style="60"/>
    <col min="4093" max="4093" width="12.85546875" style="60" customWidth="1"/>
    <col min="4094" max="4095" width="0" style="60" hidden="1" customWidth="1"/>
    <col min="4096" max="4096" width="18.28515625" style="60" customWidth="1"/>
    <col min="4097" max="4097" width="64.85546875" style="60" customWidth="1"/>
    <col min="4098" max="4101" width="9.140625" style="60"/>
    <col min="4102" max="4102" width="14.85546875" style="60" customWidth="1"/>
    <col min="4103" max="4346" width="9.140625" style="60"/>
    <col min="4347" max="4347" width="37.7109375" style="60" customWidth="1"/>
    <col min="4348" max="4348" width="9.140625" style="60"/>
    <col min="4349" max="4349" width="12.85546875" style="60" customWidth="1"/>
    <col min="4350" max="4351" width="0" style="60" hidden="1" customWidth="1"/>
    <col min="4352" max="4352" width="18.28515625" style="60" customWidth="1"/>
    <col min="4353" max="4353" width="64.85546875" style="60" customWidth="1"/>
    <col min="4354" max="4357" width="9.140625" style="60"/>
    <col min="4358" max="4358" width="14.85546875" style="60" customWidth="1"/>
    <col min="4359" max="4602" width="9.140625" style="60"/>
    <col min="4603" max="4603" width="37.7109375" style="60" customWidth="1"/>
    <col min="4604" max="4604" width="9.140625" style="60"/>
    <col min="4605" max="4605" width="12.85546875" style="60" customWidth="1"/>
    <col min="4606" max="4607" width="0" style="60" hidden="1" customWidth="1"/>
    <col min="4608" max="4608" width="18.28515625" style="60" customWidth="1"/>
    <col min="4609" max="4609" width="64.85546875" style="60" customWidth="1"/>
    <col min="4610" max="4613" width="9.140625" style="60"/>
    <col min="4614" max="4614" width="14.85546875" style="60" customWidth="1"/>
    <col min="4615" max="4858" width="9.140625" style="60"/>
    <col min="4859" max="4859" width="37.7109375" style="60" customWidth="1"/>
    <col min="4860" max="4860" width="9.140625" style="60"/>
    <col min="4861" max="4861" width="12.85546875" style="60" customWidth="1"/>
    <col min="4862" max="4863" width="0" style="60" hidden="1" customWidth="1"/>
    <col min="4864" max="4864" width="18.28515625" style="60" customWidth="1"/>
    <col min="4865" max="4865" width="64.85546875" style="60" customWidth="1"/>
    <col min="4866" max="4869" width="9.140625" style="60"/>
    <col min="4870" max="4870" width="14.85546875" style="60" customWidth="1"/>
    <col min="4871" max="5114" width="9.140625" style="60"/>
    <col min="5115" max="5115" width="37.7109375" style="60" customWidth="1"/>
    <col min="5116" max="5116" width="9.140625" style="60"/>
    <col min="5117" max="5117" width="12.85546875" style="60" customWidth="1"/>
    <col min="5118" max="5119" width="0" style="60" hidden="1" customWidth="1"/>
    <col min="5120" max="5120" width="18.28515625" style="60" customWidth="1"/>
    <col min="5121" max="5121" width="64.85546875" style="60" customWidth="1"/>
    <col min="5122" max="5125" width="9.140625" style="60"/>
    <col min="5126" max="5126" width="14.85546875" style="60" customWidth="1"/>
    <col min="5127" max="5370" width="9.140625" style="60"/>
    <col min="5371" max="5371" width="37.7109375" style="60" customWidth="1"/>
    <col min="5372" max="5372" width="9.140625" style="60"/>
    <col min="5373" max="5373" width="12.85546875" style="60" customWidth="1"/>
    <col min="5374" max="5375" width="0" style="60" hidden="1" customWidth="1"/>
    <col min="5376" max="5376" width="18.28515625" style="60" customWidth="1"/>
    <col min="5377" max="5377" width="64.85546875" style="60" customWidth="1"/>
    <col min="5378" max="5381" width="9.140625" style="60"/>
    <col min="5382" max="5382" width="14.85546875" style="60" customWidth="1"/>
    <col min="5383" max="5626" width="9.140625" style="60"/>
    <col min="5627" max="5627" width="37.7109375" style="60" customWidth="1"/>
    <col min="5628" max="5628" width="9.140625" style="60"/>
    <col min="5629" max="5629" width="12.85546875" style="60" customWidth="1"/>
    <col min="5630" max="5631" width="0" style="60" hidden="1" customWidth="1"/>
    <col min="5632" max="5632" width="18.28515625" style="60" customWidth="1"/>
    <col min="5633" max="5633" width="64.85546875" style="60" customWidth="1"/>
    <col min="5634" max="5637" width="9.140625" style="60"/>
    <col min="5638" max="5638" width="14.85546875" style="60" customWidth="1"/>
    <col min="5639" max="5882" width="9.140625" style="60"/>
    <col min="5883" max="5883" width="37.7109375" style="60" customWidth="1"/>
    <col min="5884" max="5884" width="9.140625" style="60"/>
    <col min="5885" max="5885" width="12.85546875" style="60" customWidth="1"/>
    <col min="5886" max="5887" width="0" style="60" hidden="1" customWidth="1"/>
    <col min="5888" max="5888" width="18.28515625" style="60" customWidth="1"/>
    <col min="5889" max="5889" width="64.85546875" style="60" customWidth="1"/>
    <col min="5890" max="5893" width="9.140625" style="60"/>
    <col min="5894" max="5894" width="14.85546875" style="60" customWidth="1"/>
    <col min="5895" max="6138" width="9.140625" style="60"/>
    <col min="6139" max="6139" width="37.7109375" style="60" customWidth="1"/>
    <col min="6140" max="6140" width="9.140625" style="60"/>
    <col min="6141" max="6141" width="12.85546875" style="60" customWidth="1"/>
    <col min="6142" max="6143" width="0" style="60" hidden="1" customWidth="1"/>
    <col min="6144" max="6144" width="18.28515625" style="60" customWidth="1"/>
    <col min="6145" max="6145" width="64.85546875" style="60" customWidth="1"/>
    <col min="6146" max="6149" width="9.140625" style="60"/>
    <col min="6150" max="6150" width="14.85546875" style="60" customWidth="1"/>
    <col min="6151" max="6394" width="9.140625" style="60"/>
    <col min="6395" max="6395" width="37.7109375" style="60" customWidth="1"/>
    <col min="6396" max="6396" width="9.140625" style="60"/>
    <col min="6397" max="6397" width="12.85546875" style="60" customWidth="1"/>
    <col min="6398" max="6399" width="0" style="60" hidden="1" customWidth="1"/>
    <col min="6400" max="6400" width="18.28515625" style="60" customWidth="1"/>
    <col min="6401" max="6401" width="64.85546875" style="60" customWidth="1"/>
    <col min="6402" max="6405" width="9.140625" style="60"/>
    <col min="6406" max="6406" width="14.85546875" style="60" customWidth="1"/>
    <col min="6407" max="6650" width="9.140625" style="60"/>
    <col min="6651" max="6651" width="37.7109375" style="60" customWidth="1"/>
    <col min="6652" max="6652" width="9.140625" style="60"/>
    <col min="6653" max="6653" width="12.85546875" style="60" customWidth="1"/>
    <col min="6654" max="6655" width="0" style="60" hidden="1" customWidth="1"/>
    <col min="6656" max="6656" width="18.28515625" style="60" customWidth="1"/>
    <col min="6657" max="6657" width="64.85546875" style="60" customWidth="1"/>
    <col min="6658" max="6661" width="9.140625" style="60"/>
    <col min="6662" max="6662" width="14.85546875" style="60" customWidth="1"/>
    <col min="6663" max="6906" width="9.140625" style="60"/>
    <col min="6907" max="6907" width="37.7109375" style="60" customWidth="1"/>
    <col min="6908" max="6908" width="9.140625" style="60"/>
    <col min="6909" max="6909" width="12.85546875" style="60" customWidth="1"/>
    <col min="6910" max="6911" width="0" style="60" hidden="1" customWidth="1"/>
    <col min="6912" max="6912" width="18.28515625" style="60" customWidth="1"/>
    <col min="6913" max="6913" width="64.85546875" style="60" customWidth="1"/>
    <col min="6914" max="6917" width="9.140625" style="60"/>
    <col min="6918" max="6918" width="14.85546875" style="60" customWidth="1"/>
    <col min="6919" max="7162" width="9.140625" style="60"/>
    <col min="7163" max="7163" width="37.7109375" style="60" customWidth="1"/>
    <col min="7164" max="7164" width="9.140625" style="60"/>
    <col min="7165" max="7165" width="12.85546875" style="60" customWidth="1"/>
    <col min="7166" max="7167" width="0" style="60" hidden="1" customWidth="1"/>
    <col min="7168" max="7168" width="18.28515625" style="60" customWidth="1"/>
    <col min="7169" max="7169" width="64.85546875" style="60" customWidth="1"/>
    <col min="7170" max="7173" width="9.140625" style="60"/>
    <col min="7174" max="7174" width="14.85546875" style="60" customWidth="1"/>
    <col min="7175" max="7418" width="9.140625" style="60"/>
    <col min="7419" max="7419" width="37.7109375" style="60" customWidth="1"/>
    <col min="7420" max="7420" width="9.140625" style="60"/>
    <col min="7421" max="7421" width="12.85546875" style="60" customWidth="1"/>
    <col min="7422" max="7423" width="0" style="60" hidden="1" customWidth="1"/>
    <col min="7424" max="7424" width="18.28515625" style="60" customWidth="1"/>
    <col min="7425" max="7425" width="64.85546875" style="60" customWidth="1"/>
    <col min="7426" max="7429" width="9.140625" style="60"/>
    <col min="7430" max="7430" width="14.85546875" style="60" customWidth="1"/>
    <col min="7431" max="7674" width="9.140625" style="60"/>
    <col min="7675" max="7675" width="37.7109375" style="60" customWidth="1"/>
    <col min="7676" max="7676" width="9.140625" style="60"/>
    <col min="7677" max="7677" width="12.85546875" style="60" customWidth="1"/>
    <col min="7678" max="7679" width="0" style="60" hidden="1" customWidth="1"/>
    <col min="7680" max="7680" width="18.28515625" style="60" customWidth="1"/>
    <col min="7681" max="7681" width="64.85546875" style="60" customWidth="1"/>
    <col min="7682" max="7685" width="9.140625" style="60"/>
    <col min="7686" max="7686" width="14.85546875" style="60" customWidth="1"/>
    <col min="7687" max="7930" width="9.140625" style="60"/>
    <col min="7931" max="7931" width="37.7109375" style="60" customWidth="1"/>
    <col min="7932" max="7932" width="9.140625" style="60"/>
    <col min="7933" max="7933" width="12.85546875" style="60" customWidth="1"/>
    <col min="7934" max="7935" width="0" style="60" hidden="1" customWidth="1"/>
    <col min="7936" max="7936" width="18.28515625" style="60" customWidth="1"/>
    <col min="7937" max="7937" width="64.85546875" style="60" customWidth="1"/>
    <col min="7938" max="7941" width="9.140625" style="60"/>
    <col min="7942" max="7942" width="14.85546875" style="60" customWidth="1"/>
    <col min="7943" max="8186" width="9.140625" style="60"/>
    <col min="8187" max="8187" width="37.7109375" style="60" customWidth="1"/>
    <col min="8188" max="8188" width="9.140625" style="60"/>
    <col min="8189" max="8189" width="12.85546875" style="60" customWidth="1"/>
    <col min="8190" max="8191" width="0" style="60" hidden="1" customWidth="1"/>
    <col min="8192" max="8192" width="18.28515625" style="60" customWidth="1"/>
    <col min="8193" max="8193" width="64.85546875" style="60" customWidth="1"/>
    <col min="8194" max="8197" width="9.140625" style="60"/>
    <col min="8198" max="8198" width="14.85546875" style="60" customWidth="1"/>
    <col min="8199" max="8442" width="9.140625" style="60"/>
    <col min="8443" max="8443" width="37.7109375" style="60" customWidth="1"/>
    <col min="8444" max="8444" width="9.140625" style="60"/>
    <col min="8445" max="8445" width="12.85546875" style="60" customWidth="1"/>
    <col min="8446" max="8447" width="0" style="60" hidden="1" customWidth="1"/>
    <col min="8448" max="8448" width="18.28515625" style="60" customWidth="1"/>
    <col min="8449" max="8449" width="64.85546875" style="60" customWidth="1"/>
    <col min="8450" max="8453" width="9.140625" style="60"/>
    <col min="8454" max="8454" width="14.85546875" style="60" customWidth="1"/>
    <col min="8455" max="8698" width="9.140625" style="60"/>
    <col min="8699" max="8699" width="37.7109375" style="60" customWidth="1"/>
    <col min="8700" max="8700" width="9.140625" style="60"/>
    <col min="8701" max="8701" width="12.85546875" style="60" customWidth="1"/>
    <col min="8702" max="8703" width="0" style="60" hidden="1" customWidth="1"/>
    <col min="8704" max="8704" width="18.28515625" style="60" customWidth="1"/>
    <col min="8705" max="8705" width="64.85546875" style="60" customWidth="1"/>
    <col min="8706" max="8709" width="9.140625" style="60"/>
    <col min="8710" max="8710" width="14.85546875" style="60" customWidth="1"/>
    <col min="8711" max="8954" width="9.140625" style="60"/>
    <col min="8955" max="8955" width="37.7109375" style="60" customWidth="1"/>
    <col min="8956" max="8956" width="9.140625" style="60"/>
    <col min="8957" max="8957" width="12.85546875" style="60" customWidth="1"/>
    <col min="8958" max="8959" width="0" style="60" hidden="1" customWidth="1"/>
    <col min="8960" max="8960" width="18.28515625" style="60" customWidth="1"/>
    <col min="8961" max="8961" width="64.85546875" style="60" customWidth="1"/>
    <col min="8962" max="8965" width="9.140625" style="60"/>
    <col min="8966" max="8966" width="14.85546875" style="60" customWidth="1"/>
    <col min="8967" max="9210" width="9.140625" style="60"/>
    <col min="9211" max="9211" width="37.7109375" style="60" customWidth="1"/>
    <col min="9212" max="9212" width="9.140625" style="60"/>
    <col min="9213" max="9213" width="12.85546875" style="60" customWidth="1"/>
    <col min="9214" max="9215" width="0" style="60" hidden="1" customWidth="1"/>
    <col min="9216" max="9216" width="18.28515625" style="60" customWidth="1"/>
    <col min="9217" max="9217" width="64.85546875" style="60" customWidth="1"/>
    <col min="9218" max="9221" width="9.140625" style="60"/>
    <col min="9222" max="9222" width="14.85546875" style="60" customWidth="1"/>
    <col min="9223" max="9466" width="9.140625" style="60"/>
    <col min="9467" max="9467" width="37.7109375" style="60" customWidth="1"/>
    <col min="9468" max="9468" width="9.140625" style="60"/>
    <col min="9469" max="9469" width="12.85546875" style="60" customWidth="1"/>
    <col min="9470" max="9471" width="0" style="60" hidden="1" customWidth="1"/>
    <col min="9472" max="9472" width="18.28515625" style="60" customWidth="1"/>
    <col min="9473" max="9473" width="64.85546875" style="60" customWidth="1"/>
    <col min="9474" max="9477" width="9.140625" style="60"/>
    <col min="9478" max="9478" width="14.85546875" style="60" customWidth="1"/>
    <col min="9479" max="9722" width="9.140625" style="60"/>
    <col min="9723" max="9723" width="37.7109375" style="60" customWidth="1"/>
    <col min="9724" max="9724" width="9.140625" style="60"/>
    <col min="9725" max="9725" width="12.85546875" style="60" customWidth="1"/>
    <col min="9726" max="9727" width="0" style="60" hidden="1" customWidth="1"/>
    <col min="9728" max="9728" width="18.28515625" style="60" customWidth="1"/>
    <col min="9729" max="9729" width="64.85546875" style="60" customWidth="1"/>
    <col min="9730" max="9733" width="9.140625" style="60"/>
    <col min="9734" max="9734" width="14.85546875" style="60" customWidth="1"/>
    <col min="9735" max="9978" width="9.140625" style="60"/>
    <col min="9979" max="9979" width="37.7109375" style="60" customWidth="1"/>
    <col min="9980" max="9980" width="9.140625" style="60"/>
    <col min="9981" max="9981" width="12.85546875" style="60" customWidth="1"/>
    <col min="9982" max="9983" width="0" style="60" hidden="1" customWidth="1"/>
    <col min="9984" max="9984" width="18.28515625" style="60" customWidth="1"/>
    <col min="9985" max="9985" width="64.85546875" style="60" customWidth="1"/>
    <col min="9986" max="9989" width="9.140625" style="60"/>
    <col min="9990" max="9990" width="14.85546875" style="60" customWidth="1"/>
    <col min="9991" max="10234" width="9.140625" style="60"/>
    <col min="10235" max="10235" width="37.7109375" style="60" customWidth="1"/>
    <col min="10236" max="10236" width="9.140625" style="60"/>
    <col min="10237" max="10237" width="12.85546875" style="60" customWidth="1"/>
    <col min="10238" max="10239" width="0" style="60" hidden="1" customWidth="1"/>
    <col min="10240" max="10240" width="18.28515625" style="60" customWidth="1"/>
    <col min="10241" max="10241" width="64.85546875" style="60" customWidth="1"/>
    <col min="10242" max="10245" width="9.140625" style="60"/>
    <col min="10246" max="10246" width="14.85546875" style="60" customWidth="1"/>
    <col min="10247" max="10490" width="9.140625" style="60"/>
    <col min="10491" max="10491" width="37.7109375" style="60" customWidth="1"/>
    <col min="10492" max="10492" width="9.140625" style="60"/>
    <col min="10493" max="10493" width="12.85546875" style="60" customWidth="1"/>
    <col min="10494" max="10495" width="0" style="60" hidden="1" customWidth="1"/>
    <col min="10496" max="10496" width="18.28515625" style="60" customWidth="1"/>
    <col min="10497" max="10497" width="64.85546875" style="60" customWidth="1"/>
    <col min="10498" max="10501" width="9.140625" style="60"/>
    <col min="10502" max="10502" width="14.85546875" style="60" customWidth="1"/>
    <col min="10503" max="10746" width="9.140625" style="60"/>
    <col min="10747" max="10747" width="37.7109375" style="60" customWidth="1"/>
    <col min="10748" max="10748" width="9.140625" style="60"/>
    <col min="10749" max="10749" width="12.85546875" style="60" customWidth="1"/>
    <col min="10750" max="10751" width="0" style="60" hidden="1" customWidth="1"/>
    <col min="10752" max="10752" width="18.28515625" style="60" customWidth="1"/>
    <col min="10753" max="10753" width="64.85546875" style="60" customWidth="1"/>
    <col min="10754" max="10757" width="9.140625" style="60"/>
    <col min="10758" max="10758" width="14.85546875" style="60" customWidth="1"/>
    <col min="10759" max="11002" width="9.140625" style="60"/>
    <col min="11003" max="11003" width="37.7109375" style="60" customWidth="1"/>
    <col min="11004" max="11004" width="9.140625" style="60"/>
    <col min="11005" max="11005" width="12.85546875" style="60" customWidth="1"/>
    <col min="11006" max="11007" width="0" style="60" hidden="1" customWidth="1"/>
    <col min="11008" max="11008" width="18.28515625" style="60" customWidth="1"/>
    <col min="11009" max="11009" width="64.85546875" style="60" customWidth="1"/>
    <col min="11010" max="11013" width="9.140625" style="60"/>
    <col min="11014" max="11014" width="14.85546875" style="60" customWidth="1"/>
    <col min="11015" max="11258" width="9.140625" style="60"/>
    <col min="11259" max="11259" width="37.7109375" style="60" customWidth="1"/>
    <col min="11260" max="11260" width="9.140625" style="60"/>
    <col min="11261" max="11261" width="12.85546875" style="60" customWidth="1"/>
    <col min="11262" max="11263" width="0" style="60" hidden="1" customWidth="1"/>
    <col min="11264" max="11264" width="18.28515625" style="60" customWidth="1"/>
    <col min="11265" max="11265" width="64.85546875" style="60" customWidth="1"/>
    <col min="11266" max="11269" width="9.140625" style="60"/>
    <col min="11270" max="11270" width="14.85546875" style="60" customWidth="1"/>
    <col min="11271" max="11514" width="9.140625" style="60"/>
    <col min="11515" max="11515" width="37.7109375" style="60" customWidth="1"/>
    <col min="11516" max="11516" width="9.140625" style="60"/>
    <col min="11517" max="11517" width="12.85546875" style="60" customWidth="1"/>
    <col min="11518" max="11519" width="0" style="60" hidden="1" customWidth="1"/>
    <col min="11520" max="11520" width="18.28515625" style="60" customWidth="1"/>
    <col min="11521" max="11521" width="64.85546875" style="60" customWidth="1"/>
    <col min="11522" max="11525" width="9.140625" style="60"/>
    <col min="11526" max="11526" width="14.85546875" style="60" customWidth="1"/>
    <col min="11527" max="11770" width="9.140625" style="60"/>
    <col min="11771" max="11771" width="37.7109375" style="60" customWidth="1"/>
    <col min="11772" max="11772" width="9.140625" style="60"/>
    <col min="11773" max="11773" width="12.85546875" style="60" customWidth="1"/>
    <col min="11774" max="11775" width="0" style="60" hidden="1" customWidth="1"/>
    <col min="11776" max="11776" width="18.28515625" style="60" customWidth="1"/>
    <col min="11777" max="11777" width="64.85546875" style="60" customWidth="1"/>
    <col min="11778" max="11781" width="9.140625" style="60"/>
    <col min="11782" max="11782" width="14.85546875" style="60" customWidth="1"/>
    <col min="11783" max="12026" width="9.140625" style="60"/>
    <col min="12027" max="12027" width="37.7109375" style="60" customWidth="1"/>
    <col min="12028" max="12028" width="9.140625" style="60"/>
    <col min="12029" max="12029" width="12.85546875" style="60" customWidth="1"/>
    <col min="12030" max="12031" width="0" style="60" hidden="1" customWidth="1"/>
    <col min="12032" max="12032" width="18.28515625" style="60" customWidth="1"/>
    <col min="12033" max="12033" width="64.85546875" style="60" customWidth="1"/>
    <col min="12034" max="12037" width="9.140625" style="60"/>
    <col min="12038" max="12038" width="14.85546875" style="60" customWidth="1"/>
    <col min="12039" max="12282" width="9.140625" style="60"/>
    <col min="12283" max="12283" width="37.7109375" style="60" customWidth="1"/>
    <col min="12284" max="12284" width="9.140625" style="60"/>
    <col min="12285" max="12285" width="12.85546875" style="60" customWidth="1"/>
    <col min="12286" max="12287" width="0" style="60" hidden="1" customWidth="1"/>
    <col min="12288" max="12288" width="18.28515625" style="60" customWidth="1"/>
    <col min="12289" max="12289" width="64.85546875" style="60" customWidth="1"/>
    <col min="12290" max="12293" width="9.140625" style="60"/>
    <col min="12294" max="12294" width="14.85546875" style="60" customWidth="1"/>
    <col min="12295" max="12538" width="9.140625" style="60"/>
    <col min="12539" max="12539" width="37.7109375" style="60" customWidth="1"/>
    <col min="12540" max="12540" width="9.140625" style="60"/>
    <col min="12541" max="12541" width="12.85546875" style="60" customWidth="1"/>
    <col min="12542" max="12543" width="0" style="60" hidden="1" customWidth="1"/>
    <col min="12544" max="12544" width="18.28515625" style="60" customWidth="1"/>
    <col min="12545" max="12545" width="64.85546875" style="60" customWidth="1"/>
    <col min="12546" max="12549" width="9.140625" style="60"/>
    <col min="12550" max="12550" width="14.85546875" style="60" customWidth="1"/>
    <col min="12551" max="12794" width="9.140625" style="60"/>
    <col min="12795" max="12795" width="37.7109375" style="60" customWidth="1"/>
    <col min="12796" max="12796" width="9.140625" style="60"/>
    <col min="12797" max="12797" width="12.85546875" style="60" customWidth="1"/>
    <col min="12798" max="12799" width="0" style="60" hidden="1" customWidth="1"/>
    <col min="12800" max="12800" width="18.28515625" style="60" customWidth="1"/>
    <col min="12801" max="12801" width="64.85546875" style="60" customWidth="1"/>
    <col min="12802" max="12805" width="9.140625" style="60"/>
    <col min="12806" max="12806" width="14.85546875" style="60" customWidth="1"/>
    <col min="12807" max="13050" width="9.140625" style="60"/>
    <col min="13051" max="13051" width="37.7109375" style="60" customWidth="1"/>
    <col min="13052" max="13052" width="9.140625" style="60"/>
    <col min="13053" max="13053" width="12.85546875" style="60" customWidth="1"/>
    <col min="13054" max="13055" width="0" style="60" hidden="1" customWidth="1"/>
    <col min="13056" max="13056" width="18.28515625" style="60" customWidth="1"/>
    <col min="13057" max="13057" width="64.85546875" style="60" customWidth="1"/>
    <col min="13058" max="13061" width="9.140625" style="60"/>
    <col min="13062" max="13062" width="14.85546875" style="60" customWidth="1"/>
    <col min="13063" max="13306" width="9.140625" style="60"/>
    <col min="13307" max="13307" width="37.7109375" style="60" customWidth="1"/>
    <col min="13308" max="13308" width="9.140625" style="60"/>
    <col min="13309" max="13309" width="12.85546875" style="60" customWidth="1"/>
    <col min="13310" max="13311" width="0" style="60" hidden="1" customWidth="1"/>
    <col min="13312" max="13312" width="18.28515625" style="60" customWidth="1"/>
    <col min="13313" max="13313" width="64.85546875" style="60" customWidth="1"/>
    <col min="13314" max="13317" width="9.140625" style="60"/>
    <col min="13318" max="13318" width="14.85546875" style="60" customWidth="1"/>
    <col min="13319" max="13562" width="9.140625" style="60"/>
    <col min="13563" max="13563" width="37.7109375" style="60" customWidth="1"/>
    <col min="13564" max="13564" width="9.140625" style="60"/>
    <col min="13565" max="13565" width="12.85546875" style="60" customWidth="1"/>
    <col min="13566" max="13567" width="0" style="60" hidden="1" customWidth="1"/>
    <col min="13568" max="13568" width="18.28515625" style="60" customWidth="1"/>
    <col min="13569" max="13569" width="64.85546875" style="60" customWidth="1"/>
    <col min="13570" max="13573" width="9.140625" style="60"/>
    <col min="13574" max="13574" width="14.85546875" style="60" customWidth="1"/>
    <col min="13575" max="13818" width="9.140625" style="60"/>
    <col min="13819" max="13819" width="37.7109375" style="60" customWidth="1"/>
    <col min="13820" max="13820" width="9.140625" style="60"/>
    <col min="13821" max="13821" width="12.85546875" style="60" customWidth="1"/>
    <col min="13822" max="13823" width="0" style="60" hidden="1" customWidth="1"/>
    <col min="13824" max="13824" width="18.28515625" style="60" customWidth="1"/>
    <col min="13825" max="13825" width="64.85546875" style="60" customWidth="1"/>
    <col min="13826" max="13829" width="9.140625" style="60"/>
    <col min="13830" max="13830" width="14.85546875" style="60" customWidth="1"/>
    <col min="13831" max="14074" width="9.140625" style="60"/>
    <col min="14075" max="14075" width="37.7109375" style="60" customWidth="1"/>
    <col min="14076" max="14076" width="9.140625" style="60"/>
    <col min="14077" max="14077" width="12.85546875" style="60" customWidth="1"/>
    <col min="14078" max="14079" width="0" style="60" hidden="1" customWidth="1"/>
    <col min="14080" max="14080" width="18.28515625" style="60" customWidth="1"/>
    <col min="14081" max="14081" width="64.85546875" style="60" customWidth="1"/>
    <col min="14082" max="14085" width="9.140625" style="60"/>
    <col min="14086" max="14086" width="14.85546875" style="60" customWidth="1"/>
    <col min="14087" max="14330" width="9.140625" style="60"/>
    <col min="14331" max="14331" width="37.7109375" style="60" customWidth="1"/>
    <col min="14332" max="14332" width="9.140625" style="60"/>
    <col min="14333" max="14333" width="12.85546875" style="60" customWidth="1"/>
    <col min="14334" max="14335" width="0" style="60" hidden="1" customWidth="1"/>
    <col min="14336" max="14336" width="18.28515625" style="60" customWidth="1"/>
    <col min="14337" max="14337" width="64.85546875" style="60" customWidth="1"/>
    <col min="14338" max="14341" width="9.140625" style="60"/>
    <col min="14342" max="14342" width="14.85546875" style="60" customWidth="1"/>
    <col min="14343" max="14586" width="9.140625" style="60"/>
    <col min="14587" max="14587" width="37.7109375" style="60" customWidth="1"/>
    <col min="14588" max="14588" width="9.140625" style="60"/>
    <col min="14589" max="14589" width="12.85546875" style="60" customWidth="1"/>
    <col min="14590" max="14591" width="0" style="60" hidden="1" customWidth="1"/>
    <col min="14592" max="14592" width="18.28515625" style="60" customWidth="1"/>
    <col min="14593" max="14593" width="64.85546875" style="60" customWidth="1"/>
    <col min="14594" max="14597" width="9.140625" style="60"/>
    <col min="14598" max="14598" width="14.85546875" style="60" customWidth="1"/>
    <col min="14599" max="14842" width="9.140625" style="60"/>
    <col min="14843" max="14843" width="37.7109375" style="60" customWidth="1"/>
    <col min="14844" max="14844" width="9.140625" style="60"/>
    <col min="14845" max="14845" width="12.85546875" style="60" customWidth="1"/>
    <col min="14846" max="14847" width="0" style="60" hidden="1" customWidth="1"/>
    <col min="14848" max="14848" width="18.28515625" style="60" customWidth="1"/>
    <col min="14849" max="14849" width="64.85546875" style="60" customWidth="1"/>
    <col min="14850" max="14853" width="9.140625" style="60"/>
    <col min="14854" max="14854" width="14.85546875" style="60" customWidth="1"/>
    <col min="14855" max="15098" width="9.140625" style="60"/>
    <col min="15099" max="15099" width="37.7109375" style="60" customWidth="1"/>
    <col min="15100" max="15100" width="9.140625" style="60"/>
    <col min="15101" max="15101" width="12.85546875" style="60" customWidth="1"/>
    <col min="15102" max="15103" width="0" style="60" hidden="1" customWidth="1"/>
    <col min="15104" max="15104" width="18.28515625" style="60" customWidth="1"/>
    <col min="15105" max="15105" width="64.85546875" style="60" customWidth="1"/>
    <col min="15106" max="15109" width="9.140625" style="60"/>
    <col min="15110" max="15110" width="14.85546875" style="60" customWidth="1"/>
    <col min="15111" max="15354" width="9.140625" style="60"/>
    <col min="15355" max="15355" width="37.7109375" style="60" customWidth="1"/>
    <col min="15356" max="15356" width="9.140625" style="60"/>
    <col min="15357" max="15357" width="12.85546875" style="60" customWidth="1"/>
    <col min="15358" max="15359" width="0" style="60" hidden="1" customWidth="1"/>
    <col min="15360" max="15360" width="18.28515625" style="60" customWidth="1"/>
    <col min="15361" max="15361" width="64.85546875" style="60" customWidth="1"/>
    <col min="15362" max="15365" width="9.140625" style="60"/>
    <col min="15366" max="15366" width="14.85546875" style="60" customWidth="1"/>
    <col min="15367" max="15610" width="9.140625" style="60"/>
    <col min="15611" max="15611" width="37.7109375" style="60" customWidth="1"/>
    <col min="15612" max="15612" width="9.140625" style="60"/>
    <col min="15613" max="15613" width="12.85546875" style="60" customWidth="1"/>
    <col min="15614" max="15615" width="0" style="60" hidden="1" customWidth="1"/>
    <col min="15616" max="15616" width="18.28515625" style="60" customWidth="1"/>
    <col min="15617" max="15617" width="64.85546875" style="60" customWidth="1"/>
    <col min="15618" max="15621" width="9.140625" style="60"/>
    <col min="15622" max="15622" width="14.85546875" style="60" customWidth="1"/>
    <col min="15623" max="15866" width="9.140625" style="60"/>
    <col min="15867" max="15867" width="37.7109375" style="60" customWidth="1"/>
    <col min="15868" max="15868" width="9.140625" style="60"/>
    <col min="15869" max="15869" width="12.85546875" style="60" customWidth="1"/>
    <col min="15870" max="15871" width="0" style="60" hidden="1" customWidth="1"/>
    <col min="15872" max="15872" width="18.28515625" style="60" customWidth="1"/>
    <col min="15873" max="15873" width="64.85546875" style="60" customWidth="1"/>
    <col min="15874" max="15877" width="9.140625" style="60"/>
    <col min="15878" max="15878" width="14.85546875" style="60" customWidth="1"/>
    <col min="15879" max="16122" width="9.140625" style="60"/>
    <col min="16123" max="16123" width="37.7109375" style="60" customWidth="1"/>
    <col min="16124" max="16124" width="9.140625" style="60"/>
    <col min="16125" max="16125" width="12.85546875" style="60" customWidth="1"/>
    <col min="16126" max="16127" width="0" style="60" hidden="1" customWidth="1"/>
    <col min="16128" max="16128" width="18.28515625" style="60" customWidth="1"/>
    <col min="16129" max="16129" width="64.85546875" style="60" customWidth="1"/>
    <col min="16130" max="16133" width="9.140625" style="60"/>
    <col min="16134" max="16134" width="14.85546875" style="60" customWidth="1"/>
    <col min="16135" max="16384" width="9.140625" style="60"/>
  </cols>
  <sheetData>
    <row r="1" spans="1:42" ht="18.75" x14ac:dyDescent="0.25">
      <c r="J1" s="38" t="s">
        <v>69</v>
      </c>
    </row>
    <row r="2" spans="1:42" ht="18.75" x14ac:dyDescent="0.3">
      <c r="J2" s="14" t="s">
        <v>10</v>
      </c>
    </row>
    <row r="3" spans="1:42" ht="18.75" x14ac:dyDescent="0.3">
      <c r="J3" s="14" t="s">
        <v>68</v>
      </c>
    </row>
    <row r="4" spans="1:42" ht="18.75" x14ac:dyDescent="0.3">
      <c r="I4" s="14"/>
    </row>
    <row r="5" spans="1:42" x14ac:dyDescent="0.25">
      <c r="A5" s="310" t="str">
        <f>'1. паспорт местоположение'!A5:C5</f>
        <v>Год раскрытия информации: 2016 год</v>
      </c>
      <c r="B5" s="310"/>
      <c r="C5" s="310"/>
      <c r="D5" s="310"/>
      <c r="E5" s="310"/>
      <c r="F5" s="310"/>
      <c r="G5" s="310"/>
      <c r="H5" s="310"/>
      <c r="I5" s="310"/>
      <c r="J5" s="310"/>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row>
    <row r="6" spans="1:42" ht="18.75" x14ac:dyDescent="0.3">
      <c r="I6" s="14"/>
    </row>
    <row r="7" spans="1:42" ht="18.75" x14ac:dyDescent="0.25">
      <c r="A7" s="303" t="s">
        <v>9</v>
      </c>
      <c r="B7" s="303"/>
      <c r="C7" s="303"/>
      <c r="D7" s="303"/>
      <c r="E7" s="303"/>
      <c r="F7" s="303"/>
      <c r="G7" s="303"/>
      <c r="H7" s="303"/>
      <c r="I7" s="303"/>
      <c r="J7" s="303"/>
    </row>
    <row r="8" spans="1:42" ht="18.75" x14ac:dyDescent="0.25">
      <c r="A8" s="303"/>
      <c r="B8" s="303"/>
      <c r="C8" s="303"/>
      <c r="D8" s="303"/>
      <c r="E8" s="303"/>
      <c r="F8" s="303"/>
      <c r="G8" s="303"/>
      <c r="H8" s="303"/>
      <c r="I8" s="303"/>
      <c r="J8" s="303"/>
    </row>
    <row r="9" spans="1:42" x14ac:dyDescent="0.25">
      <c r="A9" s="306" t="str">
        <f>'1. паспорт местоположение'!A9:C9</f>
        <v>АО "Янтарьэнерго"</v>
      </c>
      <c r="B9" s="306"/>
      <c r="C9" s="306"/>
      <c r="D9" s="306"/>
      <c r="E9" s="306"/>
      <c r="F9" s="306"/>
      <c r="G9" s="306"/>
      <c r="H9" s="306"/>
      <c r="I9" s="306"/>
      <c r="J9" s="306"/>
    </row>
    <row r="10" spans="1:42" x14ac:dyDescent="0.25">
      <c r="A10" s="300" t="s">
        <v>8</v>
      </c>
      <c r="B10" s="300"/>
      <c r="C10" s="300"/>
      <c r="D10" s="300"/>
      <c r="E10" s="300"/>
      <c r="F10" s="300"/>
      <c r="G10" s="300"/>
      <c r="H10" s="300"/>
      <c r="I10" s="300"/>
      <c r="J10" s="300"/>
    </row>
    <row r="11" spans="1:42" ht="18.75" x14ac:dyDescent="0.25">
      <c r="A11" s="303"/>
      <c r="B11" s="303"/>
      <c r="C11" s="303"/>
      <c r="D11" s="303"/>
      <c r="E11" s="303"/>
      <c r="F11" s="303"/>
      <c r="G11" s="303"/>
      <c r="H11" s="303"/>
      <c r="I11" s="303"/>
      <c r="J11" s="303"/>
    </row>
    <row r="12" spans="1:42" x14ac:dyDescent="0.25">
      <c r="A12" s="306" t="str">
        <f>'1. паспорт местоположение'!A12:C12</f>
        <v>E_prj_111001_2501</v>
      </c>
      <c r="B12" s="306"/>
      <c r="C12" s="306"/>
      <c r="D12" s="306"/>
      <c r="E12" s="306"/>
      <c r="F12" s="306"/>
      <c r="G12" s="306"/>
      <c r="H12" s="306"/>
      <c r="I12" s="306"/>
      <c r="J12" s="306"/>
    </row>
    <row r="13" spans="1:42" x14ac:dyDescent="0.25">
      <c r="A13" s="300" t="s">
        <v>7</v>
      </c>
      <c r="B13" s="300"/>
      <c r="C13" s="300"/>
      <c r="D13" s="300"/>
      <c r="E13" s="300"/>
      <c r="F13" s="300"/>
      <c r="G13" s="300"/>
      <c r="H13" s="300"/>
      <c r="I13" s="300"/>
      <c r="J13" s="300"/>
    </row>
    <row r="14" spans="1:42" ht="18.75" x14ac:dyDescent="0.25">
      <c r="A14" s="309"/>
      <c r="B14" s="309"/>
      <c r="C14" s="309"/>
      <c r="D14" s="309"/>
      <c r="E14" s="309"/>
      <c r="F14" s="309"/>
      <c r="G14" s="309"/>
      <c r="H14" s="309"/>
      <c r="I14" s="309"/>
      <c r="J14" s="309"/>
    </row>
    <row r="15" spans="1:42" x14ac:dyDescent="0.25">
      <c r="A15" s="306" t="str">
        <f>'1. паспорт местоположение'!A15:C15</f>
        <v>Строительство ПС 110 кВ "Храброво" с заходами, г. Калининград</v>
      </c>
      <c r="B15" s="306"/>
      <c r="C15" s="306"/>
      <c r="D15" s="306"/>
      <c r="E15" s="306"/>
      <c r="F15" s="306"/>
      <c r="G15" s="306"/>
      <c r="H15" s="306"/>
      <c r="I15" s="306"/>
      <c r="J15" s="306"/>
    </row>
    <row r="16" spans="1:42" x14ac:dyDescent="0.25">
      <c r="A16" s="300" t="s">
        <v>6</v>
      </c>
      <c r="B16" s="300"/>
      <c r="C16" s="300"/>
      <c r="D16" s="300"/>
      <c r="E16" s="300"/>
      <c r="F16" s="300"/>
      <c r="G16" s="300"/>
      <c r="H16" s="300"/>
      <c r="I16" s="300"/>
      <c r="J16" s="300"/>
    </row>
    <row r="17" spans="1:10" ht="15.75" customHeight="1" x14ac:dyDescent="0.25">
      <c r="J17" s="89"/>
    </row>
    <row r="18" spans="1:10" x14ac:dyDescent="0.25">
      <c r="I18" s="88"/>
    </row>
    <row r="19" spans="1:10" ht="15.75" customHeight="1" x14ac:dyDescent="0.25">
      <c r="A19" s="356" t="s">
        <v>447</v>
      </c>
      <c r="B19" s="356"/>
      <c r="C19" s="356"/>
      <c r="D19" s="356"/>
      <c r="E19" s="356"/>
      <c r="F19" s="356"/>
      <c r="G19" s="356"/>
      <c r="H19" s="356"/>
      <c r="I19" s="356"/>
      <c r="J19" s="356"/>
    </row>
    <row r="20" spans="1:10" x14ac:dyDescent="0.25">
      <c r="A20" s="64"/>
      <c r="B20" s="64"/>
      <c r="C20" s="87"/>
      <c r="D20" s="87"/>
      <c r="E20" s="87"/>
      <c r="F20" s="87"/>
      <c r="G20" s="87"/>
      <c r="H20" s="87"/>
      <c r="I20" s="87"/>
      <c r="J20" s="87"/>
    </row>
    <row r="21" spans="1:10" ht="28.5" customHeight="1" x14ac:dyDescent="0.25">
      <c r="A21" s="357" t="s">
        <v>209</v>
      </c>
      <c r="B21" s="357" t="s">
        <v>208</v>
      </c>
      <c r="C21" s="363" t="s">
        <v>405</v>
      </c>
      <c r="D21" s="363"/>
      <c r="E21" s="363"/>
      <c r="F21" s="363"/>
      <c r="G21" s="358" t="s">
        <v>207</v>
      </c>
      <c r="H21" s="360" t="s">
        <v>407</v>
      </c>
      <c r="I21" s="357" t="s">
        <v>206</v>
      </c>
      <c r="J21" s="359" t="s">
        <v>406</v>
      </c>
    </row>
    <row r="22" spans="1:10" ht="58.5" customHeight="1" x14ac:dyDescent="0.25">
      <c r="A22" s="357"/>
      <c r="B22" s="357"/>
      <c r="C22" s="364" t="s">
        <v>2</v>
      </c>
      <c r="D22" s="364"/>
      <c r="E22" s="365" t="s">
        <v>11</v>
      </c>
      <c r="F22" s="366"/>
      <c r="G22" s="358"/>
      <c r="H22" s="361"/>
      <c r="I22" s="357"/>
      <c r="J22" s="359"/>
    </row>
    <row r="23" spans="1:10" ht="47.25" x14ac:dyDescent="0.25">
      <c r="A23" s="357"/>
      <c r="B23" s="357"/>
      <c r="C23" s="86" t="s">
        <v>205</v>
      </c>
      <c r="D23" s="86" t="s">
        <v>204</v>
      </c>
      <c r="E23" s="86" t="s">
        <v>205</v>
      </c>
      <c r="F23" s="86" t="s">
        <v>204</v>
      </c>
      <c r="G23" s="358"/>
      <c r="H23" s="362"/>
      <c r="I23" s="357"/>
      <c r="J23" s="359"/>
    </row>
    <row r="24" spans="1:10" x14ac:dyDescent="0.25">
      <c r="A24" s="71">
        <v>1</v>
      </c>
      <c r="B24" s="71">
        <v>2</v>
      </c>
      <c r="C24" s="86">
        <v>3</v>
      </c>
      <c r="D24" s="86">
        <v>4</v>
      </c>
      <c r="E24" s="86">
        <v>7</v>
      </c>
      <c r="F24" s="86">
        <v>8</v>
      </c>
      <c r="G24" s="86">
        <v>9</v>
      </c>
      <c r="H24" s="86">
        <v>10</v>
      </c>
      <c r="I24" s="86">
        <v>11</v>
      </c>
      <c r="J24" s="86">
        <v>12</v>
      </c>
    </row>
    <row r="25" spans="1:10" s="67" customFormat="1" x14ac:dyDescent="0.25">
      <c r="A25" s="416">
        <v>1</v>
      </c>
      <c r="B25" s="417" t="s">
        <v>203</v>
      </c>
      <c r="C25" s="418"/>
      <c r="D25" s="419"/>
      <c r="E25" s="419"/>
      <c r="F25" s="419"/>
      <c r="G25" s="422"/>
      <c r="H25" s="422"/>
      <c r="I25" s="423"/>
      <c r="J25" s="424"/>
    </row>
    <row r="26" spans="1:10" s="67" customFormat="1" x14ac:dyDescent="0.25">
      <c r="A26" s="416" t="s">
        <v>665</v>
      </c>
      <c r="B26" s="420" t="s">
        <v>666</v>
      </c>
      <c r="C26" s="418"/>
      <c r="D26" s="419"/>
      <c r="E26" s="419"/>
      <c r="F26" s="419"/>
      <c r="G26" s="422"/>
      <c r="H26" s="422"/>
      <c r="I26" s="423"/>
      <c r="J26" s="423"/>
    </row>
    <row r="27" spans="1:10" s="67" customFormat="1" ht="31.5" x14ac:dyDescent="0.25">
      <c r="A27" s="416" t="s">
        <v>667</v>
      </c>
      <c r="B27" s="420" t="s">
        <v>668</v>
      </c>
      <c r="C27" s="418"/>
      <c r="D27" s="419"/>
      <c r="E27" s="419"/>
      <c r="F27" s="419"/>
      <c r="G27" s="422"/>
      <c r="H27" s="422"/>
      <c r="I27" s="423"/>
      <c r="J27" s="423"/>
    </row>
    <row r="28" spans="1:10" s="67" customFormat="1" ht="63" x14ac:dyDescent="0.25">
      <c r="A28" s="416" t="s">
        <v>669</v>
      </c>
      <c r="B28" s="420" t="s">
        <v>670</v>
      </c>
      <c r="C28" s="418"/>
      <c r="D28" s="419"/>
      <c r="E28" s="419"/>
      <c r="F28" s="419"/>
      <c r="G28" s="422"/>
      <c r="H28" s="422"/>
      <c r="I28" s="423"/>
      <c r="J28" s="423"/>
    </row>
    <row r="29" spans="1:10" s="67" customFormat="1" ht="31.5" x14ac:dyDescent="0.25">
      <c r="A29" s="416" t="s">
        <v>671</v>
      </c>
      <c r="B29" s="420" t="s">
        <v>672</v>
      </c>
      <c r="C29" s="419">
        <v>42003</v>
      </c>
      <c r="D29" s="419">
        <v>42003</v>
      </c>
      <c r="E29" s="419">
        <v>42676</v>
      </c>
      <c r="F29" s="419">
        <v>42676</v>
      </c>
      <c r="G29" s="422">
        <v>100</v>
      </c>
      <c r="H29" s="422">
        <v>100</v>
      </c>
      <c r="I29" s="423"/>
      <c r="J29" s="423"/>
    </row>
    <row r="30" spans="1:10" s="67" customFormat="1" ht="31.5" x14ac:dyDescent="0.25">
      <c r="A30" s="416" t="s">
        <v>673</v>
      </c>
      <c r="B30" s="420" t="s">
        <v>674</v>
      </c>
      <c r="C30" s="419">
        <v>42216</v>
      </c>
      <c r="D30" s="419">
        <v>42216</v>
      </c>
      <c r="E30" s="419">
        <v>42170</v>
      </c>
      <c r="F30" s="419">
        <v>42170</v>
      </c>
      <c r="G30" s="422">
        <v>100</v>
      </c>
      <c r="H30" s="422"/>
      <c r="I30" s="423"/>
      <c r="J30" s="423"/>
    </row>
    <row r="31" spans="1:10" s="67" customFormat="1" ht="19.5" customHeight="1" x14ac:dyDescent="0.25">
      <c r="A31" s="416" t="s">
        <v>675</v>
      </c>
      <c r="B31" s="420" t="s">
        <v>676</v>
      </c>
      <c r="C31" s="419">
        <v>41810</v>
      </c>
      <c r="D31" s="419">
        <v>41810</v>
      </c>
      <c r="E31" s="419">
        <v>41806</v>
      </c>
      <c r="F31" s="419">
        <v>41806</v>
      </c>
      <c r="G31" s="422">
        <v>100</v>
      </c>
      <c r="H31" s="422"/>
      <c r="I31" s="423"/>
      <c r="J31" s="423"/>
    </row>
    <row r="32" spans="1:10" ht="31.5" x14ac:dyDescent="0.25">
      <c r="A32" s="416" t="s">
        <v>677</v>
      </c>
      <c r="B32" s="420" t="s">
        <v>678</v>
      </c>
      <c r="C32" s="419">
        <v>42050</v>
      </c>
      <c r="D32" s="419">
        <v>42050</v>
      </c>
      <c r="E32" s="419">
        <v>42037</v>
      </c>
      <c r="F32" s="419">
        <v>42037</v>
      </c>
      <c r="G32" s="422">
        <v>100</v>
      </c>
      <c r="H32" s="422"/>
      <c r="I32" s="423"/>
      <c r="J32" s="423"/>
    </row>
    <row r="33" spans="1:10" ht="47.25" x14ac:dyDescent="0.25">
      <c r="A33" s="416" t="s">
        <v>679</v>
      </c>
      <c r="B33" s="420" t="s">
        <v>680</v>
      </c>
      <c r="C33" s="419">
        <v>42078</v>
      </c>
      <c r="D33" s="419">
        <v>42078</v>
      </c>
      <c r="E33" s="419">
        <v>42065</v>
      </c>
      <c r="F33" s="419">
        <v>42065</v>
      </c>
      <c r="G33" s="422">
        <v>100</v>
      </c>
      <c r="H33" s="422"/>
      <c r="I33" s="423"/>
      <c r="J33" s="423"/>
    </row>
    <row r="34" spans="1:10" ht="63" x14ac:dyDescent="0.25">
      <c r="A34" s="416" t="s">
        <v>681</v>
      </c>
      <c r="B34" s="420" t="s">
        <v>682</v>
      </c>
      <c r="C34" s="419" t="s">
        <v>512</v>
      </c>
      <c r="D34" s="419" t="s">
        <v>512</v>
      </c>
      <c r="E34" s="419" t="s">
        <v>512</v>
      </c>
      <c r="F34" s="419" t="s">
        <v>512</v>
      </c>
      <c r="G34" s="425"/>
      <c r="H34" s="425"/>
      <c r="I34" s="425"/>
      <c r="J34" s="423"/>
    </row>
    <row r="35" spans="1:10" ht="31.5" x14ac:dyDescent="0.25">
      <c r="A35" s="416" t="s">
        <v>683</v>
      </c>
      <c r="B35" s="420" t="s">
        <v>202</v>
      </c>
      <c r="C35" s="418">
        <v>42094</v>
      </c>
      <c r="D35" s="419">
        <v>42094</v>
      </c>
      <c r="E35" s="419">
        <v>42094</v>
      </c>
      <c r="F35" s="419">
        <v>42094</v>
      </c>
      <c r="G35" s="422">
        <v>100</v>
      </c>
      <c r="H35" s="425"/>
      <c r="I35" s="425"/>
      <c r="J35" s="423"/>
    </row>
    <row r="36" spans="1:10" ht="31.5" x14ac:dyDescent="0.25">
      <c r="A36" s="416" t="s">
        <v>684</v>
      </c>
      <c r="B36" s="420" t="s">
        <v>685</v>
      </c>
      <c r="C36" s="419">
        <v>42217</v>
      </c>
      <c r="D36" s="419">
        <v>42217</v>
      </c>
      <c r="E36" s="419">
        <v>42202</v>
      </c>
      <c r="F36" s="419">
        <v>42202</v>
      </c>
      <c r="G36" s="422">
        <v>100</v>
      </c>
      <c r="H36" s="426"/>
      <c r="I36" s="423"/>
      <c r="J36" s="423"/>
    </row>
    <row r="37" spans="1:10" x14ac:dyDescent="0.25">
      <c r="A37" s="416" t="s">
        <v>686</v>
      </c>
      <c r="B37" s="420" t="s">
        <v>201</v>
      </c>
      <c r="C37" s="419">
        <v>42368</v>
      </c>
      <c r="D37" s="419">
        <v>42368</v>
      </c>
      <c r="E37" s="419">
        <v>42368</v>
      </c>
      <c r="F37" s="419">
        <v>42368</v>
      </c>
      <c r="G37" s="422">
        <v>100</v>
      </c>
      <c r="H37" s="426"/>
      <c r="I37" s="423"/>
      <c r="J37" s="423"/>
    </row>
    <row r="38" spans="1:10" x14ac:dyDescent="0.25">
      <c r="A38" s="416" t="s">
        <v>687</v>
      </c>
      <c r="B38" s="417" t="s">
        <v>200</v>
      </c>
      <c r="C38" s="418"/>
      <c r="D38" s="419"/>
      <c r="E38" s="419"/>
      <c r="F38" s="419"/>
      <c r="G38" s="423"/>
      <c r="H38" s="423"/>
      <c r="I38" s="423"/>
      <c r="J38" s="423"/>
    </row>
    <row r="39" spans="1:10" ht="63" x14ac:dyDescent="0.25">
      <c r="A39" s="416">
        <v>2</v>
      </c>
      <c r="B39" s="420" t="s">
        <v>688</v>
      </c>
      <c r="C39" s="419">
        <v>42195</v>
      </c>
      <c r="D39" s="419">
        <v>42195</v>
      </c>
      <c r="E39" s="419">
        <v>42209</v>
      </c>
      <c r="F39" s="419">
        <v>42209</v>
      </c>
      <c r="G39" s="422">
        <v>100</v>
      </c>
      <c r="H39" s="423"/>
      <c r="I39" s="423"/>
      <c r="J39" s="423"/>
    </row>
    <row r="40" spans="1:10" x14ac:dyDescent="0.25">
      <c r="A40" s="416" t="s">
        <v>689</v>
      </c>
      <c r="B40" s="420" t="s">
        <v>690</v>
      </c>
      <c r="C40" s="419">
        <v>42226</v>
      </c>
      <c r="D40" s="419">
        <v>42459</v>
      </c>
      <c r="E40" s="419">
        <v>42240</v>
      </c>
      <c r="F40" s="419">
        <v>42714</v>
      </c>
      <c r="G40" s="422">
        <v>100</v>
      </c>
      <c r="H40" s="422">
        <v>100</v>
      </c>
      <c r="I40" s="423"/>
      <c r="J40" s="423"/>
    </row>
    <row r="41" spans="1:10" ht="47.25" x14ac:dyDescent="0.25">
      <c r="A41" s="416" t="s">
        <v>691</v>
      </c>
      <c r="B41" s="417" t="s">
        <v>692</v>
      </c>
      <c r="C41" s="418"/>
      <c r="D41" s="419"/>
      <c r="E41" s="419"/>
      <c r="F41" s="419"/>
      <c r="G41" s="423"/>
      <c r="H41" s="423"/>
      <c r="I41" s="423"/>
      <c r="J41" s="423"/>
    </row>
    <row r="42" spans="1:10" ht="31.5" x14ac:dyDescent="0.25">
      <c r="A42" s="416">
        <v>3</v>
      </c>
      <c r="B42" s="420" t="s">
        <v>693</v>
      </c>
      <c r="C42" s="418">
        <v>42186</v>
      </c>
      <c r="D42" s="419">
        <v>42217</v>
      </c>
      <c r="E42" s="419">
        <v>42186</v>
      </c>
      <c r="F42" s="419">
        <v>42217</v>
      </c>
      <c r="G42" s="422">
        <v>100</v>
      </c>
      <c r="H42" s="423"/>
      <c r="I42" s="423"/>
      <c r="J42" s="423"/>
    </row>
    <row r="43" spans="1:10" x14ac:dyDescent="0.25">
      <c r="A43" s="416" t="s">
        <v>694</v>
      </c>
      <c r="B43" s="420" t="s">
        <v>199</v>
      </c>
      <c r="C43" s="418">
        <v>42384</v>
      </c>
      <c r="D43" s="419">
        <v>42459</v>
      </c>
      <c r="E43" s="418">
        <v>42384</v>
      </c>
      <c r="F43" s="419">
        <v>42714</v>
      </c>
      <c r="G43" s="422">
        <v>100</v>
      </c>
      <c r="H43" s="422">
        <v>100</v>
      </c>
      <c r="I43" s="423"/>
      <c r="J43" s="423"/>
    </row>
    <row r="44" spans="1:10" x14ac:dyDescent="0.25">
      <c r="A44" s="416" t="s">
        <v>695</v>
      </c>
      <c r="B44" s="420" t="s">
        <v>198</v>
      </c>
      <c r="C44" s="229">
        <v>42522</v>
      </c>
      <c r="D44" s="229">
        <v>42734</v>
      </c>
      <c r="E44" s="229">
        <v>42522</v>
      </c>
      <c r="F44" s="85"/>
      <c r="G44" s="423"/>
      <c r="H44" s="423"/>
      <c r="I44" s="423"/>
      <c r="J44" s="423"/>
    </row>
    <row r="45" spans="1:10" ht="78.75" x14ac:dyDescent="0.25">
      <c r="A45" s="416" t="s">
        <v>696</v>
      </c>
      <c r="B45" s="420" t="s">
        <v>697</v>
      </c>
      <c r="C45" s="418"/>
      <c r="D45" s="419"/>
      <c r="E45" s="419"/>
      <c r="F45" s="419"/>
      <c r="G45" s="423"/>
      <c r="H45" s="423"/>
      <c r="I45" s="423"/>
      <c r="J45" s="423"/>
    </row>
    <row r="46" spans="1:10" ht="157.5" x14ac:dyDescent="0.25">
      <c r="A46" s="416" t="s">
        <v>698</v>
      </c>
      <c r="B46" s="420" t="s">
        <v>699</v>
      </c>
      <c r="C46" s="418"/>
      <c r="D46" s="419"/>
      <c r="E46" s="419"/>
      <c r="F46" s="419"/>
      <c r="G46" s="423"/>
      <c r="H46" s="423"/>
      <c r="I46" s="423"/>
      <c r="J46" s="423"/>
    </row>
    <row r="47" spans="1:10" x14ac:dyDescent="0.25">
      <c r="A47" s="416" t="s">
        <v>700</v>
      </c>
      <c r="B47" s="420" t="s">
        <v>197</v>
      </c>
      <c r="C47" s="229">
        <v>42552</v>
      </c>
      <c r="D47" s="229">
        <v>42819</v>
      </c>
      <c r="E47" s="419"/>
      <c r="F47" s="419"/>
      <c r="G47" s="423"/>
      <c r="H47" s="423"/>
      <c r="I47" s="423"/>
      <c r="J47" s="423"/>
    </row>
    <row r="48" spans="1:10" ht="31.5" x14ac:dyDescent="0.25">
      <c r="A48" s="416" t="s">
        <v>701</v>
      </c>
      <c r="B48" s="417" t="s">
        <v>196</v>
      </c>
      <c r="C48" s="418"/>
      <c r="D48" s="419"/>
      <c r="E48" s="419"/>
      <c r="F48" s="419"/>
      <c r="G48" s="423"/>
      <c r="H48" s="423"/>
      <c r="I48" s="423"/>
      <c r="J48" s="423"/>
    </row>
    <row r="49" spans="1:10" ht="31.5" x14ac:dyDescent="0.25">
      <c r="A49" s="416">
        <v>4</v>
      </c>
      <c r="B49" s="420" t="s">
        <v>195</v>
      </c>
      <c r="C49" s="418">
        <v>42809</v>
      </c>
      <c r="D49" s="419">
        <v>42824</v>
      </c>
      <c r="E49" s="419"/>
      <c r="F49" s="419"/>
      <c r="G49" s="423"/>
      <c r="H49" s="423"/>
      <c r="I49" s="423"/>
      <c r="J49" s="423"/>
    </row>
    <row r="50" spans="1:10" ht="78.75" x14ac:dyDescent="0.25">
      <c r="A50" s="416" t="s">
        <v>702</v>
      </c>
      <c r="B50" s="420" t="s">
        <v>703</v>
      </c>
      <c r="C50" s="419">
        <v>42824</v>
      </c>
      <c r="D50" s="229">
        <v>42855</v>
      </c>
      <c r="E50" s="419"/>
      <c r="F50" s="419"/>
      <c r="G50" s="423"/>
      <c r="H50" s="423"/>
      <c r="I50" s="423"/>
      <c r="J50" s="423"/>
    </row>
    <row r="51" spans="1:10" ht="63" x14ac:dyDescent="0.25">
      <c r="A51" s="416" t="s">
        <v>704</v>
      </c>
      <c r="B51" s="420" t="s">
        <v>705</v>
      </c>
      <c r="C51" s="418"/>
      <c r="D51" s="419"/>
      <c r="E51" s="419"/>
      <c r="F51" s="419"/>
      <c r="G51" s="423"/>
      <c r="H51" s="423"/>
      <c r="I51" s="423"/>
      <c r="J51" s="423"/>
    </row>
    <row r="52" spans="1:10" ht="63" x14ac:dyDescent="0.25">
      <c r="A52" s="416" t="s">
        <v>706</v>
      </c>
      <c r="B52" s="420" t="s">
        <v>194</v>
      </c>
      <c r="C52" s="418"/>
      <c r="D52" s="419"/>
      <c r="E52" s="419"/>
      <c r="F52" s="419"/>
      <c r="G52" s="423"/>
      <c r="H52" s="423"/>
      <c r="I52" s="423"/>
      <c r="J52" s="423"/>
    </row>
    <row r="53" spans="1:10" ht="31.5" x14ac:dyDescent="0.25">
      <c r="A53" s="416" t="s">
        <v>707</v>
      </c>
      <c r="B53" s="421" t="s">
        <v>708</v>
      </c>
      <c r="C53" s="229">
        <v>42856</v>
      </c>
      <c r="D53" s="419">
        <v>42916</v>
      </c>
      <c r="E53" s="419"/>
      <c r="F53" s="419"/>
      <c r="G53" s="423"/>
      <c r="H53" s="423"/>
      <c r="I53" s="423"/>
      <c r="J53" s="423"/>
    </row>
    <row r="54" spans="1:10" ht="31.5" x14ac:dyDescent="0.25">
      <c r="A54" s="416" t="s">
        <v>709</v>
      </c>
      <c r="B54" s="420" t="s">
        <v>193</v>
      </c>
      <c r="C54" s="229">
        <v>42856</v>
      </c>
      <c r="D54" s="419">
        <v>42916</v>
      </c>
      <c r="E54" s="419"/>
      <c r="F54" s="419"/>
      <c r="G54" s="423"/>
      <c r="H54" s="423"/>
      <c r="I54" s="423"/>
      <c r="J54" s="423"/>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2017-02-10T07:06:45Z</dcterms:modified>
</cp:coreProperties>
</file>