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
    </mc:Choice>
  </mc:AlternateContent>
  <bookViews>
    <workbookView xWindow="0" yWindow="0" windowWidth="28800" windowHeight="115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сведения'!$A$1:$B$226</definedName>
  </definedNames>
  <calcPr calcId="152511"/>
</workbook>
</file>

<file path=xl/calcChain.xml><?xml version="1.0" encoding="utf-8"?>
<calcChain xmlns="http://schemas.openxmlformats.org/spreadsheetml/2006/main">
  <c r="K29" i="15" l="1"/>
  <c r="B131" i="25" l="1"/>
  <c r="B127" i="25"/>
  <c r="B42" i="25"/>
  <c r="B38" i="25"/>
  <c r="F30" i="15" l="1"/>
  <c r="F29" i="15"/>
  <c r="F28" i="15"/>
  <c r="F27" i="15"/>
  <c r="F26" i="15"/>
  <c r="F25" i="15"/>
  <c r="F24" i="15"/>
  <c r="E29" i="15"/>
  <c r="E27" i="15"/>
  <c r="E64" i="15" l="1"/>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28" i="15"/>
  <c r="E26" i="15"/>
  <c r="E25"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15" i="26" l="1"/>
  <c r="A12" i="26"/>
  <c r="A9" i="26"/>
  <c r="A7" i="26"/>
  <c r="A5" i="26"/>
  <c r="AJ86" i="26"/>
  <c r="AJ96" i="26" s="1"/>
  <c r="AI86" i="26"/>
  <c r="AI96" i="26" s="1"/>
  <c r="AH86" i="26"/>
  <c r="AH96" i="26" s="1"/>
  <c r="AG86" i="26"/>
  <c r="AG96" i="26" s="1"/>
  <c r="AF86" i="26"/>
  <c r="AF96" i="26" s="1"/>
  <c r="AE86" i="26"/>
  <c r="AE96" i="26" s="1"/>
  <c r="AD86" i="26"/>
  <c r="AD96" i="26" s="1"/>
  <c r="AC86" i="26"/>
  <c r="AC96" i="26" s="1"/>
  <c r="AB86" i="26"/>
  <c r="AB96" i="26" s="1"/>
  <c r="AA86" i="26"/>
  <c r="AA96" i="26" s="1"/>
  <c r="Z86" i="26"/>
  <c r="Z96" i="26" s="1"/>
  <c r="Y86" i="26"/>
  <c r="Y96" i="26" s="1"/>
  <c r="X86" i="26"/>
  <c r="X96" i="26" s="1"/>
  <c r="W86" i="26"/>
  <c r="W96" i="26" s="1"/>
  <c r="V86" i="26"/>
  <c r="V96" i="26" s="1"/>
  <c r="U86" i="26"/>
  <c r="U96" i="26" s="1"/>
  <c r="T86" i="26"/>
  <c r="T96" i="26" s="1"/>
  <c r="S86" i="26"/>
  <c r="S96" i="26" s="1"/>
  <c r="R86" i="26"/>
  <c r="R96" i="26" s="1"/>
  <c r="Q86" i="26"/>
  <c r="Q96" i="26" s="1"/>
  <c r="P86" i="26"/>
  <c r="P96" i="26" s="1"/>
  <c r="O86" i="26"/>
  <c r="O96" i="26" s="1"/>
  <c r="N86" i="26"/>
  <c r="N96" i="26" s="1"/>
  <c r="M86" i="26"/>
  <c r="M96" i="26" s="1"/>
  <c r="L86" i="26"/>
  <c r="L96" i="26" s="1"/>
  <c r="K86" i="26"/>
  <c r="K96" i="26" s="1"/>
  <c r="J86" i="26"/>
  <c r="J96" i="26" s="1"/>
  <c r="I86" i="26"/>
  <c r="I96" i="26" s="1"/>
  <c r="H86" i="26"/>
  <c r="H96" i="26" s="1"/>
  <c r="G86" i="26"/>
  <c r="G96" i="26" s="1"/>
  <c r="F86" i="26"/>
  <c r="F96" i="26" s="1"/>
  <c r="E86" i="26"/>
  <c r="E96" i="26" s="1"/>
  <c r="D86" i="26"/>
  <c r="D96" i="26" s="1"/>
  <c r="C86" i="26"/>
  <c r="C96" i="26" s="1"/>
  <c r="B86" i="26"/>
  <c r="B96" i="26" s="1"/>
  <c r="AK96" i="26" s="1"/>
  <c r="A97" i="26" s="1"/>
  <c r="AJ77" i="26"/>
  <c r="AI77" i="26"/>
  <c r="AH77" i="26"/>
  <c r="AG77" i="26"/>
  <c r="AF77" i="26"/>
  <c r="AE77" i="26"/>
  <c r="AD77" i="26"/>
  <c r="AC77" i="26"/>
  <c r="AB77" i="26"/>
  <c r="AA77" i="26"/>
  <c r="Z77" i="26"/>
  <c r="Y77" i="26"/>
  <c r="X77" i="26"/>
  <c r="W77" i="26"/>
  <c r="V77" i="26"/>
  <c r="U77" i="26"/>
  <c r="T77" i="26"/>
  <c r="S77" i="26"/>
  <c r="R77" i="26"/>
  <c r="Q77" i="26"/>
  <c r="P77" i="26"/>
  <c r="O77" i="26"/>
  <c r="N77" i="26"/>
  <c r="M77" i="26"/>
  <c r="L77" i="26"/>
  <c r="K77" i="26"/>
  <c r="J77" i="26"/>
  <c r="I77" i="26"/>
  <c r="H77" i="26"/>
  <c r="G77" i="26"/>
  <c r="F77" i="26"/>
  <c r="E77" i="26"/>
  <c r="D77" i="26"/>
  <c r="C77" i="26"/>
  <c r="B77" i="26"/>
  <c r="B75" i="26"/>
  <c r="AJ65" i="26"/>
  <c r="AI65" i="26"/>
  <c r="AH65" i="26"/>
  <c r="AG65" i="26"/>
  <c r="AF65" i="26"/>
  <c r="AE65" i="26"/>
  <c r="AD65" i="26"/>
  <c r="AC65" i="26"/>
  <c r="AB65" i="26"/>
  <c r="AA65" i="26"/>
  <c r="Z65" i="26"/>
  <c r="Y65" i="26"/>
  <c r="X65" i="26"/>
  <c r="W65" i="26"/>
  <c r="V65" i="26"/>
  <c r="U65" i="26"/>
  <c r="T65" i="26"/>
  <c r="S65" i="26"/>
  <c r="R65" i="26"/>
  <c r="Q65" i="26"/>
  <c r="P65" i="26"/>
  <c r="O65" i="26"/>
  <c r="N65" i="26"/>
  <c r="M65" i="26"/>
  <c r="L65" i="26"/>
  <c r="K65" i="26"/>
  <c r="J65" i="26"/>
  <c r="I65" i="26"/>
  <c r="H65" i="26"/>
  <c r="G65" i="26"/>
  <c r="F65" i="26"/>
  <c r="E65" i="26"/>
  <c r="D65" i="26"/>
  <c r="C65" i="26"/>
  <c r="B65" i="26"/>
  <c r="AJ64" i="26"/>
  <c r="AI64" i="26"/>
  <c r="AH64" i="26"/>
  <c r="AG64" i="26"/>
  <c r="AF64" i="26"/>
  <c r="AE64" i="26"/>
  <c r="AD64" i="26"/>
  <c r="AC64" i="26"/>
  <c r="AB64" i="26"/>
  <c r="AA64" i="26"/>
  <c r="Z64" i="26"/>
  <c r="Y64" i="26"/>
  <c r="X64" i="26"/>
  <c r="W64" i="26"/>
  <c r="V64" i="26"/>
  <c r="U64" i="26"/>
  <c r="T64" i="26"/>
  <c r="S64" i="26"/>
  <c r="R64" i="26"/>
  <c r="Q64" i="26"/>
  <c r="P64" i="26"/>
  <c r="O64" i="26"/>
  <c r="N64" i="26"/>
  <c r="M64" i="26"/>
  <c r="L64" i="26"/>
  <c r="K64" i="26"/>
  <c r="J64" i="26"/>
  <c r="I64" i="26"/>
  <c r="H64" i="26"/>
  <c r="G64" i="26"/>
  <c r="F64" i="26"/>
  <c r="E64" i="26"/>
  <c r="D64" i="26"/>
  <c r="C64" i="26"/>
  <c r="B64" i="26"/>
  <c r="A62" i="26"/>
  <c r="G60" i="26"/>
  <c r="F60" i="26"/>
  <c r="E60" i="26"/>
  <c r="D60" i="26"/>
  <c r="C60" i="26"/>
  <c r="B60" i="26"/>
  <c r="AJ59" i="26"/>
  <c r="AI59" i="26"/>
  <c r="AI81" i="26" s="1"/>
  <c r="AH59" i="26"/>
  <c r="AG59" i="26"/>
  <c r="AG81" i="26" s="1"/>
  <c r="AF59" i="26"/>
  <c r="AE59" i="26"/>
  <c r="AE81" i="26" s="1"/>
  <c r="AD59" i="26"/>
  <c r="AC59" i="26"/>
  <c r="AC81" i="26" s="1"/>
  <c r="AB59" i="26"/>
  <c r="AA59" i="26"/>
  <c r="AA81" i="26" s="1"/>
  <c r="Z59" i="26"/>
  <c r="Y59" i="26"/>
  <c r="Y81" i="26" s="1"/>
  <c r="X59" i="26"/>
  <c r="W59" i="26"/>
  <c r="W81" i="26" s="1"/>
  <c r="V59" i="26"/>
  <c r="U59" i="26"/>
  <c r="U81" i="26" s="1"/>
  <c r="T59" i="26"/>
  <c r="S59" i="26"/>
  <c r="S81" i="26" s="1"/>
  <c r="R59" i="26"/>
  <c r="Q59" i="26"/>
  <c r="Q81" i="26" s="1"/>
  <c r="P59" i="26"/>
  <c r="O59" i="26"/>
  <c r="O81" i="26" s="1"/>
  <c r="N59" i="26"/>
  <c r="M59" i="26"/>
  <c r="M81" i="26" s="1"/>
  <c r="L59" i="26"/>
  <c r="K59" i="26"/>
  <c r="K81" i="26" s="1"/>
  <c r="J59" i="26"/>
  <c r="I59" i="26"/>
  <c r="I81" i="26" s="1"/>
  <c r="H59" i="26"/>
  <c r="G59" i="26"/>
  <c r="G81" i="26" s="1"/>
  <c r="F59" i="26"/>
  <c r="E59" i="26"/>
  <c r="E81" i="26" s="1"/>
  <c r="D59" i="26"/>
  <c r="C59" i="26"/>
  <c r="C81" i="26" s="1"/>
  <c r="B59" i="26"/>
  <c r="D58" i="26"/>
  <c r="D75" i="26" s="1"/>
  <c r="C58" i="26"/>
  <c r="C75" i="26" s="1"/>
  <c r="B54" i="26"/>
  <c r="B55" i="26" s="1"/>
  <c r="D52" i="26"/>
  <c r="C52" i="26"/>
  <c r="B52" i="26"/>
  <c r="D47" i="26"/>
  <c r="C47" i="26"/>
  <c r="B47" i="26"/>
  <c r="B45" i="26"/>
  <c r="B46" i="26" s="1"/>
  <c r="B56" i="26" l="1"/>
  <c r="B70" i="26" s="1"/>
  <c r="B78" i="26" s="1"/>
  <c r="C53" i="26"/>
  <c r="E58" i="26"/>
  <c r="B81" i="26"/>
  <c r="B80" i="26"/>
  <c r="D81" i="26"/>
  <c r="F81" i="26"/>
  <c r="H81" i="26"/>
  <c r="J81" i="26"/>
  <c r="L81" i="26"/>
  <c r="N81" i="26"/>
  <c r="P81" i="26"/>
  <c r="R81" i="26"/>
  <c r="T81" i="26"/>
  <c r="V81" i="26"/>
  <c r="X81" i="26"/>
  <c r="Z81" i="26"/>
  <c r="AB81" i="26"/>
  <c r="AD81" i="26"/>
  <c r="AF81" i="26"/>
  <c r="AH81" i="26"/>
  <c r="AJ81" i="26"/>
  <c r="B67" i="26"/>
  <c r="B69" i="26" s="1"/>
  <c r="D67" i="26"/>
  <c r="D69" i="26" s="1"/>
  <c r="F67" i="26"/>
  <c r="F69" i="26" s="1"/>
  <c r="B83" i="26"/>
  <c r="C67" i="26"/>
  <c r="C69" i="26" s="1"/>
  <c r="E67" i="26"/>
  <c r="E69" i="26" s="1"/>
  <c r="G67" i="26"/>
  <c r="G69" i="26" s="1"/>
  <c r="E76" i="26" l="1"/>
  <c r="G76" i="26"/>
  <c r="C76" i="26"/>
  <c r="D76" i="26"/>
  <c r="C55" i="26"/>
  <c r="F76" i="26"/>
  <c r="B76" i="26"/>
  <c r="B71" i="26"/>
  <c r="C80" i="26"/>
  <c r="E75" i="26"/>
  <c r="F58" i="26"/>
  <c r="E52" i="26"/>
  <c r="E47" i="26"/>
  <c r="B22" i="25"/>
  <c r="B21" i="25"/>
  <c r="A15" i="25"/>
  <c r="A12" i="25"/>
  <c r="A9" i="25"/>
  <c r="A5" i="25"/>
  <c r="B203" i="25"/>
  <c r="B202" i="25" s="1"/>
  <c r="B201" i="25"/>
  <c r="B200" i="25" s="1"/>
  <c r="B192" i="25"/>
  <c r="B188" i="25"/>
  <c r="B184" i="25"/>
  <c r="B180" i="25"/>
  <c r="B176" i="25"/>
  <c r="B172" i="25"/>
  <c r="B168" i="25"/>
  <c r="B164" i="25"/>
  <c r="B160" i="25"/>
  <c r="B156" i="25"/>
  <c r="B154" i="25"/>
  <c r="B151" i="25"/>
  <c r="B147" i="25"/>
  <c r="B143" i="25"/>
  <c r="B139" i="25"/>
  <c r="B135" i="25"/>
  <c r="B123" i="25"/>
  <c r="B119" i="25"/>
  <c r="B115" i="25"/>
  <c r="B111" i="25"/>
  <c r="B107" i="25"/>
  <c r="B103" i="25"/>
  <c r="B99" i="25"/>
  <c r="B95" i="25"/>
  <c r="B91" i="25"/>
  <c r="B87" i="25"/>
  <c r="B83" i="25"/>
  <c r="B79" i="25"/>
  <c r="B75" i="25"/>
  <c r="B71" i="25"/>
  <c r="B67" i="25"/>
  <c r="B63" i="25"/>
  <c r="B59" i="25"/>
  <c r="B55" i="25"/>
  <c r="B53" i="25"/>
  <c r="B50" i="25"/>
  <c r="B46" i="25"/>
  <c r="B34" i="25"/>
  <c r="B32" i="25"/>
  <c r="B30" i="25" s="1"/>
  <c r="C83" i="26" l="1"/>
  <c r="C56" i="26"/>
  <c r="C70" i="26" s="1"/>
  <c r="D80" i="26"/>
  <c r="F75" i="26"/>
  <c r="F47" i="26"/>
  <c r="G58" i="26"/>
  <c r="F52" i="26"/>
  <c r="B72" i="26"/>
  <c r="D53" i="26"/>
  <c r="E80" i="26"/>
  <c r="B79" i="26" l="1"/>
  <c r="B84" i="26" s="1"/>
  <c r="B73" i="26"/>
  <c r="F80" i="26"/>
  <c r="G80" i="26" s="1"/>
  <c r="D55" i="26"/>
  <c r="G75" i="26"/>
  <c r="H58" i="26"/>
  <c r="G52" i="26"/>
  <c r="G47" i="26"/>
  <c r="C78" i="26"/>
  <c r="C71" i="26"/>
  <c r="C72" i="26" l="1"/>
  <c r="H75" i="26"/>
  <c r="H47" i="26"/>
  <c r="H62" i="26" s="1"/>
  <c r="I58" i="26"/>
  <c r="H52" i="26"/>
  <c r="D83" i="26"/>
  <c r="D56" i="26"/>
  <c r="D70" i="26" s="1"/>
  <c r="E53" i="26"/>
  <c r="B89" i="26"/>
  <c r="B87" i="26"/>
  <c r="B85" i="26"/>
  <c r="B90" i="26" s="1"/>
  <c r="B88" i="26" l="1"/>
  <c r="B91" i="26" s="1"/>
  <c r="E55" i="26"/>
  <c r="F53" i="26"/>
  <c r="D78" i="26"/>
  <c r="D71" i="26"/>
  <c r="H60" i="26"/>
  <c r="H67" i="26" s="1"/>
  <c r="H69" i="26" s="1"/>
  <c r="H80" i="26"/>
  <c r="C79" i="26"/>
  <c r="C84" i="26" s="1"/>
  <c r="I75" i="26"/>
  <c r="J58" i="26"/>
  <c r="I52" i="26"/>
  <c r="I47" i="26"/>
  <c r="I62" i="26" s="1"/>
  <c r="I60" i="26" s="1"/>
  <c r="I67" i="26" s="1"/>
  <c r="I69" i="26" s="1"/>
  <c r="C73" i="26"/>
  <c r="C87" i="26" l="1"/>
  <c r="C89" i="26"/>
  <c r="C85" i="26"/>
  <c r="C90" i="26" s="1"/>
  <c r="H76" i="26"/>
  <c r="E83" i="26"/>
  <c r="E56" i="26"/>
  <c r="E70" i="26" s="1"/>
  <c r="I76" i="26"/>
  <c r="J75" i="26"/>
  <c r="J47" i="26"/>
  <c r="K58" i="26"/>
  <c r="J52" i="26"/>
  <c r="I80" i="26"/>
  <c r="D72" i="26"/>
  <c r="D73" i="26"/>
  <c r="F55" i="26"/>
  <c r="G53" i="26" s="1"/>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G55" i="26" l="1"/>
  <c r="H53" i="26" s="1"/>
  <c r="D79" i="26"/>
  <c r="D84" i="26" s="1"/>
  <c r="J62" i="26"/>
  <c r="J61" i="26"/>
  <c r="E78" i="26"/>
  <c r="E71" i="26"/>
  <c r="F83" i="26"/>
  <c r="F56" i="26"/>
  <c r="F70" i="26" s="1"/>
  <c r="K75" i="26"/>
  <c r="L58" i="26"/>
  <c r="K52" i="26"/>
  <c r="K47" i="26"/>
  <c r="K62" i="26" s="1"/>
  <c r="K60" i="26" s="1"/>
  <c r="K67" i="26" s="1"/>
  <c r="K69" i="26" s="1"/>
  <c r="C88" i="26"/>
  <c r="C91" i="26" s="1"/>
  <c r="K76" i="26" l="1"/>
  <c r="L75" i="26"/>
  <c r="L47" i="26"/>
  <c r="L62" i="26" s="1"/>
  <c r="L60" i="26" s="1"/>
  <c r="L67" i="26" s="1"/>
  <c r="L69" i="26" s="1"/>
  <c r="M58" i="26"/>
  <c r="L52" i="26"/>
  <c r="F78" i="26"/>
  <c r="F71" i="26"/>
  <c r="H55" i="26"/>
  <c r="E72" i="26"/>
  <c r="J60" i="26"/>
  <c r="J67" i="26" s="1"/>
  <c r="J69" i="26" s="1"/>
  <c r="K80" i="26"/>
  <c r="J80" i="26"/>
  <c r="L80" i="26"/>
  <c r="D87" i="26"/>
  <c r="D89" i="26"/>
  <c r="D85" i="26"/>
  <c r="D90" i="26" s="1"/>
  <c r="G83" i="26"/>
  <c r="G56" i="26"/>
  <c r="G70" i="26" s="1"/>
  <c r="E79" i="26" l="1"/>
  <c r="E84" i="26" s="1"/>
  <c r="H83" i="26"/>
  <c r="H56" i="26"/>
  <c r="H70" i="26" s="1"/>
  <c r="M75" i="26"/>
  <c r="N58" i="26"/>
  <c r="M52" i="26"/>
  <c r="M47" i="26"/>
  <c r="G78" i="26"/>
  <c r="G71" i="26"/>
  <c r="D88" i="26"/>
  <c r="D91" i="26" s="1"/>
  <c r="J76" i="26"/>
  <c r="E73" i="26"/>
  <c r="I53" i="26"/>
  <c r="F72" i="26"/>
  <c r="F73" i="26"/>
  <c r="L76" i="26"/>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I55" i="26" l="1"/>
  <c r="J53" i="26" s="1"/>
  <c r="G72" i="26"/>
  <c r="G73" i="26" s="1"/>
  <c r="H78" i="26"/>
  <c r="H71" i="26"/>
  <c r="M62" i="26"/>
  <c r="M61" i="26"/>
  <c r="N75" i="26"/>
  <c r="N47" i="26"/>
  <c r="O58" i="26"/>
  <c r="N52" i="26"/>
  <c r="F79" i="26"/>
  <c r="F84" i="26" s="1"/>
  <c r="F87" i="26" s="1"/>
  <c r="E87" i="26"/>
  <c r="E85" i="26"/>
  <c r="E90" i="26" s="1"/>
  <c r="E89"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9" i="26" l="1"/>
  <c r="F85" i="26"/>
  <c r="O75" i="26"/>
  <c r="P58" i="26"/>
  <c r="O52" i="26"/>
  <c r="O47" i="26"/>
  <c r="O62" i="26" s="1"/>
  <c r="O60" i="26" s="1"/>
  <c r="O67" i="26" s="1"/>
  <c r="O69" i="26" s="1"/>
  <c r="H72" i="26"/>
  <c r="H73" i="26" s="1"/>
  <c r="I83" i="26"/>
  <c r="I56" i="26"/>
  <c r="I70" i="26" s="1"/>
  <c r="F90" i="26"/>
  <c r="E88" i="26"/>
  <c r="E91" i="26" s="1"/>
  <c r="F88" i="26"/>
  <c r="N63" i="26"/>
  <c r="N62" i="26"/>
  <c r="N60" i="26" s="1"/>
  <c r="N67" i="26" s="1"/>
  <c r="N69" i="26" s="1"/>
  <c r="M60" i="26"/>
  <c r="M67" i="26" s="1"/>
  <c r="M69" i="26" s="1"/>
  <c r="M80" i="26"/>
  <c r="N80" i="26" s="1"/>
  <c r="G79" i="26"/>
  <c r="G84" i="26" s="1"/>
  <c r="J55" i="26"/>
  <c r="K53" i="26" s="1"/>
  <c r="K55" i="26" l="1"/>
  <c r="L53" i="26" s="1"/>
  <c r="G87" i="26"/>
  <c r="G85" i="26"/>
  <c r="G90" i="26" s="1"/>
  <c r="G89" i="26"/>
  <c r="O80" i="26"/>
  <c r="N76" i="26"/>
  <c r="I78" i="26"/>
  <c r="I71" i="26"/>
  <c r="O76" i="26"/>
  <c r="P75" i="26"/>
  <c r="P47" i="26"/>
  <c r="Q58" i="26"/>
  <c r="P52" i="26"/>
  <c r="J83" i="26"/>
  <c r="J56" i="26"/>
  <c r="J70" i="26" s="1"/>
  <c r="M76" i="26"/>
  <c r="F91" i="26"/>
  <c r="H79" i="26"/>
  <c r="H84" i="26" s="1"/>
  <c r="L55" i="26" l="1"/>
  <c r="Q75" i="26"/>
  <c r="R58" i="26"/>
  <c r="Q52" i="26"/>
  <c r="Q47" i="26"/>
  <c r="Q62" i="26" s="1"/>
  <c r="Q60" i="26" s="1"/>
  <c r="Q67" i="26" s="1"/>
  <c r="Q69" i="26" s="1"/>
  <c r="H87" i="26"/>
  <c r="H89" i="26"/>
  <c r="J78" i="26"/>
  <c r="J71" i="26"/>
  <c r="P62" i="26"/>
  <c r="P61" i="26"/>
  <c r="I72" i="26"/>
  <c r="I79" i="26" s="1"/>
  <c r="I84" i="26" s="1"/>
  <c r="H85" i="26"/>
  <c r="H90" i="26" s="1"/>
  <c r="H88" i="26"/>
  <c r="G88" i="26"/>
  <c r="G91" i="26" s="1"/>
  <c r="K83" i="26"/>
  <c r="K56" i="26"/>
  <c r="K70" i="26" s="1"/>
  <c r="I87" i="26" l="1"/>
  <c r="I88" i="26" s="1"/>
  <c r="I91" i="26" s="1"/>
  <c r="I85" i="26"/>
  <c r="I90" i="26" s="1"/>
  <c r="I89" i="26"/>
  <c r="L83" i="26"/>
  <c r="L56" i="26"/>
  <c r="L70" i="26" s="1"/>
  <c r="P60" i="26"/>
  <c r="P67" i="26" s="1"/>
  <c r="P69" i="26" s="1"/>
  <c r="R80" i="26"/>
  <c r="P80" i="26"/>
  <c r="Q80" i="26"/>
  <c r="J72" i="26"/>
  <c r="J79" i="26" s="1"/>
  <c r="J84" i="26" s="1"/>
  <c r="J73" i="26"/>
  <c r="K78" i="26"/>
  <c r="K71" i="26"/>
  <c r="H91" i="26"/>
  <c r="I73" i="26"/>
  <c r="Q76" i="26"/>
  <c r="R75" i="26"/>
  <c r="R47" i="26"/>
  <c r="R62" i="26" s="1"/>
  <c r="R60" i="26" s="1"/>
  <c r="R67" i="26" s="1"/>
  <c r="R69" i="26" s="1"/>
  <c r="S58" i="26"/>
  <c r="R52" i="26"/>
  <c r="M53" i="26"/>
  <c r="M55" i="26" l="1"/>
  <c r="N53" i="26" s="1"/>
  <c r="S75" i="26"/>
  <c r="T58" i="26"/>
  <c r="S52" i="26"/>
  <c r="S47" i="26"/>
  <c r="K72" i="26"/>
  <c r="K79" i="26" s="1"/>
  <c r="K84" i="26" s="1"/>
  <c r="L78" i="26"/>
  <c r="L71" i="26"/>
  <c r="R76" i="26"/>
  <c r="J87" i="26"/>
  <c r="J88" i="26" s="1"/>
  <c r="J91" i="26" s="1"/>
  <c r="J85" i="26"/>
  <c r="J90" i="26" s="1"/>
  <c r="J89" i="26"/>
  <c r="P76" i="26"/>
  <c r="N55" i="26" l="1"/>
  <c r="K73" i="26"/>
  <c r="S62" i="26"/>
  <c r="S61" i="26"/>
  <c r="T75" i="26"/>
  <c r="T47" i="26"/>
  <c r="T62" i="26" s="1"/>
  <c r="T60" i="26" s="1"/>
  <c r="T67" i="26" s="1"/>
  <c r="T69" i="26" s="1"/>
  <c r="U58" i="26"/>
  <c r="T52" i="26"/>
  <c r="K87" i="26"/>
  <c r="K88" i="26" s="1"/>
  <c r="K91" i="26" s="1"/>
  <c r="K89" i="26"/>
  <c r="K85" i="26"/>
  <c r="K90" i="26" s="1"/>
  <c r="L72" i="26"/>
  <c r="L79" i="26" s="1"/>
  <c r="L84" i="26" s="1"/>
  <c r="M83" i="26"/>
  <c r="M56" i="26"/>
  <c r="M70" i="26" s="1"/>
  <c r="L87" i="26" l="1"/>
  <c r="L88" i="26" s="1"/>
  <c r="L91" i="26" s="1"/>
  <c r="L89" i="26"/>
  <c r="L85" i="26"/>
  <c r="L90" i="26" s="1"/>
  <c r="U75" i="26"/>
  <c r="V58" i="26"/>
  <c r="U52" i="26"/>
  <c r="U47" i="26"/>
  <c r="U62" i="26" s="1"/>
  <c r="U60" i="26" s="1"/>
  <c r="U67" i="26" s="1"/>
  <c r="U69" i="26" s="1"/>
  <c r="N83" i="26"/>
  <c r="N56" i="26"/>
  <c r="N70" i="26" s="1"/>
  <c r="M78" i="26"/>
  <c r="M71" i="26"/>
  <c r="L73" i="26"/>
  <c r="T76" i="26"/>
  <c r="S60" i="26"/>
  <c r="S67" i="26" s="1"/>
  <c r="S69" i="26" s="1"/>
  <c r="S80" i="26"/>
  <c r="T80" i="26" s="1"/>
  <c r="U80" i="26" s="1"/>
  <c r="O53" i="26"/>
  <c r="S76" i="26" l="1"/>
  <c r="M72" i="26"/>
  <c r="M79" i="26" s="1"/>
  <c r="M84" i="26" s="1"/>
  <c r="N78" i="26"/>
  <c r="N71" i="26"/>
  <c r="U76" i="26"/>
  <c r="V75" i="26"/>
  <c r="V47" i="26"/>
  <c r="W58" i="26"/>
  <c r="V52" i="26"/>
  <c r="O55" i="26"/>
  <c r="P53" i="26"/>
  <c r="M87" i="26" l="1"/>
  <c r="M88" i="26" s="1"/>
  <c r="M91" i="26" s="1"/>
  <c r="M85" i="26"/>
  <c r="M90" i="26" s="1"/>
  <c r="M89" i="26"/>
  <c r="O83" i="26"/>
  <c r="O56" i="26"/>
  <c r="O70" i="26" s="1"/>
  <c r="W75" i="26"/>
  <c r="X58" i="26"/>
  <c r="W52" i="26"/>
  <c r="W47" i="26"/>
  <c r="W62" i="26" s="1"/>
  <c r="W60" i="26" s="1"/>
  <c r="W67" i="26" s="1"/>
  <c r="W69" i="26" s="1"/>
  <c r="M73" i="26"/>
  <c r="P55" i="26"/>
  <c r="Q53" i="26" s="1"/>
  <c r="V63" i="26"/>
  <c r="V62" i="26"/>
  <c r="V61" i="26"/>
  <c r="V60" i="26" s="1"/>
  <c r="V67" i="26" s="1"/>
  <c r="V69" i="26" s="1"/>
  <c r="N72" i="26"/>
  <c r="N79" i="26" s="1"/>
  <c r="N84" i="26" s="1"/>
  <c r="N73" i="26" l="1"/>
  <c r="V76" i="26"/>
  <c r="V80" i="26"/>
  <c r="W80" i="26" s="1"/>
  <c r="Q55" i="26"/>
  <c r="N87" i="26"/>
  <c r="N88" i="26" s="1"/>
  <c r="N91" i="26" s="1"/>
  <c r="N85" i="26"/>
  <c r="N90" i="26" s="1"/>
  <c r="N89" i="26"/>
  <c r="W76" i="26"/>
  <c r="X75" i="26"/>
  <c r="X47" i="26"/>
  <c r="X62" i="26" s="1"/>
  <c r="X60" i="26" s="1"/>
  <c r="X67" i="26" s="1"/>
  <c r="X69" i="26" s="1"/>
  <c r="Y58" i="26"/>
  <c r="X52" i="26"/>
  <c r="O78" i="26"/>
  <c r="O71" i="26"/>
  <c r="P83" i="26"/>
  <c r="P56" i="26"/>
  <c r="P70" i="26" s="1"/>
  <c r="P78" i="26" l="1"/>
  <c r="P71" i="26"/>
  <c r="O73" i="26"/>
  <c r="O72" i="26"/>
  <c r="O79" i="26" s="1"/>
  <c r="O84" i="26" s="1"/>
  <c r="X76" i="26"/>
  <c r="Q83" i="26"/>
  <c r="Q56" i="26"/>
  <c r="Q70" i="26" s="1"/>
  <c r="X80" i="26"/>
  <c r="Y75" i="26"/>
  <c r="Z58" i="26"/>
  <c r="Y52" i="26"/>
  <c r="Y47" i="26"/>
  <c r="R53" i="26"/>
  <c r="R55" i="26" l="1"/>
  <c r="S53" i="26" s="1"/>
  <c r="Y62" i="26"/>
  <c r="Y61" i="26"/>
  <c r="Z75" i="26"/>
  <c r="Z47" i="26"/>
  <c r="Z62" i="26" s="1"/>
  <c r="Z60" i="26" s="1"/>
  <c r="Z67" i="26" s="1"/>
  <c r="Z69" i="26" s="1"/>
  <c r="AA58" i="26"/>
  <c r="Z52" i="26"/>
  <c r="O87" i="26"/>
  <c r="O88" i="26" s="1"/>
  <c r="O91" i="26" s="1"/>
  <c r="O85" i="26"/>
  <c r="O90" i="26" s="1"/>
  <c r="O89" i="26"/>
  <c r="Q78" i="26"/>
  <c r="Q71" i="26"/>
  <c r="P72" i="26"/>
  <c r="P79" i="26" s="1"/>
  <c r="P84" i="26" s="1"/>
  <c r="P73" i="26" l="1"/>
  <c r="Q72" i="26"/>
  <c r="Q79" i="26" s="1"/>
  <c r="P87" i="26"/>
  <c r="P88" i="26" s="1"/>
  <c r="P91" i="26" s="1"/>
  <c r="P89" i="26"/>
  <c r="P85" i="26"/>
  <c r="P90" i="26" s="1"/>
  <c r="AA75" i="26"/>
  <c r="AB58" i="26"/>
  <c r="AA52" i="26"/>
  <c r="AA47" i="26"/>
  <c r="AA62" i="26" s="1"/>
  <c r="AA60" i="26" s="1"/>
  <c r="AA67" i="26" s="1"/>
  <c r="AA69" i="26" s="1"/>
  <c r="S55" i="26"/>
  <c r="T53" i="26"/>
  <c r="Q84" i="26"/>
  <c r="Z76" i="26"/>
  <c r="Y60" i="26"/>
  <c r="Y67" i="26" s="1"/>
  <c r="Y69" i="26" s="1"/>
  <c r="Z80" i="26"/>
  <c r="AA80" i="26" s="1"/>
  <c r="Y80" i="26"/>
  <c r="R83" i="26"/>
  <c r="R56" i="26"/>
  <c r="R70" i="26" s="1"/>
  <c r="Q73" i="26" l="1"/>
  <c r="Y76" i="26"/>
  <c r="T55" i="26"/>
  <c r="AA76" i="26"/>
  <c r="AB75" i="26"/>
  <c r="AB47" i="26"/>
  <c r="AC58" i="26"/>
  <c r="AB52" i="26"/>
  <c r="R78" i="26"/>
  <c r="R71" i="26"/>
  <c r="Q87" i="26"/>
  <c r="Q88" i="26" s="1"/>
  <c r="Q91" i="26" s="1"/>
  <c r="Q85" i="26"/>
  <c r="Q90" i="26" s="1"/>
  <c r="Q89" i="26"/>
  <c r="S83" i="26"/>
  <c r="S56" i="26"/>
  <c r="S70" i="26" s="1"/>
  <c r="R72" i="26" l="1"/>
  <c r="R79" i="26" s="1"/>
  <c r="R84" i="26" s="1"/>
  <c r="AB62" i="26"/>
  <c r="AB61" i="26"/>
  <c r="T83" i="26"/>
  <c r="T56" i="26"/>
  <c r="T70" i="26" s="1"/>
  <c r="S78" i="26"/>
  <c r="S71" i="26"/>
  <c r="AC75" i="26"/>
  <c r="AD58" i="26"/>
  <c r="AC52" i="26"/>
  <c r="AC47" i="26"/>
  <c r="AC62" i="26" s="1"/>
  <c r="AC60" i="26" s="1"/>
  <c r="AC67" i="26" s="1"/>
  <c r="AC69" i="26" s="1"/>
  <c r="U53" i="26"/>
  <c r="R87" i="26" l="1"/>
  <c r="R88" i="26" s="1"/>
  <c r="R91" i="26" s="1"/>
  <c r="R89" i="26"/>
  <c r="R85" i="26"/>
  <c r="R90" i="26" s="1"/>
  <c r="S72" i="26"/>
  <c r="S79" i="26" s="1"/>
  <c r="S84" i="26" s="1"/>
  <c r="U55" i="26"/>
  <c r="V53" i="26"/>
  <c r="AC76" i="26"/>
  <c r="AD75" i="26"/>
  <c r="AD47" i="26"/>
  <c r="AE58" i="26"/>
  <c r="AD52" i="26"/>
  <c r="T78" i="26"/>
  <c r="T71" i="26"/>
  <c r="AB60" i="26"/>
  <c r="AB67" i="26" s="1"/>
  <c r="AB69" i="26" s="1"/>
  <c r="AB80" i="26"/>
  <c r="AC80" i="26"/>
  <c r="R73" i="26"/>
  <c r="S87" i="26" l="1"/>
  <c r="S88" i="26" s="1"/>
  <c r="S91" i="26" s="1"/>
  <c r="S89" i="26"/>
  <c r="S85" i="26"/>
  <c r="S90" i="26" s="1"/>
  <c r="AB76" i="26"/>
  <c r="AD63" i="26"/>
  <c r="AD62" i="26"/>
  <c r="W53" i="26"/>
  <c r="V55" i="26"/>
  <c r="T72" i="26"/>
  <c r="T79" i="26" s="1"/>
  <c r="T84" i="26" s="1"/>
  <c r="AE75" i="26"/>
  <c r="AF58" i="26"/>
  <c r="AE52" i="26"/>
  <c r="AE47" i="26"/>
  <c r="U83" i="26"/>
  <c r="U56" i="26"/>
  <c r="U70" i="26" s="1"/>
  <c r="S73" i="26"/>
  <c r="T87" i="26" l="1"/>
  <c r="T88" i="26" s="1"/>
  <c r="T91" i="26" s="1"/>
  <c r="T85" i="26"/>
  <c r="T90" i="26" s="1"/>
  <c r="T89" i="26"/>
  <c r="U78" i="26"/>
  <c r="U71" i="26"/>
  <c r="W55" i="26"/>
  <c r="X53" i="26"/>
  <c r="AD80" i="26"/>
  <c r="AE62" i="26"/>
  <c r="AE61" i="26"/>
  <c r="AF75" i="26"/>
  <c r="AF47" i="26"/>
  <c r="AF62" i="26" s="1"/>
  <c r="AF60" i="26" s="1"/>
  <c r="AF67" i="26" s="1"/>
  <c r="AF69" i="26" s="1"/>
  <c r="AG58" i="26"/>
  <c r="AF52" i="26"/>
  <c r="T73" i="26"/>
  <c r="V83" i="26"/>
  <c r="V56" i="26"/>
  <c r="V70" i="26" s="1"/>
  <c r="AD60" i="26"/>
  <c r="AD67" i="26" s="1"/>
  <c r="AD69" i="26" s="1"/>
  <c r="V78" i="26" l="1"/>
  <c r="V71" i="26"/>
  <c r="AG75" i="26"/>
  <c r="AH58" i="26"/>
  <c r="AG52" i="26"/>
  <c r="AG47" i="26"/>
  <c r="AG62" i="26" s="1"/>
  <c r="AG60" i="26" s="1"/>
  <c r="AG67" i="26" s="1"/>
  <c r="AG69" i="26" s="1"/>
  <c r="X55" i="26"/>
  <c r="Y53" i="26" s="1"/>
  <c r="U72" i="26"/>
  <c r="U79" i="26" s="1"/>
  <c r="U84" i="26" s="1"/>
  <c r="AD76" i="26"/>
  <c r="AF76" i="26"/>
  <c r="AE60" i="26"/>
  <c r="AE67" i="26" s="1"/>
  <c r="AE69" i="26" s="1"/>
  <c r="AE80" i="26"/>
  <c r="AF80" i="26" s="1"/>
  <c r="AG80" i="26" s="1"/>
  <c r="W83" i="26"/>
  <c r="W56" i="26"/>
  <c r="W70" i="26" s="1"/>
  <c r="U73" i="26" l="1"/>
  <c r="W78" i="26"/>
  <c r="W71" i="26"/>
  <c r="AE76" i="26"/>
  <c r="Y55" i="26"/>
  <c r="U87" i="26"/>
  <c r="U88" i="26" s="1"/>
  <c r="U91" i="26" s="1"/>
  <c r="U85" i="26"/>
  <c r="U90" i="26" s="1"/>
  <c r="U89" i="26"/>
  <c r="X83" i="26"/>
  <c r="X56" i="26"/>
  <c r="X70" i="26" s="1"/>
  <c r="AG76" i="26"/>
  <c r="AH75" i="26"/>
  <c r="AH47" i="26"/>
  <c r="AI58" i="26"/>
  <c r="AH52" i="26"/>
  <c r="V72" i="26"/>
  <c r="V79" i="26" s="1"/>
  <c r="V84" i="26" s="1"/>
  <c r="V87" i="26" l="1"/>
  <c r="V88" i="26" s="1"/>
  <c r="V91" i="26" s="1"/>
  <c r="V89" i="26"/>
  <c r="V85" i="26"/>
  <c r="V90" i="26" s="1"/>
  <c r="AI75" i="26"/>
  <c r="AJ58" i="26"/>
  <c r="AI52" i="26"/>
  <c r="AI47" i="26"/>
  <c r="AI62" i="26" s="1"/>
  <c r="AI60" i="26" s="1"/>
  <c r="AI67" i="26" s="1"/>
  <c r="AI69" i="26" s="1"/>
  <c r="Y83" i="26"/>
  <c r="Y56" i="26"/>
  <c r="Y70" i="26" s="1"/>
  <c r="V73" i="26"/>
  <c r="AH62" i="26"/>
  <c r="AH61" i="26"/>
  <c r="X78" i="26"/>
  <c r="X71" i="26"/>
  <c r="Z53" i="26"/>
  <c r="W72" i="26"/>
  <c r="W79" i="26" s="1"/>
  <c r="W84" i="26" s="1"/>
  <c r="W73" i="26" l="1"/>
  <c r="W87" i="26"/>
  <c r="W88" i="26" s="1"/>
  <c r="W91" i="26" s="1"/>
  <c r="W85" i="26"/>
  <c r="W90" i="26" s="1"/>
  <c r="W89" i="26"/>
  <c r="X72" i="26"/>
  <c r="X79" i="26" s="1"/>
  <c r="X73" i="26"/>
  <c r="AH60" i="26"/>
  <c r="AH67" i="26" s="1"/>
  <c r="AH69" i="26" s="1"/>
  <c r="AH80" i="26"/>
  <c r="AI80" i="26" s="1"/>
  <c r="AI76" i="26"/>
  <c r="AJ75" i="26"/>
  <c r="AJ47" i="26"/>
  <c r="AJ62" i="26" s="1"/>
  <c r="AJ60" i="26" s="1"/>
  <c r="AJ67" i="26" s="1"/>
  <c r="AJ69" i="26" s="1"/>
  <c r="AJ52" i="26"/>
  <c r="Z55" i="26"/>
  <c r="AA53" i="26" s="1"/>
  <c r="X84" i="26"/>
  <c r="Y78" i="26"/>
  <c r="Y71" i="26"/>
  <c r="Y73" i="26" l="1"/>
  <c r="Y72" i="26"/>
  <c r="Y79" i="26" s="1"/>
  <c r="X87" i="26"/>
  <c r="X88" i="26" s="1"/>
  <c r="X91" i="26" s="1"/>
  <c r="X89" i="26"/>
  <c r="X85" i="26"/>
  <c r="X90" i="26" s="1"/>
  <c r="AA55" i="26"/>
  <c r="AB53" i="26" s="1"/>
  <c r="AJ76" i="26"/>
  <c r="Y84" i="26"/>
  <c r="Z83" i="26"/>
  <c r="Z56" i="26"/>
  <c r="Z70" i="26" s="1"/>
  <c r="AJ80" i="26"/>
  <c r="AH76" i="26"/>
  <c r="AB55" i="26" l="1"/>
  <c r="Z78" i="26"/>
  <c r="Z71" i="26"/>
  <c r="Y87" i="26"/>
  <c r="Y88" i="26" s="1"/>
  <c r="Y91" i="26" s="1"/>
  <c r="Y85" i="26"/>
  <c r="Y90" i="26" s="1"/>
  <c r="Y89" i="26"/>
  <c r="AA83" i="26"/>
  <c r="AA56" i="26"/>
  <c r="AA70" i="26" s="1"/>
  <c r="AA78" i="26" l="1"/>
  <c r="AA71" i="26"/>
  <c r="Z72" i="26"/>
  <c r="Z79" i="26" s="1"/>
  <c r="Z84" i="26" s="1"/>
  <c r="AB83" i="26"/>
  <c r="AB56" i="26"/>
  <c r="AB70" i="26" s="1"/>
  <c r="AC53" i="26"/>
  <c r="Z87" i="26" l="1"/>
  <c r="Z88" i="26" s="1"/>
  <c r="Z91" i="26" s="1"/>
  <c r="Z85" i="26"/>
  <c r="Z90" i="26" s="1"/>
  <c r="Z89" i="26"/>
  <c r="AC55" i="26"/>
  <c r="AB78" i="26"/>
  <c r="AB71" i="26"/>
  <c r="Z73" i="26"/>
  <c r="AA72" i="26"/>
  <c r="AA79" i="26" s="1"/>
  <c r="AA84" i="26" s="1"/>
  <c r="AA87" i="26" l="1"/>
  <c r="AA88" i="26" s="1"/>
  <c r="AA91" i="26" s="1"/>
  <c r="AA89" i="26"/>
  <c r="AA85" i="26"/>
  <c r="AA90" i="26" s="1"/>
  <c r="AC83" i="26"/>
  <c r="AC56" i="26"/>
  <c r="AC70" i="26" s="1"/>
  <c r="AA73" i="26"/>
  <c r="AB72" i="26"/>
  <c r="AB79" i="26" s="1"/>
  <c r="AB84" i="26" s="1"/>
  <c r="AD53" i="26"/>
  <c r="AB73" i="26" l="1"/>
  <c r="AB87" i="26"/>
  <c r="AB88" i="26" s="1"/>
  <c r="AB91" i="26" s="1"/>
  <c r="AB85" i="26"/>
  <c r="AB90" i="26" s="1"/>
  <c r="AB89" i="26"/>
  <c r="AD55" i="26"/>
  <c r="AC78" i="26"/>
  <c r="AC71" i="26"/>
  <c r="AC73" i="26" l="1"/>
  <c r="AC72" i="26"/>
  <c r="AC79" i="26" s="1"/>
  <c r="AC84" i="26" s="1"/>
  <c r="AD83" i="26"/>
  <c r="AD56" i="26"/>
  <c r="AD70" i="26" s="1"/>
  <c r="AE53" i="26"/>
  <c r="AC87" i="26" l="1"/>
  <c r="AC88" i="26" s="1"/>
  <c r="AC91" i="26" s="1"/>
  <c r="AC89" i="26"/>
  <c r="AC85" i="26"/>
  <c r="AC90" i="26" s="1"/>
  <c r="AE55" i="26"/>
  <c r="AF53" i="26" s="1"/>
  <c r="AD78" i="26"/>
  <c r="AD71" i="26"/>
  <c r="AD72" i="26" l="1"/>
  <c r="AD79" i="26" s="1"/>
  <c r="AD84" i="26" s="1"/>
  <c r="AF55" i="26"/>
  <c r="AG53" i="26" s="1"/>
  <c r="AE83" i="26"/>
  <c r="AE56" i="26"/>
  <c r="AE70" i="26" s="1"/>
  <c r="AE78" i="26" l="1"/>
  <c r="AE71" i="26"/>
  <c r="AD87" i="26"/>
  <c r="AD88" i="26" s="1"/>
  <c r="AD91" i="26" s="1"/>
  <c r="AD89" i="26"/>
  <c r="AD85" i="26"/>
  <c r="AD90" i="26" s="1"/>
  <c r="AG55" i="26"/>
  <c r="AH53" i="26"/>
  <c r="AF83" i="26"/>
  <c r="AF56" i="26"/>
  <c r="AF70" i="26" s="1"/>
  <c r="AD73" i="26"/>
  <c r="AF78" i="26" l="1"/>
  <c r="AF71" i="26"/>
  <c r="AH55" i="26"/>
  <c r="AI53" i="26" s="1"/>
  <c r="AG83" i="26"/>
  <c r="AG56" i="26"/>
  <c r="AG70" i="26" s="1"/>
  <c r="AE72" i="26"/>
  <c r="AE79" i="26" s="1"/>
  <c r="AE84" i="26" s="1"/>
  <c r="AE87" i="26" l="1"/>
  <c r="AE88" i="26" s="1"/>
  <c r="AE91" i="26" s="1"/>
  <c r="AE89" i="26"/>
  <c r="AE85" i="26"/>
  <c r="AE90" i="26" s="1"/>
  <c r="AG78" i="26"/>
  <c r="AG71" i="26"/>
  <c r="AI55" i="26"/>
  <c r="AJ53" i="26" s="1"/>
  <c r="AJ55" i="26" s="1"/>
  <c r="AE73" i="26"/>
  <c r="AH83" i="26"/>
  <c r="AH56" i="26"/>
  <c r="AH70" i="26" s="1"/>
  <c r="AF72" i="26"/>
  <c r="AF79" i="26" s="1"/>
  <c r="AF84" i="26" s="1"/>
  <c r="AF73" i="26" l="1"/>
  <c r="AF87" i="26"/>
  <c r="AF88" i="26" s="1"/>
  <c r="AF91" i="26" s="1"/>
  <c r="AF89" i="26"/>
  <c r="AF85" i="26"/>
  <c r="AF90" i="26" s="1"/>
  <c r="AH78" i="26"/>
  <c r="AH71" i="26"/>
  <c r="AJ83" i="26"/>
  <c r="AJ56" i="26"/>
  <c r="AJ70" i="26" s="1"/>
  <c r="AG72" i="26"/>
  <c r="AG79" i="26" s="1"/>
  <c r="AG84" i="26" s="1"/>
  <c r="AI83" i="26"/>
  <c r="AI56" i="26"/>
  <c r="AI70" i="26" s="1"/>
  <c r="AG87" i="26" l="1"/>
  <c r="AG88" i="26" s="1"/>
  <c r="AG91" i="26" s="1"/>
  <c r="AG85" i="26"/>
  <c r="AG90" i="26" s="1"/>
  <c r="AG89" i="26"/>
  <c r="AI78" i="26"/>
  <c r="AI71" i="26"/>
  <c r="AJ78" i="26"/>
  <c r="AJ71" i="26"/>
  <c r="AH72" i="26"/>
  <c r="AH79" i="26" s="1"/>
  <c r="AH84" i="26" s="1"/>
  <c r="AH73" i="26"/>
  <c r="AG73" i="26"/>
  <c r="AH87" i="26" l="1"/>
  <c r="AH88" i="26" s="1"/>
  <c r="AH91" i="26" s="1"/>
  <c r="AH89" i="26"/>
  <c r="AH85" i="26"/>
  <c r="AH90" i="26" s="1"/>
  <c r="AJ72" i="26"/>
  <c r="AJ73" i="26" s="1"/>
  <c r="AI72" i="26"/>
  <c r="AI79" i="26" s="1"/>
  <c r="AI84" i="26"/>
  <c r="AI87" i="26" l="1"/>
  <c r="AI88" i="26" s="1"/>
  <c r="AI91" i="26" s="1"/>
  <c r="AI89" i="26"/>
  <c r="AI85" i="26"/>
  <c r="AI90" i="26" s="1"/>
  <c r="AI73" i="26"/>
  <c r="AJ79" i="26"/>
  <c r="AJ84" i="26" s="1"/>
  <c r="AJ87" i="26" l="1"/>
  <c r="AJ88" i="26" s="1"/>
  <c r="AJ89" i="26"/>
  <c r="AJ85" i="26"/>
  <c r="AJ90" i="26" s="1"/>
  <c r="G28" i="26" s="1"/>
  <c r="AJ91" i="26" l="1"/>
  <c r="G29" i="26" s="1"/>
  <c r="G30" i="26"/>
  <c r="B99" i="26" l="1"/>
  <c r="G31" i="26"/>
</calcChain>
</file>

<file path=xl/sharedStrings.xml><?xml version="1.0" encoding="utf-8"?>
<sst xmlns="http://schemas.openxmlformats.org/spreadsheetml/2006/main" count="1103" uniqueCount="633">
  <si>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</si>
  <si>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</si>
  <si>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</si>
  <si>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</si>
  <si>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</si>
  <si>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</si>
  <si>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</si>
  <si>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</si>
  <si>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</si>
  <si>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</si>
  <si>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</si>
  <si>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</si>
  <si>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</si>
  <si>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</si>
  <si>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</si>
  <si>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</si>
  <si>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</si>
  <si>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</si>
  <si>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</si>
  <si>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</si>
  <si>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</si>
  <si>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</si>
  <si>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</si>
  <si>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</si>
  <si>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</si>
  <si>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</si>
  <si>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</si>
  <si>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</si>
  <si>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</si>
  <si>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</si>
  <si>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</si>
  <si>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</si>
  <si>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</si>
  <si>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</si>
  <si>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</si>
  <si>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</si>
  <si>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</si>
  <si>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</si>
  <si>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</si>
  <si>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</si>
  <si>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</si>
  <si>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</si>
  <si>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</si>
  <si>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</si>
  <si>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</si>
  <si>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</si>
  <si>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</si>
  <si>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</si>
  <si>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</si>
  <si>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</si>
  <si>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</si>
  <si>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</si>
  <si>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</si>
  <si>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</si>
  <si>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</si>
  <si>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</si>
  <si>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</si>
  <si>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</si>
  <si>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</si>
  <si>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</si>
  <si>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</si>
  <si>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</si>
  <si>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</si>
  <si>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</si>
  <si>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</si>
  <si>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</si>
  <si>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</si>
  <si>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</si>
  <si>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</si>
  <si>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</si>
  <si>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</si>
  <si>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</si>
  <si>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</si>
  <si>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</si>
  <si>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</si>
  <si>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</si>
  <si>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</si>
  <si>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</si>
  <si>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</si>
  <si>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</si>
  <si>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</si>
  <si>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</si>
  <si>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</si>
  <si>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</si>
  <si>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</si>
  <si>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</si>
  <si>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</si>
  <si>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</si>
  <si>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</si>
  <si>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</si>
  <si>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</si>
  <si>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</si>
  <si>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</si>
  <si>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</si>
  <si>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</si>
  <si>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</si>
  <si>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</si>
  <si>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</si>
  <si>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</si>
  <si>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</si>
  <si>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</si>
  <si>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</si>
  <si>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</si>
  <si>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</si>
  <si>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</si>
  <si>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</si>
  <si>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</si>
  <si>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</si>
  <si>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</si>
  <si>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</si>
  <si>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</si>
  <si>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</si>
  <si>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</si>
  <si>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</si>
  <si>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</si>
  <si>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</si>
  <si>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</si>
  <si>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</si>
  <si>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</si>
  <si>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</si>
  <si>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</si>
  <si>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</si>
  <si>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</si>
  <si>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</si>
  <si>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</si>
  <si>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</si>
  <si>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</si>
  <si>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</si>
  <si>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</si>
  <si>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</si>
  <si>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</si>
  <si>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</si>
  <si>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</si>
  <si>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</si>
  <si>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</si>
  <si>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</si>
  <si>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</si>
  <si>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</si>
  <si>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</si>
  <si>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</si>
  <si>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</si>
  <si>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</si>
  <si>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</si>
  <si>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</si>
  <si>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</si>
  <si>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</si>
  <si>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</si>
  <si>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</si>
  <si>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</si>
  <si>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</si>
  <si>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</si>
  <si>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</si>
  <si>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</si>
  <si>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</si>
  <si>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</si>
  <si>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</si>
  <si>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</si>
  <si>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</si>
  <si>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</si>
  <si>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</si>
  <si>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</si>
  <si>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</si>
  <si>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</si>
  <si>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</si>
  <si>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</si>
  <si>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</si>
  <si>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</si>
  <si>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</si>
  <si>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</si>
  <si>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</si>
  <si>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</si>
  <si>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</si>
  <si>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</si>
  <si>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</si>
  <si>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</si>
  <si>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</si>
  <si>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</si>
  <si>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</si>
  <si>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</si>
  <si>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</si>
  <si>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</si>
  <si>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</si>
  <si>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</si>
  <si>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</si>
  <si>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</si>
  <si>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</si>
  <si>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</si>
  <si>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</si>
  <si>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</si>
  <si>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</si>
  <si>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</si>
  <si>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</si>
  <si>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</si>
  <si>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</si>
  <si>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</si>
  <si>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</si>
  <si>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</si>
  <si>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</si>
  <si>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</si>
  <si>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</si>
  <si>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</si>
  <si>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</si>
  <si>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</si>
  <si>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</si>
  <si>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</si>
  <si>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</si>
  <si>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</si>
  <si>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</si>
  <si>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</si>
  <si>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</si>
  <si>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</si>
  <si>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</si>
  <si>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</si>
  <si>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</si>
  <si>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</si>
  <si>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</si>
  <si>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</si>
  <si>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</si>
  <si>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</si>
  <si>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</si>
  <si>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</si>
  <si>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</si>
  <si>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</si>
  <si>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</si>
  <si>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</si>
  <si>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</si>
  <si>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</si>
  <si>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</si>
  <si>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</si>
  <si>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</si>
  <si>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</si>
  <si>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</si>
  <si>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</si>
  <si>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</si>
  <si>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</si>
  <si>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</si>
  <si>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</si>
  <si>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</si>
  <si>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</si>
  <si>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</si>
  <si>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</si>
  <si>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</si>
  <si>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</si>
  <si>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</si>
  <si>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</si>
  <si>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</si>
  <si>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</si>
  <si>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</si>
  <si>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</si>
  <si>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</si>
  <si>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</si>
  <si>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</si>
  <si>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</si>
  <si>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</si>
  <si>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</si>
  <si>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</si>
  <si>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</si>
  <si>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</si>
  <si>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</si>
  <si>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</si>
  <si>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</si>
  <si>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</si>
  <si>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</si>
  <si>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</si>
  <si>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</si>
  <si>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</si>
  <si>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</si>
  <si>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</si>
  <si>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</si>
  <si>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</si>
  <si>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</si>
  <si>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</si>
  <si>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</si>
  <si>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</si>
  <si>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</si>
  <si>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</si>
  <si>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</si>
  <si>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</si>
  <si>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</si>
  <si>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</si>
  <si>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</si>
  <si>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</si>
  <si>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</si>
  <si>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</si>
  <si>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</si>
  <si>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</si>
  <si>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</si>
  <si>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</si>
  <si>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</si>
  <si>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</si>
  <si>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</si>
  <si>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</si>
  <si>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</si>
  <si>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</si>
  <si>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</si>
  <si>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</si>
  <si>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</si>
  <si>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</si>
  <si>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</si>
  <si>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</si>
  <si>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</si>
  <si>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</si>
  <si>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</si>
  <si>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</si>
  <si>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</si>
  <si>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</si>
  <si>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</si>
  <si>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</si>
  <si>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</si>
  <si>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</si>
  <si>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</si>
  <si>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</si>
  <si>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</si>
  <si>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</si>
  <si>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</si>
  <si>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</si>
  <si>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</si>
  <si>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</si>
  <si>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</si>
  <si>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</si>
  <si>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</si>
  <si>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</si>
  <si>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</si>
  <si>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</si>
  <si>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</si>
  <si>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</si>
  <si>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</si>
  <si>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</si>
  <si>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</si>
  <si>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</si>
  <si>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</si>
  <si>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</si>
  <si>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</si>
  <si>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</si>
  <si>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</si>
  <si>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</si>
  <si>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</si>
  <si>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</si>
  <si>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</si>
  <si>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</si>
  <si>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</si>
  <si>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</si>
  <si>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</si>
  <si>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</si>
  <si>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</si>
  <si>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</si>
  <si>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</si>
  <si>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</si>
  <si>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</si>
  <si>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</si>
  <si>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</si>
  <si>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</si>
  <si>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</si>
  <si>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</si>
  <si>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</si>
  <si>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</si>
  <si>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</si>
  <si>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</si>
  <si>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</si>
  <si>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</si>
  <si>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</si>
  <si>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</si>
  <si>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</si>
  <si>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</si>
  <si>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</si>
  <si>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</si>
  <si>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</si>
  <si>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</si>
  <si>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</si>
  <si>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</si>
  <si>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</si>
  <si>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</si>
  <si>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</si>
  <si>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</si>
  <si>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</si>
  <si>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</si>
  <si>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</si>
  <si>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</si>
  <si>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</si>
  <si>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</si>
  <si>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</si>
  <si>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</si>
  <si>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</si>
  <si>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</si>
  <si>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</si>
  <si>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</si>
  <si>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</si>
  <si>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</si>
  <si>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</si>
  <si>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</si>
  <si>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</si>
  <si>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</si>
  <si>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</si>
  <si>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</si>
  <si>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</si>
  <si>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</si>
  <si>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</si>
  <si>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</si>
  <si>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</si>
  <si>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</si>
  <si>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</si>
  <si>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</si>
  <si>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</si>
  <si>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</si>
  <si>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</si>
  <si>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</si>
  <si>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</si>
  <si>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</si>
  <si>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</si>
  <si>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</si>
  <si>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</si>
  <si>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</si>
  <si>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</si>
  <si>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</si>
  <si>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</si>
  <si>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</si>
  <si>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</si>
  <si>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</si>
  <si>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</si>
  <si>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</si>
  <si>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</si>
  <si>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</si>
  <si>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</si>
  <si>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</si>
  <si>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</si>
  <si>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</si>
  <si>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</si>
  <si>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</si>
  <si>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</si>
  <si>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</si>
  <si>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</si>
  <si>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</si>
  <si>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</si>
  <si>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</si>
  <si>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</si>
  <si>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</si>
  <si>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</si>
  <si>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</si>
  <si>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</si>
  <si>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</si>
  <si>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</si>
  <si>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</si>
  <si>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</si>
  <si>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</si>
  <si>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</si>
  <si>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</si>
  <si>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</si>
  <si>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</si>
  <si>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</si>
  <si>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</si>
  <si>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</si>
  <si>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</si>
  <si>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</si>
  <si>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</si>
  <si>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</si>
  <si>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</si>
  <si>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</si>
  <si>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</si>
  <si>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</si>
  <si>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</si>
  <si>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</si>
  <si>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</si>
  <si>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xml:space="preserve">Расширение ПС 110/15кВ О-47 "Борисово"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</si>
  <si>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</si>
  <si>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</si>
  <si>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</si>
  <si>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</si>
  <si>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</si>
  <si>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</si>
  <si>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</si>
  <si>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</si>
  <si>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</si>
  <si>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</si>
  <si>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</si>
  <si>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</si>
  <si>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</si>
  <si>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</si>
  <si>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</si>
  <si>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</si>
  <si>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</si>
  <si>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t>
  </si>
  <si>
    <t>Калининградская область.</t>
  </si>
  <si>
    <t>Гурьевский р-н, южнее п. Борисово.</t>
  </si>
  <si>
    <t>2013 г.</t>
  </si>
  <si>
    <t>2018 г.</t>
  </si>
  <si>
    <t>2х10 МВА</t>
  </si>
  <si>
    <t>2х25 МВА</t>
  </si>
  <si>
    <t xml:space="preserve">ПС 110/15кВ О-47 "Борисово" </t>
  </si>
  <si>
    <t>110/15 кВ</t>
  </si>
  <si>
    <t>1979 г.; 1985 г.</t>
  </si>
  <si>
    <t>Т-1; Т-2</t>
  </si>
  <si>
    <t>ТДТН-10000/110-70У1</t>
  </si>
  <si>
    <t>3 пусковых комплекса</t>
  </si>
  <si>
    <t>• Обеспечение надежности электроснабжения.
• Обеспечение качества услуг.
• Снижение эксплуатационных издержек.
• Увеличение объема услуг по передаче электрической энергии.</t>
  </si>
  <si>
    <t>Инвестиционный проект предполагает расширение ПС 110/10 кВ О-47 «Борисово» с заменой 2-х трансформаторов мощностью 10 МВА типа ТДТН-10000/110-70У1 на трансформаторы мощностью 25 МВА, строительством ЗРУ 15 кВ, модернизацией ССПИ.</t>
  </si>
  <si>
    <t>ТРДН-25000/110-У1</t>
  </si>
  <si>
    <t>Реконструкция</t>
  </si>
  <si>
    <t>2017 г.</t>
  </si>
  <si>
    <t/>
  </si>
  <si>
    <t>Получение заявки на ТП</t>
  </si>
  <si>
    <t>01.01.2008</t>
  </si>
  <si>
    <t>28.02.2008</t>
  </si>
  <si>
    <t>Разработка и выдача ТУ на ТП</t>
  </si>
  <si>
    <t>01.03.2008</t>
  </si>
  <si>
    <t>31.03.2008</t>
  </si>
  <si>
    <t>Заключение договора на разработку проетной документации</t>
  </si>
  <si>
    <t>01.06.2013</t>
  </si>
  <si>
    <t>30.06.2013</t>
  </si>
  <si>
    <t>Получение положительного заключения государственной экспертизы на проектную документацию</t>
  </si>
  <si>
    <t>01.12.2013</t>
  </si>
  <si>
    <t>31.12.2013</t>
  </si>
  <si>
    <t>29.07.2008</t>
  </si>
  <si>
    <t>31.01.2009</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</si>
  <si>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</si>
  <si>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</si>
  <si>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</si>
  <si>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</si>
  <si>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</si>
  <si>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01.03.2014</t>
  </si>
  <si>
    <t>30.04.2014</t>
  </si>
  <si>
    <t>01.05.2014</t>
  </si>
  <si>
    <t>Завершение строительства</t>
  </si>
  <si>
    <t>Ввод в эксплуатацию объекта сетевого строительства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</si>
  <si>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</si>
  <si>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</si>
  <si>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</si>
  <si>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</si>
  <si>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</si>
  <si>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</si>
  <si>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</si>
  <si>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</si>
  <si>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</si>
  <si>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1990 г.</t>
  </si>
  <si>
    <t>3-й  п.к. с вводом в эксплуатацию в 2017 г. нового ЗРУ 15 кВ.</t>
  </si>
  <si>
    <t xml:space="preserve"> ПС 110/15кВ О-47 "Борисово"</t>
  </si>
  <si>
    <t>не требуется</t>
  </si>
  <si>
    <t>имеются</t>
  </si>
  <si>
    <t>в составе проекта</t>
  </si>
  <si>
    <t>Регионального значения</t>
  </si>
  <si>
    <t>Описание состава объектов инвестиционной деятельности их количества и характеристик в отношении каждого такого объекта</t>
  </si>
  <si>
    <t>Увеличение мощности трансформаторов с 2х10 МВА до 2х25 МВА</t>
  </si>
  <si>
    <t>2013 г.; 2014 г.</t>
  </si>
  <si>
    <t>Выключатель 110 кВ</t>
  </si>
  <si>
    <t>Силовой трансформатор 110 кВ</t>
  </si>
  <si>
    <t>Выключатель элегазовый 3FP1FG-145</t>
  </si>
  <si>
    <t>В Т-1 110 кВ, В Т-2 110 кВ</t>
  </si>
  <si>
    <t>2014 г.</t>
  </si>
  <si>
    <t>110 кВ</t>
  </si>
  <si>
    <t>КРУ 15 кВ</t>
  </si>
  <si>
    <t>RTFL-24</t>
  </si>
  <si>
    <t>24 кВ</t>
  </si>
  <si>
    <t>III c 15 кВ, IV с 15 кВ</t>
  </si>
  <si>
    <t>Силовой трансформатор 15 кВ</t>
  </si>
  <si>
    <t>ТМГ11-400/15 У1</t>
  </si>
  <si>
    <t>ТДК-4</t>
  </si>
  <si>
    <t>2015 г.</t>
  </si>
  <si>
    <t>15 кВ</t>
  </si>
  <si>
    <t>400 кВА</t>
  </si>
  <si>
    <t>А_prj_111001_2484</t>
  </si>
  <si>
    <t>№483 26.06.13 ЗАО "ИЦ "Энергосервис" в ценах 2013 года с НДС, млн. руб.</t>
  </si>
  <si>
    <t>№ 440 29.11.2012  ООО "Тольяттинский Трансформатор"  в ценах 2012 года с НДС, млн. руб.</t>
  </si>
  <si>
    <t>№ 126 17.03.2014  ООО "Тольяттинский Трансформатор"  в ценах 2014 года с НДС, млн. руб.</t>
  </si>
  <si>
    <t>№ 356 от 12/05/2014   ВВА  в ценах 2014 года с НДС, млн. руб.</t>
  </si>
  <si>
    <t>№ 222 от 27/06/2014  Инженерный центр Энергосервис    в ценах 2014 года с НДС, млн. руб.</t>
  </si>
  <si>
    <t xml:space="preserve">№ 221 от 16/05/2014  Инженерный центр Энергосервис   в ценах 2014 года с НДС, млн. руб.  </t>
  </si>
  <si>
    <t>№ 402 от 05/06/2014 НМК  в ценах 2014 года с НДС, млн. руб.</t>
  </si>
  <si>
    <t xml:space="preserve">№ 419 от 30/06/2014 от Технокомплект   в ценах 2014 года с НДС, млн. руб.      </t>
  </si>
  <si>
    <t>№ 460 от 09/07/2014 Лик-94   в ценах 2014 года с НДС, млн. руб.</t>
  </si>
  <si>
    <t>№ 357 от 12/05/2014 МВ Юнион    в ценах 2014 года с НДС, млн. руб.</t>
  </si>
  <si>
    <t>№ 450 от 30/06/2014 МВ Юнион    в ценах 2014 года с НДС, млн. руб.</t>
  </si>
  <si>
    <t>№ 416 от 29/05/2014 Ольдам     в ценах 2014 года с НДС, млн. руб.</t>
  </si>
  <si>
    <t>№ ВВА-ЯЭ-001  от 25/09/2014 Евроконтракт - ВВА   в ценах 2014 года с НДС, млн. руб.</t>
  </si>
  <si>
    <t>№ 360 от 15/05/2014 Позитрон  в ценах 2014 года с НДС, млн. руб.</t>
  </si>
  <si>
    <t>№264 от 17/09/2015 - Эльстер Метроника   в ценах 2015 года с НДС, млн. руб.</t>
  </si>
  <si>
    <t>№45-2015Ц от 08/09/2015 - ОЭнТ-Центр     в ценах 2015 года с НДС, млн. руб.</t>
  </si>
  <si>
    <t>№Д-187К-15 от 09/09/2015 - Таврида Электрик СПб     в ценах 2015 года с НДС, млн. руб.</t>
  </si>
  <si>
    <t>№39к от 29/10/2015 - Калмыков Анатолий Иванович ИП     в ценах 2015 года с НДС, млн. руб.</t>
  </si>
  <si>
    <t>ПИР- ООО "Азимут - Проект" № 494   в ценах ______ года с НДС, млн. руб.</t>
  </si>
  <si>
    <t>такелаж трансформатора №30 08.05.2013-Западэнергосервис "Уран"   в ценах 2013 года с НДС, млн. руб.</t>
  </si>
  <si>
    <t>гос.экспертиза по инженерн.изысканиям и ПСД №248 21.08.2013-Центр проектных экспертиз   в ценах 2013 года с НДС, млн. руб.</t>
  </si>
  <si>
    <t>сметное нормирование дог. Ц00015495 от 15/09/14 - Прогресс ЦНТИ   в ценах 2014 года с НДС, млн. руб.</t>
  </si>
  <si>
    <t xml:space="preserve">№21 от 04/02/14 - Региональный центр общественного контроля      в ценах 2014 года с НДС, млн. руб.  </t>
  </si>
  <si>
    <t>№99 от 18/02/2015 - Благоустройство территории  -  Вита-Строй   в ценах 2015 года с НДС, млн. руб.</t>
  </si>
  <si>
    <t>13,52 (16.12.2015)</t>
  </si>
  <si>
    <t>Акт технического освидетельствования от 01.07.2015, ОАО "Янтарьэнерго", Ростехнадзор, ООО "ЭнЭка"</t>
  </si>
  <si>
    <t>Разрешается дальнейшая эксплуатация оборудования подстанции</t>
  </si>
  <si>
    <t>Реконструкция трансформаторных и иных подстанций</t>
  </si>
  <si>
    <t xml:space="preserve">Повышение надежности оказываемых услуг в сфере электроэнергетики </t>
  </si>
  <si>
    <t>н.д.</t>
  </si>
  <si>
    <t>Полная дисконтированная стоимость строительства с НДС</t>
  </si>
  <si>
    <t xml:space="preserve">индекс доходности </t>
  </si>
  <si>
    <r>
      <rPr>
        <sz val="11"/>
        <color theme="1"/>
        <rFont val="Symbol"/>
        <family val="1"/>
        <charset val="2"/>
      </rPr>
      <t>D</t>
    </r>
    <r>
      <rPr>
        <sz val="11"/>
        <color theme="1"/>
        <rFont val="Calibri"/>
        <family val="2"/>
        <charset val="204"/>
        <scheme val="minor"/>
      </rPr>
      <t xml:space="preserve">пsaidi = 0
</t>
    </r>
    <r>
      <rPr>
        <sz val="11"/>
        <color theme="1"/>
        <rFont val="Calibri"/>
        <family val="2"/>
        <charset val="204"/>
      </rPr>
      <t>Δ</t>
    </r>
    <r>
      <rPr>
        <sz val="11"/>
        <color theme="1"/>
        <rFont val="Calibri"/>
        <family val="2"/>
        <charset val="204"/>
        <scheme val="minor"/>
      </rPr>
      <t xml:space="preserve">пsaifi = 0
</t>
    </r>
  </si>
  <si>
    <t xml:space="preserve">Факт </t>
  </si>
  <si>
    <t>3 Квартал</t>
  </si>
  <si>
    <t>27,56 млн.руб.</t>
  </si>
  <si>
    <t>0 млн. руб.</t>
  </si>
  <si>
    <t>Завершение строительства и ввод объекта в эксплуатацию перенесен на 2016 год по следующим причинам : 1) подрядчик ЗАО "Инженерный центр "Энергосервис" (г. Архангельск), выигравший конкурсные процедуры на право заключения договора на выполнение строительно-монтажных работ отказался подписать договор подряда, требуется повторное проведение конкурсных процедур; 2).длительные сроки проведения конкурсных процедур на поставку унифицированного импортного оборудования не изготавливаемого в РФ - ТН типа TJP6 Uн-24кВ, 0,5/5P/0,5 и ДГК типа ZTS-250, указанные типы оборудования установлены на подстанции и находятся в эксплуатации после реализации 1-го и 2-го пусковых комплексов. Остальное оборудование для   реконструкции ПС Борисово (выключатели, трансформаторы тока, АИИС КУЭ, ЩСН, трансформаторы ДУК, трансформаторы ТСН).</t>
  </si>
  <si>
    <t>СТРОЙДЕТАЛИ   договор  № 427  от  30/06/16-   в ценах 2016 года с НДС, млн. руб.</t>
  </si>
  <si>
    <t>СТРОЙДЕТАЛИ    договор  № 426  от  30/06/16-   в ценах 2016 года с НДС, млн. руб.</t>
  </si>
  <si>
    <t>Бреслер ИЦ   договор  № 141/па-2016   от  30/06/16-   в ценах 2016 года с НДС, млн. руб.</t>
  </si>
  <si>
    <t>Поставка трансформаторов напряжения 6-35 кВ  по объекту «Расширение ПС 110/15 кВ О-47 "Борисово"(3 п.к.)».</t>
  </si>
  <si>
    <t>СМР и пусконаладочные работы по объекту: «Расширение ПС 110/15кВ О-47 " Борисово"</t>
  </si>
  <si>
    <t>СМР по объекту: «Реконструкция здания ОПУ/ЗРУ 15 кВ ПС 110 кВ О-47 "Борисово"</t>
  </si>
  <si>
    <t>АО "Янтарьэнерго"/ДКС</t>
  </si>
  <si>
    <t>ПСД</t>
  </si>
  <si>
    <t>ЗЗП ОКП РС</t>
  </si>
  <si>
    <t>"Группа "СВЭЛ" АО</t>
  </si>
  <si>
    <t>599475</t>
  </si>
  <si>
    <t>b2b-mrsk.ru</t>
  </si>
  <si>
    <t>15.01.2016</t>
  </si>
  <si>
    <t>16.02.2016</t>
  </si>
  <si>
    <t>21.03.2016</t>
  </si>
  <si>
    <t>Признана несостоявшейся</t>
  </si>
  <si>
    <t>ОЗП</t>
  </si>
  <si>
    <t>ОЗП ЕП</t>
  </si>
  <si>
    <t>"СТРОЙДЕТАЛИ" ООО</t>
  </si>
  <si>
    <t>644311</t>
  </si>
  <si>
    <t>22.04.2016</t>
  </si>
  <si>
    <t>30.05.2016</t>
  </si>
  <si>
    <t>п.7.5.5</t>
  </si>
  <si>
    <t>Закупочная комиссия</t>
  </si>
  <si>
    <t>07.06.2016</t>
  </si>
  <si>
    <t>644311-И</t>
  </si>
  <si>
    <t>17.06.2016</t>
  </si>
  <si>
    <t>17.09.2016</t>
  </si>
  <si>
    <t>644196</t>
  </si>
  <si>
    <t>644196-И</t>
  </si>
  <si>
    <t>30.06.2016</t>
  </si>
  <si>
    <t>30.09.2016</t>
  </si>
  <si>
    <t>ООО ЕГЕ-ЭНЕРГАН  договор  № 487  от  30/06/16-   в ценах 2016 года с НДС, млн. руб.</t>
  </si>
  <si>
    <t>50 МВА (50МВА)</t>
  </si>
  <si>
    <t>строительство</t>
  </si>
  <si>
    <t>Сметная стоимость проекта в ценах  2 кв. 2013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</si>
</sst>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b/>
      <sz val="10"/>
      <name val="Times New Roman"/>
      <family val="1"/>
      <charset val="204"/>
    </font>
    <font>
      <sz val="11"/>
      <color theme="0" tint="-0.249977111117893"/>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sz val="10"/>
      <color theme="0" tint="-0.249977111117893"/>
      <name val="Times New Roman"/>
      <family val="1"/>
      <charset val="204"/>
    </font>
    <font>
      <sz val="10"/>
      <color theme="0" tint="-4.9989318521683403E-2"/>
      <name val="Arial Cyr"/>
      <charset val="204"/>
    </font>
    <font>
      <sz val="11"/>
      <color theme="0" tint="-4.9989318521683403E-2"/>
      <name val="Times New Roman"/>
      <family val="1"/>
      <charset val="204"/>
    </font>
    <font>
      <b/>
      <sz val="11"/>
      <color theme="0" tint="-4.9989318521683403E-2"/>
      <name val="Times New Roman"/>
      <family val="1"/>
      <charset val="204"/>
    </font>
    <font>
      <b/>
      <sz val="12"/>
      <color theme="0" tint="-0.249977111117893"/>
      <name val="Times New Roman"/>
      <family val="1"/>
      <charset val="204"/>
    </font>
    <font>
      <sz val="8"/>
      <color indexed="8"/>
      <name val="Times New Roman"/>
      <family val="1"/>
      <charset val="204"/>
    </font>
    <font>
      <sz val="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63" fillId="0" borderId="0" xfId="67" applyFont="1" applyFill="1" applyAlignment="1">
      <alignment vertical="center"/>
    </xf>
    <xf numFmtId="0" fontId="61" fillId="0" borderId="0" xfId="62" applyFont="1" applyFill="1"/>
    <xf numFmtId="1" fontId="11" fillId="0" borderId="28" xfId="67" applyNumberFormat="1" applyFont="1" applyFill="1" applyBorder="1" applyAlignment="1">
      <alignment horizontal="center" vertical="center"/>
    </xf>
    <xf numFmtId="3" fontId="40" fillId="0" borderId="1" xfId="67" applyNumberFormat="1" applyFont="1" applyFill="1" applyBorder="1" applyAlignment="1">
      <alignment vertical="center"/>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11" fillId="0" borderId="0" xfId="67" applyFont="1" applyFill="1" applyAlignment="1">
      <alignment vertical="center"/>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170" fontId="41" fillId="0" borderId="24" xfId="67" applyNumberFormat="1" applyFont="1" applyFill="1" applyBorder="1" applyAlignment="1">
      <alignment vertical="center"/>
    </xf>
    <xf numFmtId="0" fontId="11" fillId="0" borderId="0" xfId="2" applyFont="1" applyFill="1" applyAlignment="1">
      <alignment horizontal="right" vertical="center"/>
    </xf>
    <xf numFmtId="0" fontId="65" fillId="0" borderId="0" xfId="62" applyFont="1" applyFill="1" applyBorder="1"/>
    <xf numFmtId="0" fontId="41" fillId="0" borderId="0" xfId="67" applyFont="1" applyFill="1" applyAlignment="1">
      <alignment vertical="center"/>
    </xf>
    <xf numFmtId="0" fontId="11" fillId="0" borderId="0" xfId="67" applyFont="1" applyFill="1" applyAlignment="1">
      <alignment horizontal="right" vertical="center"/>
    </xf>
    <xf numFmtId="2" fontId="51" fillId="0" borderId="0" xfId="67" applyNumberFormat="1" applyFont="1" applyFill="1" applyAlignment="1">
      <alignment horizontal="right" vertical="center"/>
    </xf>
    <xf numFmtId="0" fontId="41" fillId="0" borderId="0" xfId="67" applyFont="1" applyFill="1" applyAlignment="1">
      <alignment horizontal="center" vertical="center"/>
    </xf>
    <xf numFmtId="0" fontId="66" fillId="0" borderId="0" xfId="67" applyFont="1" applyFill="1" applyAlignment="1">
      <alignment horizontal="left" vertical="center"/>
    </xf>
    <xf numFmtId="0" fontId="45" fillId="0" borderId="0" xfId="67" applyFont="1" applyFill="1" applyAlignment="1">
      <alignment vertical="center"/>
    </xf>
    <xf numFmtId="0" fontId="11" fillId="0" borderId="38" xfId="67" applyFont="1" applyFill="1" applyBorder="1" applyAlignment="1">
      <alignment vertical="center"/>
    </xf>
    <xf numFmtId="3" fontId="40" fillId="0" borderId="39" xfId="67" applyNumberFormat="1" applyFont="1" applyFill="1" applyBorder="1" applyAlignment="1">
      <alignment vertical="center"/>
    </xf>
    <xf numFmtId="0" fontId="11" fillId="0" borderId="40" xfId="67" applyFont="1" applyFill="1" applyBorder="1" applyAlignment="1">
      <alignment vertical="center"/>
    </xf>
    <xf numFmtId="3" fontId="40" fillId="0" borderId="41" xfId="67" applyNumberFormat="1" applyFont="1" applyFill="1" applyBorder="1" applyAlignment="1">
      <alignment vertical="center"/>
    </xf>
    <xf numFmtId="0" fontId="11" fillId="0" borderId="42" xfId="67" applyFont="1" applyFill="1" applyBorder="1" applyAlignment="1">
      <alignment vertical="center"/>
    </xf>
    <xf numFmtId="3" fontId="40" fillId="0" borderId="43" xfId="67" applyNumberFormat="1" applyFont="1" applyFill="1" applyBorder="1" applyAlignment="1">
      <alignment vertical="center"/>
    </xf>
    <xf numFmtId="0" fontId="11" fillId="0" borderId="44" xfId="67" applyFont="1" applyFill="1" applyBorder="1" applyAlignment="1">
      <alignment vertical="center"/>
    </xf>
    <xf numFmtId="3" fontId="40" fillId="0" borderId="45" xfId="67" applyNumberFormat="1" applyFont="1" applyFill="1" applyBorder="1" applyAlignment="1">
      <alignment vertical="center"/>
    </xf>
    <xf numFmtId="10" fontId="40" fillId="0" borderId="43" xfId="67" applyNumberFormat="1" applyFont="1" applyFill="1" applyBorder="1" applyAlignment="1">
      <alignment vertical="center"/>
    </xf>
    <xf numFmtId="9" fontId="40" fillId="0" borderId="45" xfId="67" applyNumberFormat="1" applyFont="1" applyFill="1" applyBorder="1" applyAlignment="1">
      <alignment vertical="center"/>
    </xf>
    <xf numFmtId="0" fontId="11" fillId="0" borderId="30" xfId="67" applyFont="1" applyFill="1" applyBorder="1" applyAlignment="1">
      <alignment vertical="center"/>
    </xf>
    <xf numFmtId="3" fontId="40" fillId="0" borderId="38" xfId="67" applyNumberFormat="1" applyFont="1" applyFill="1" applyBorder="1" applyAlignment="1">
      <alignment vertical="center"/>
    </xf>
    <xf numFmtId="0" fontId="11" fillId="0" borderId="26" xfId="67" applyFont="1" applyFill="1" applyBorder="1" applyAlignment="1">
      <alignment vertical="center"/>
    </xf>
    <xf numFmtId="10" fontId="40" fillId="0" borderId="46" xfId="67" applyNumberFormat="1" applyFont="1" applyFill="1" applyBorder="1" applyAlignment="1">
      <alignment vertical="center"/>
    </xf>
    <xf numFmtId="10" fontId="40" fillId="0" borderId="40" xfId="67" applyNumberFormat="1" applyFont="1" applyFill="1" applyBorder="1" applyAlignment="1">
      <alignment vertical="center"/>
    </xf>
    <xf numFmtId="0" fontId="11" fillId="0" borderId="47" xfId="67" applyFont="1" applyFill="1" applyBorder="1" applyAlignment="1">
      <alignment vertical="center"/>
    </xf>
    <xf numFmtId="10" fontId="40" fillId="0" borderId="44" xfId="67" applyNumberFormat="1" applyFont="1" applyFill="1" applyBorder="1" applyAlignment="1">
      <alignment vertical="center"/>
    </xf>
    <xf numFmtId="0" fontId="11" fillId="0" borderId="29" xfId="67" applyFont="1" applyFill="1" applyBorder="1" applyAlignment="1">
      <alignment horizontal="left" vertical="center"/>
    </xf>
    <xf numFmtId="0" fontId="11" fillId="0" borderId="27" xfId="67" applyFont="1" applyFill="1" applyBorder="1" applyAlignment="1">
      <alignment vertical="center"/>
    </xf>
    <xf numFmtId="10" fontId="40" fillId="0" borderId="1" xfId="67" applyNumberFormat="1" applyFont="1" applyFill="1" applyBorder="1" applyAlignment="1">
      <alignment vertical="center"/>
    </xf>
    <xf numFmtId="0" fontId="11" fillId="0" borderId="25" xfId="67" applyFont="1" applyFill="1" applyBorder="1" applyAlignment="1">
      <alignment vertical="center"/>
    </xf>
    <xf numFmtId="0" fontId="41" fillId="0" borderId="29" xfId="67" applyFont="1" applyFill="1" applyBorder="1" applyAlignment="1">
      <alignment vertical="center"/>
    </xf>
    <xf numFmtId="0" fontId="61" fillId="0" borderId="0" xfId="62" applyFont="1" applyFill="1" applyBorder="1"/>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63" fillId="0" borderId="0" xfId="67" applyNumberFormat="1" applyFont="1" applyFill="1" applyBorder="1" applyAlignment="1">
      <alignment horizontal="center" vertical="center"/>
    </xf>
    <xf numFmtId="0" fontId="41" fillId="0" borderId="27" xfId="67" applyFont="1" applyFill="1" applyBorder="1" applyAlignment="1">
      <alignment vertical="center"/>
    </xf>
    <xf numFmtId="0" fontId="11" fillId="0" borderId="27" xfId="67" applyFont="1" applyFill="1" applyBorder="1" applyAlignment="1">
      <alignment horizontal="left" vertical="center"/>
    </xf>
    <xf numFmtId="0" fontId="41" fillId="0" borderId="27" xfId="67" applyFont="1" applyFill="1" applyBorder="1" applyAlignment="1">
      <alignment horizontal="left" vertical="center"/>
    </xf>
    <xf numFmtId="0" fontId="41" fillId="0" borderId="25" xfId="67" applyFont="1" applyFill="1" applyBorder="1" applyAlignment="1">
      <alignment horizontal="left" vertical="center"/>
    </xf>
    <xf numFmtId="166" fontId="40" fillId="0" borderId="0" xfId="67" applyNumberFormat="1" applyFont="1" applyFill="1" applyBorder="1" applyAlignment="1">
      <alignment horizontal="center" vertical="center"/>
    </xf>
    <xf numFmtId="166" fontId="67" fillId="0" borderId="0" xfId="67" applyNumberFormat="1" applyFont="1" applyFill="1" applyBorder="1" applyAlignment="1">
      <alignment horizontal="center" vertical="center"/>
    </xf>
    <xf numFmtId="0" fontId="44" fillId="0" borderId="0" xfId="62" applyFont="1" applyFill="1"/>
    <xf numFmtId="0" fontId="41" fillId="0" borderId="25" xfId="67" applyFont="1" applyFill="1" applyBorder="1" applyAlignment="1">
      <alignment vertical="center"/>
    </xf>
    <xf numFmtId="171" fontId="11" fillId="0" borderId="0" xfId="67" applyNumberFormat="1" applyFont="1" applyFill="1" applyAlignment="1">
      <alignment vertical="center"/>
    </xf>
    <xf numFmtId="172" fontId="64" fillId="0" borderId="0"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14" fontId="69" fillId="0" borderId="2" xfId="62" applyNumberFormat="1" applyFont="1" applyFill="1" applyBorder="1" applyAlignment="1" applyProtection="1">
      <alignment horizontal="center" vertical="center" wrapText="1"/>
      <protection locked="0"/>
    </xf>
    <xf numFmtId="173" fontId="69" fillId="0" borderId="1" xfId="62" applyNumberFormat="1" applyFont="1" applyFill="1" applyBorder="1" applyAlignment="1" applyProtection="1">
      <alignment horizontal="center" vertical="center"/>
      <protection locked="0"/>
    </xf>
    <xf numFmtId="49" fontId="69"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3" fillId="0" borderId="0" xfId="1" applyFill="1" applyBorder="1"/>
    <xf numFmtId="0" fontId="3" fillId="0" borderId="0" xfId="1" applyFill="1"/>
    <xf numFmtId="4" fontId="45" fillId="0" borderId="1" xfId="67" applyNumberFormat="1" applyFont="1" applyFill="1" applyBorder="1" applyAlignment="1">
      <alignment horizontal="center" vertical="center"/>
    </xf>
    <xf numFmtId="4" fontId="72" fillId="0" borderId="5" xfId="67" applyNumberFormat="1" applyFont="1" applyFill="1" applyBorder="1" applyAlignment="1">
      <alignment horizontal="center" vertical="center"/>
    </xf>
    <xf numFmtId="3" fontId="45" fillId="0" borderId="1" xfId="67" applyNumberFormat="1" applyFont="1" applyFill="1" applyBorder="1" applyAlignment="1">
      <alignment horizontal="center" vertical="center"/>
    </xf>
    <xf numFmtId="3" fontId="72" fillId="0" borderId="5"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72" fillId="0" borderId="5" xfId="67"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3" fillId="0" borderId="0" xfId="62" applyFont="1" applyFill="1" applyBorder="1"/>
    <xf numFmtId="3" fontId="74" fillId="0" borderId="5" xfId="67" applyNumberFormat="1" applyFont="1" applyFill="1" applyBorder="1" applyAlignment="1">
      <alignment vertical="center"/>
    </xf>
    <xf numFmtId="1" fontId="7" fillId="0" borderId="0" xfId="67" applyNumberFormat="1" applyFont="1" applyFill="1" applyAlignment="1">
      <alignment vertical="center"/>
    </xf>
    <xf numFmtId="0" fontId="62" fillId="0" borderId="0" xfId="62" applyFont="1" applyFill="1" applyBorder="1"/>
    <xf numFmtId="0" fontId="11" fillId="0" borderId="0" xfId="62" applyFont="1" applyFill="1" applyBorder="1" applyAlignment="1">
      <alignment horizontal="left" vertical="center" wrapText="1"/>
    </xf>
    <xf numFmtId="3" fontId="64" fillId="0" borderId="1" xfId="67" applyNumberFormat="1" applyFont="1" applyFill="1" applyBorder="1" applyAlignment="1">
      <alignment vertical="center"/>
    </xf>
    <xf numFmtId="3" fontId="75" fillId="0" borderId="4" xfId="67" applyNumberFormat="1" applyFont="1" applyFill="1" applyBorder="1" applyAlignment="1">
      <alignment vertical="center"/>
    </xf>
    <xf numFmtId="3" fontId="76" fillId="0" borderId="0" xfId="67" applyNumberFormat="1" applyFont="1" applyFill="1" applyAlignment="1">
      <alignment horizontal="center" vertical="center"/>
    </xf>
    <xf numFmtId="172" fontId="64" fillId="0" borderId="1" xfId="67" applyNumberFormat="1" applyFont="1" applyFill="1" applyBorder="1" applyAlignment="1">
      <alignment vertical="center"/>
    </xf>
    <xf numFmtId="0" fontId="36" fillId="0" borderId="1" xfId="1" applyFont="1" applyBorder="1" applyAlignment="1">
      <alignment horizontal="left"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62" applyNumberFormat="1" applyFont="1" applyFill="1" applyBorder="1" applyAlignment="1" applyProtection="1">
      <alignment horizontal="center" vertical="center" wrapText="1"/>
      <protection locked="0"/>
    </xf>
    <xf numFmtId="174" fontId="11"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49" applyFont="1" applyBorder="1"/>
    <xf numFmtId="49" fontId="77" fillId="0" borderId="1" xfId="0" applyNumberFormat="1" applyFont="1" applyFill="1" applyBorder="1" applyAlignment="1">
      <alignment horizontal="center" vertical="center" wrapText="1"/>
    </xf>
    <xf numFmtId="2"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1" xfId="0" applyFont="1" applyFill="1" applyBorder="1"/>
    <xf numFmtId="172" fontId="40" fillId="26" borderId="31" xfId="2" applyNumberFormat="1" applyFont="1" applyFill="1" applyBorder="1" applyAlignment="1">
      <alignment horizontal="justify" vertical="top" wrapText="1"/>
    </xf>
    <xf numFmtId="0" fontId="49" fillId="0" borderId="0" xfId="1" applyFont="1" applyAlignment="1">
      <alignment vertical="center"/>
    </xf>
    <xf numFmtId="0" fontId="12" fillId="0" borderId="0" xfId="1" applyFont="1" applyFill="1" applyBorder="1" applyAlignment="1">
      <alignment vertical="center"/>
    </xf>
    <xf numFmtId="0" fontId="40" fillId="0" borderId="31" xfId="2" applyNumberFormat="1" applyFont="1" applyFill="1" applyBorder="1" applyAlignment="1">
      <alignment horizontal="justify"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70" fillId="0" borderId="0" xfId="0" applyFont="1" applyFill="1" applyAlignment="1">
      <alignment horizontal="center" vertical="center"/>
    </xf>
    <xf numFmtId="0" fontId="6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0" xfId="67" applyFont="1" applyFill="1" applyAlignment="1">
      <alignment horizontal="left" vertical="center" wrapText="1"/>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11" fillId="0" borderId="0" xfId="62" applyFont="1" applyFill="1" applyBorder="1" applyAlignment="1">
      <alignment horizontal="left" vertical="center" wrapText="1"/>
    </xf>
    <xf numFmtId="0" fontId="71" fillId="0" borderId="0" xfId="1" applyFont="1" applyAlignment="1">
      <alignment horizontal="center" vertical="center"/>
    </xf>
    <xf numFmtId="0" fontId="70"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10" xfId="2" applyFont="1" applyFill="1" applyBorder="1" applyAlignment="1">
      <alignment horizontal="center" wrapText="1"/>
    </xf>
    <xf numFmtId="0" fontId="11" fillId="0" borderId="6" xfId="2" applyFont="1" applyFill="1" applyBorder="1" applyAlignment="1">
      <alignment horizontal="center" wrapText="1"/>
    </xf>
    <xf numFmtId="0" fontId="11" fillId="0" borderId="2" xfId="2" applyFont="1" applyFill="1" applyBorder="1" applyAlignment="1">
      <alignment horizontal="center" wrapText="1"/>
    </xf>
    <xf numFmtId="0" fontId="42" fillId="0" borderId="0" xfId="2" applyFont="1" applyFill="1" applyAlignment="1">
      <alignment horizontal="center" vertical="top" wrapText="1"/>
    </xf>
    <xf numFmtId="0" fontId="42" fillId="0" borderId="1" xfId="2" applyNumberFormat="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11" fillId="0" borderId="0" xfId="1" applyFont="1" applyAlignment="1">
      <alignment horizontal="center" vertical="center"/>
    </xf>
    <xf numFmtId="0" fontId="49" fillId="0" borderId="0" xfId="2" applyFont="1" applyFill="1" applyAlignment="1">
      <alignment horizontal="center"/>
    </xf>
    <xf numFmtId="0" fontId="60" fillId="0" borderId="0" xfId="1" applyFont="1" applyAlignment="1">
      <alignment horizontal="center" vertic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xfId="78"/>
    <cellStyle name="Финансовый 2 2 2 2 2" xfId="59"/>
    <cellStyle name="Финансовый 2 2 3" xfId="76"/>
    <cellStyle name="Финансовый 2 2 4" xfId="72"/>
    <cellStyle name="Финансовый 2 3" xfId="73"/>
    <cellStyle name="Финансовый 2 3 2" xfId="77"/>
    <cellStyle name="Финансовый 2 4" xfId="75"/>
    <cellStyle name="Финансовый 2 5" xfId="71"/>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7504"/>
        <c:axId val="692911032"/>
      </c:lineChart>
      <c:catAx>
        <c:axId val="69290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11032"/>
        <c:crosses val="autoZero"/>
        <c:auto val="1"/>
        <c:lblAlgn val="ctr"/>
        <c:lblOffset val="100"/>
        <c:noMultiLvlLbl val="0"/>
      </c:catAx>
      <c:valAx>
        <c:axId val="692911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7504"/>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27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66" t="s">
        <v>70</v>
      </c>
      <c r="F1" s="16"/>
      <c r="G1" s="16"/>
    </row>
    <row r="2" spans="1:22" s="12" customFormat="1" ht="18.75" customHeight="1" x14ac:dyDescent="0.3">
      <c r="A2" s="18"/>
      <c r="C2" s="267" t="s">
        <v>11</v>
      </c>
      <c r="F2" s="16"/>
      <c r="G2" s="16"/>
    </row>
    <row r="3" spans="1:22" s="12" customFormat="1" ht="18.75" x14ac:dyDescent="0.3">
      <c r="A3" s="17"/>
      <c r="C3" s="267" t="s">
        <v>69</v>
      </c>
      <c r="F3" s="16"/>
      <c r="G3" s="16"/>
    </row>
    <row r="4" spans="1:22" s="12" customFormat="1" ht="18.75" x14ac:dyDescent="0.3">
      <c r="A4" s="17"/>
      <c r="C4" s="16"/>
      <c r="F4" s="16"/>
      <c r="G4" s="16"/>
      <c r="H4" s="15"/>
    </row>
    <row r="5" spans="1:22" s="12" customFormat="1" ht="15.75" x14ac:dyDescent="0.25">
      <c r="A5" s="326" t="s">
        <v>453</v>
      </c>
      <c r="B5" s="326"/>
      <c r="C5" s="326"/>
      <c r="D5" s="172"/>
      <c r="E5" s="172"/>
      <c r="F5" s="172"/>
      <c r="G5" s="172"/>
      <c r="H5" s="172"/>
      <c r="I5" s="172"/>
      <c r="J5" s="172"/>
    </row>
    <row r="6" spans="1:22" s="12" customFormat="1" ht="18.75" x14ac:dyDescent="0.3">
      <c r="A6" s="17"/>
      <c r="C6" s="16"/>
      <c r="F6" s="16"/>
      <c r="G6" s="16"/>
      <c r="H6" s="15"/>
    </row>
    <row r="7" spans="1:22" s="12" customFormat="1" ht="18.75" x14ac:dyDescent="0.2">
      <c r="A7" s="330" t="s">
        <v>10</v>
      </c>
      <c r="B7" s="330"/>
      <c r="C7" s="3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268"/>
      <c r="D8" s="14"/>
      <c r="E8" s="14"/>
      <c r="F8" s="14"/>
      <c r="G8" s="14"/>
      <c r="H8" s="14"/>
      <c r="I8" s="13"/>
      <c r="J8" s="13"/>
      <c r="K8" s="13"/>
      <c r="L8" s="13"/>
      <c r="M8" s="13"/>
      <c r="N8" s="13"/>
      <c r="O8" s="13"/>
      <c r="P8" s="13"/>
      <c r="Q8" s="13"/>
      <c r="R8" s="13"/>
      <c r="S8" s="13"/>
      <c r="T8" s="13"/>
      <c r="U8" s="13"/>
      <c r="V8" s="13"/>
    </row>
    <row r="9" spans="1:22" s="12" customFormat="1" ht="18.75" x14ac:dyDescent="0.2">
      <c r="A9" s="329" t="s">
        <v>452</v>
      </c>
      <c r="B9" s="329"/>
      <c r="C9" s="329"/>
      <c r="D9" s="8"/>
      <c r="E9" s="8"/>
      <c r="F9" s="8"/>
      <c r="G9" s="8"/>
      <c r="H9" s="8"/>
      <c r="I9" s="13"/>
      <c r="J9" s="13"/>
      <c r="K9" s="13"/>
      <c r="L9" s="13"/>
      <c r="M9" s="13"/>
      <c r="N9" s="13"/>
      <c r="O9" s="13"/>
      <c r="P9" s="13"/>
      <c r="Q9" s="13"/>
      <c r="R9" s="13"/>
      <c r="S9" s="13"/>
      <c r="T9" s="13"/>
      <c r="U9" s="13"/>
      <c r="V9" s="13"/>
    </row>
    <row r="10" spans="1:22" s="12" customFormat="1" ht="18.75" x14ac:dyDescent="0.2">
      <c r="A10" s="327" t="s">
        <v>9</v>
      </c>
      <c r="B10" s="327"/>
      <c r="C10" s="3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68"/>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9" t="s">
        <v>558</v>
      </c>
      <c r="B12" s="329"/>
      <c r="C12" s="329"/>
      <c r="D12" s="8"/>
      <c r="E12" s="8"/>
      <c r="F12" s="8"/>
      <c r="G12" s="8"/>
      <c r="H12" s="8"/>
      <c r="I12" s="13"/>
      <c r="J12" s="13"/>
      <c r="K12" s="13"/>
      <c r="L12" s="13"/>
      <c r="M12" s="13"/>
      <c r="N12" s="13"/>
      <c r="O12" s="13"/>
      <c r="P12" s="13"/>
      <c r="Q12" s="13"/>
      <c r="R12" s="13"/>
      <c r="S12" s="13"/>
      <c r="T12" s="13"/>
      <c r="U12" s="13"/>
      <c r="V12" s="13"/>
    </row>
    <row r="13" spans="1:22" s="12" customFormat="1" ht="18.75" x14ac:dyDescent="0.2">
      <c r="A13" s="327" t="s">
        <v>8</v>
      </c>
      <c r="B13" s="327"/>
      <c r="C13" s="3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65"/>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28" t="s">
        <v>462</v>
      </c>
      <c r="B15" s="328"/>
      <c r="C15" s="328"/>
      <c r="D15" s="8"/>
      <c r="E15" s="8"/>
      <c r="F15" s="8"/>
      <c r="G15" s="8"/>
      <c r="H15" s="8"/>
      <c r="I15" s="8"/>
      <c r="J15" s="8"/>
      <c r="K15" s="8"/>
      <c r="L15" s="8"/>
      <c r="M15" s="8"/>
      <c r="N15" s="8"/>
      <c r="O15" s="8"/>
      <c r="P15" s="8"/>
      <c r="Q15" s="8"/>
      <c r="R15" s="8"/>
      <c r="S15" s="8"/>
      <c r="T15" s="8"/>
      <c r="U15" s="8"/>
      <c r="V15" s="8"/>
    </row>
    <row r="16" spans="1:22" s="3" customFormat="1" ht="15" customHeight="1" x14ac:dyDescent="0.2">
      <c r="A16" s="327" t="s">
        <v>7</v>
      </c>
      <c r="B16" s="327"/>
      <c r="C16" s="3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69"/>
      <c r="D17" s="4"/>
      <c r="E17" s="4"/>
      <c r="F17" s="4"/>
      <c r="G17" s="4"/>
      <c r="H17" s="4"/>
      <c r="I17" s="4"/>
      <c r="J17" s="4"/>
      <c r="K17" s="4"/>
      <c r="L17" s="4"/>
      <c r="M17" s="4"/>
      <c r="N17" s="4"/>
      <c r="O17" s="4"/>
      <c r="P17" s="4"/>
      <c r="Q17" s="4"/>
      <c r="R17" s="4"/>
      <c r="S17" s="4"/>
    </row>
    <row r="18" spans="1:22" s="3" customFormat="1" ht="15" customHeight="1" x14ac:dyDescent="0.2">
      <c r="A18" s="328" t="s">
        <v>436</v>
      </c>
      <c r="B18" s="329"/>
      <c r="C18" s="3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70"/>
      <c r="D19" s="6"/>
      <c r="E19" s="6"/>
      <c r="F19" s="6"/>
      <c r="G19" s="6"/>
      <c r="H19" s="6"/>
      <c r="I19" s="4"/>
      <c r="J19" s="4"/>
      <c r="K19" s="4"/>
      <c r="L19" s="4"/>
      <c r="M19" s="4"/>
      <c r="N19" s="4"/>
      <c r="O19" s="4"/>
      <c r="P19" s="4"/>
      <c r="Q19" s="4"/>
      <c r="R19" s="4"/>
      <c r="S19" s="4"/>
    </row>
    <row r="20" spans="1:22" s="3" customFormat="1" ht="39.75" customHeight="1" x14ac:dyDescent="0.2">
      <c r="A20" s="27" t="s">
        <v>6</v>
      </c>
      <c r="B20" s="41" t="s">
        <v>68</v>
      </c>
      <c r="C20" s="271"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40">
        <v>1</v>
      </c>
      <c r="B21" s="41">
        <v>2</v>
      </c>
      <c r="C21" s="271">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4" t="s">
        <v>295</v>
      </c>
      <c r="C22" s="169" t="s">
        <v>586</v>
      </c>
      <c r="D22" s="31"/>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64</v>
      </c>
      <c r="B23" s="39" t="s">
        <v>65</v>
      </c>
      <c r="C23" s="169" t="s">
        <v>587</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23"/>
      <c r="B24" s="324"/>
      <c r="C24" s="325"/>
      <c r="D24" s="31"/>
      <c r="E24" s="31"/>
      <c r="F24" s="31"/>
      <c r="G24" s="31"/>
      <c r="H24" s="31"/>
      <c r="I24" s="30"/>
      <c r="J24" s="30"/>
      <c r="K24" s="30"/>
      <c r="L24" s="30"/>
      <c r="M24" s="30"/>
      <c r="N24" s="30"/>
      <c r="O24" s="30"/>
      <c r="P24" s="30"/>
      <c r="Q24" s="30"/>
      <c r="R24" s="30"/>
      <c r="S24" s="30"/>
      <c r="T24" s="29"/>
      <c r="U24" s="29"/>
      <c r="V24" s="29"/>
    </row>
    <row r="25" spans="1:22" s="34" customFormat="1" ht="58.5" customHeight="1" x14ac:dyDescent="0.2">
      <c r="A25" s="26" t="s">
        <v>63</v>
      </c>
      <c r="B25" s="169" t="s">
        <v>384</v>
      </c>
      <c r="C25" s="38" t="s">
        <v>588</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6" t="s">
        <v>62</v>
      </c>
      <c r="B26" s="169" t="s">
        <v>76</v>
      </c>
      <c r="C26" s="38" t="s">
        <v>481</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6" t="s">
        <v>60</v>
      </c>
      <c r="B27" s="169" t="s">
        <v>75</v>
      </c>
      <c r="C27" s="38" t="s">
        <v>482</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6" t="s">
        <v>59</v>
      </c>
      <c r="B28" s="169" t="s">
        <v>385</v>
      </c>
      <c r="C28" s="38" t="s">
        <v>535</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57</v>
      </c>
      <c r="B29" s="169" t="s">
        <v>386</v>
      </c>
      <c r="C29" s="38" t="s">
        <v>535</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55</v>
      </c>
      <c r="B30" s="169" t="s">
        <v>387</v>
      </c>
      <c r="C30" s="38" t="s">
        <v>535</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74</v>
      </c>
      <c r="B31" s="43" t="s">
        <v>388</v>
      </c>
      <c r="C31" s="38" t="s">
        <v>536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6" t="s">
        <v>72</v>
      </c>
      <c r="B32" s="43" t="s">
        <v>389</v>
      </c>
      <c r="C32" s="38" t="s">
        <v>537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6" t="s">
        <v>71</v>
      </c>
      <c r="B33" s="43" t="s">
        <v>390</v>
      </c>
      <c r="C33" s="38" t="s">
        <v>538</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6" t="s">
        <v>405</v>
      </c>
      <c r="B34" s="43" t="s">
        <v>391</v>
      </c>
      <c r="C34" s="38" t="s">
        <v>480</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394</v>
      </c>
      <c r="B35" s="43" t="s">
        <v>73</v>
      </c>
      <c r="C35" s="38"/>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406</v>
      </c>
      <c r="B36" s="43" t="s">
        <v>392</v>
      </c>
      <c r="C36" s="38" t="s">
        <v>479</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v>15</v>
      </c>
      <c r="B37" s="43" t="s">
        <v>393</v>
      </c>
      <c r="C37" s="38" t="s">
        <v>479</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407</v>
      </c>
      <c r="B38" s="43" t="s">
        <v>229</v>
      </c>
      <c r="C38" s="38" t="s">
        <v>479</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23"/>
      <c r="B39" s="324"/>
      <c r="C39" s="325"/>
      <c r="D39" s="25"/>
      <c r="E39" s="25"/>
      <c r="F39" s="25"/>
      <c r="G39" s="25"/>
      <c r="H39" s="25"/>
      <c r="I39" s="25"/>
      <c r="J39" s="25"/>
      <c r="K39" s="25"/>
      <c r="L39" s="25"/>
      <c r="M39" s="25"/>
      <c r="N39" s="25"/>
      <c r="O39" s="25"/>
      <c r="P39" s="25"/>
      <c r="Q39" s="25"/>
      <c r="R39" s="25"/>
      <c r="S39" s="25"/>
      <c r="T39" s="25"/>
      <c r="U39" s="25"/>
      <c r="V39" s="25"/>
    </row>
    <row r="40" spans="1:22" ht="63" x14ac:dyDescent="0.25">
      <c r="A40" s="26" t="s">
        <v>395</v>
      </c>
      <c r="B40" s="43" t="s">
        <v>448</v>
      </c>
      <c r="C40" s="294" t="s">
        <v>591</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408</v>
      </c>
      <c r="B41" s="43" t="s">
        <v>431</v>
      </c>
      <c r="C41" s="43" t="s">
        <v>588</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396</v>
      </c>
      <c r="B42" s="43" t="s">
        <v>445</v>
      </c>
      <c r="C42" s="43" t="s">
        <v>588</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411</v>
      </c>
      <c r="B43" s="43" t="s">
        <v>412</v>
      </c>
      <c r="C43" s="43" t="s">
        <v>540</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397</v>
      </c>
      <c r="B44" s="43" t="s">
        <v>437</v>
      </c>
      <c r="C44" s="43">
        <v>26.25</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432</v>
      </c>
      <c r="B45" s="43" t="s">
        <v>438</v>
      </c>
      <c r="C45" s="43" t="s">
        <v>588</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398</v>
      </c>
      <c r="B46" s="43" t="s">
        <v>439</v>
      </c>
      <c r="C46" s="43" t="s">
        <v>583</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23"/>
      <c r="B47" s="324"/>
      <c r="C47" s="325"/>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433</v>
      </c>
      <c r="B48" s="43" t="s">
        <v>446</v>
      </c>
      <c r="C48" s="38" t="s">
        <v>594</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399</v>
      </c>
      <c r="B49" s="43" t="s">
        <v>447</v>
      </c>
      <c r="C49" s="38" t="s">
        <v>595</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72"/>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72"/>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72"/>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72"/>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72"/>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72"/>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72"/>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72"/>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72"/>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72"/>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72"/>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72"/>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72"/>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72"/>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72"/>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72"/>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72"/>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72"/>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72"/>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72"/>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72"/>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72"/>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72"/>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72"/>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72"/>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72"/>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72"/>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72"/>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72"/>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72"/>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72"/>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72"/>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72"/>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72"/>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72"/>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72"/>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72"/>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72"/>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72"/>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72"/>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72"/>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72"/>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72"/>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72"/>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72"/>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72"/>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72"/>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72"/>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72"/>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72"/>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72"/>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72"/>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72"/>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72"/>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72"/>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72"/>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72"/>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72"/>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72"/>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72"/>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72"/>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72"/>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72"/>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72"/>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72"/>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72"/>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72"/>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72"/>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72"/>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72"/>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72"/>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72"/>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72"/>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72"/>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72"/>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72"/>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72"/>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72"/>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72"/>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72"/>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72"/>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72"/>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72"/>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72"/>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72"/>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72"/>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72"/>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72"/>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72"/>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72"/>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72"/>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72"/>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72"/>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72"/>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72"/>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72"/>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72"/>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72"/>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72"/>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72"/>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72"/>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72"/>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72"/>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72"/>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72"/>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72"/>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72"/>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72"/>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72"/>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72"/>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72"/>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72"/>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72"/>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72"/>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72"/>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72"/>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72"/>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72"/>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72"/>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72"/>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72"/>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72"/>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72"/>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72"/>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72"/>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72"/>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72"/>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72"/>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72"/>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72"/>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72"/>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72"/>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72"/>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72"/>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72"/>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72"/>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72"/>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72"/>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72"/>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72"/>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72"/>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72"/>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72"/>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72"/>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72"/>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72"/>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72"/>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72"/>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72"/>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72"/>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72"/>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72"/>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72"/>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72"/>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72"/>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72"/>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72"/>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72"/>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72"/>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72"/>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72"/>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72"/>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72"/>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72"/>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72"/>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72"/>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72"/>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72"/>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72"/>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72"/>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72"/>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72"/>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72"/>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72"/>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72"/>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72"/>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72"/>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72"/>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72"/>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72"/>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72"/>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72"/>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72"/>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72"/>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72"/>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72"/>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72"/>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72"/>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72"/>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72"/>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72"/>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72"/>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72"/>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72"/>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72"/>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72"/>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72"/>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72"/>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72"/>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72"/>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72"/>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72"/>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72"/>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72"/>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72"/>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72"/>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72"/>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72"/>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72"/>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72"/>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72"/>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72"/>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72"/>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72"/>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72"/>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72"/>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72"/>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72"/>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72"/>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72"/>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72"/>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72"/>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72"/>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72"/>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72"/>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72"/>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72"/>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72"/>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72"/>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72"/>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72"/>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72"/>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72"/>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72"/>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72"/>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72"/>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72"/>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72"/>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72"/>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72"/>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72"/>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72"/>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72"/>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72"/>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72"/>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72"/>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72"/>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72"/>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72"/>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72"/>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72"/>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72"/>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72"/>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72"/>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72"/>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72"/>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72"/>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72"/>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72"/>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72"/>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72"/>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72"/>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72"/>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72"/>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72"/>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72"/>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72"/>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72"/>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72"/>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72"/>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72"/>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72"/>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72"/>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72"/>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72"/>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72"/>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72"/>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72"/>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72"/>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72"/>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72"/>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72"/>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72"/>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72"/>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72"/>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72"/>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72"/>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72"/>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72"/>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J33" sqref="J33"/>
    </sheetView>
  </sheetViews>
  <sheetFormatPr defaultColWidth="9.140625" defaultRowHeight="15.75" x14ac:dyDescent="0.25"/>
  <cols>
    <col min="1" max="1" width="9.140625" style="65"/>
    <col min="2" max="2" width="57.85546875" style="65" customWidth="1"/>
    <col min="3" max="3" width="13" style="65" customWidth="1"/>
    <col min="4" max="4" width="17.85546875" style="295" customWidth="1"/>
    <col min="5" max="5" width="20.42578125" style="65" customWidth="1"/>
    <col min="6" max="6" width="18.7109375" style="295" customWidth="1"/>
    <col min="7" max="7" width="12.85546875" style="66" customWidth="1"/>
    <col min="8" max="11" width="9" style="66" customWidth="1"/>
    <col min="12" max="12" width="6.7109375" style="65" customWidth="1"/>
    <col min="13" max="13" width="6.85546875" style="65" customWidth="1"/>
    <col min="14" max="14" width="8.5703125" style="65" customWidth="1"/>
    <col min="15" max="19" width="6.140625" style="65" customWidth="1"/>
    <col min="20" max="27" width="6.140625" style="246" customWidth="1"/>
    <col min="28" max="28" width="13.140625" style="65" customWidth="1"/>
    <col min="29" max="29" width="24.85546875" style="295" customWidth="1"/>
    <col min="30" max="16384" width="9.140625" style="65"/>
  </cols>
  <sheetData>
    <row r="1" spans="1:29" ht="18.75" x14ac:dyDescent="0.25">
      <c r="A1" s="66"/>
      <c r="B1" s="66"/>
      <c r="C1" s="66"/>
      <c r="D1" s="296"/>
      <c r="E1" s="66"/>
      <c r="F1" s="296"/>
      <c r="L1" s="66"/>
      <c r="M1" s="66"/>
      <c r="AC1" s="301" t="s">
        <v>70</v>
      </c>
    </row>
    <row r="2" spans="1:29" ht="18.75" x14ac:dyDescent="0.3">
      <c r="A2" s="66"/>
      <c r="B2" s="66"/>
      <c r="C2" s="66"/>
      <c r="D2" s="296"/>
      <c r="E2" s="66"/>
      <c r="F2" s="296"/>
      <c r="L2" s="66"/>
      <c r="M2" s="66"/>
      <c r="AC2" s="302" t="s">
        <v>11</v>
      </c>
    </row>
    <row r="3" spans="1:29" ht="18.75" x14ac:dyDescent="0.3">
      <c r="A3" s="66"/>
      <c r="B3" s="66"/>
      <c r="C3" s="66"/>
      <c r="D3" s="296"/>
      <c r="E3" s="66"/>
      <c r="F3" s="296"/>
      <c r="L3" s="66"/>
      <c r="M3" s="66"/>
      <c r="AC3" s="302" t="s">
        <v>69</v>
      </c>
    </row>
    <row r="4" spans="1:29" ht="18.75" customHeight="1" x14ac:dyDescent="0.25">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332"/>
      <c r="AC4" s="332"/>
    </row>
    <row r="5" spans="1:29" ht="18.75" x14ac:dyDescent="0.3">
      <c r="A5" s="66"/>
      <c r="B5" s="66"/>
      <c r="C5" s="66"/>
      <c r="D5" s="296"/>
      <c r="E5" s="66"/>
      <c r="F5" s="296"/>
      <c r="L5" s="66"/>
      <c r="M5" s="66"/>
      <c r="AC5" s="302"/>
    </row>
    <row r="6" spans="1:29" ht="18.75" x14ac:dyDescent="0.25">
      <c r="A6" s="330" t="s">
        <v>10</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row>
    <row r="7" spans="1:29" ht="18.75" x14ac:dyDescent="0.25">
      <c r="A7" s="13"/>
      <c r="B7" s="13"/>
      <c r="C7" s="13"/>
      <c r="D7" s="165"/>
      <c r="E7" s="13"/>
      <c r="F7" s="165"/>
      <c r="G7" s="13"/>
      <c r="H7" s="13"/>
      <c r="I7" s="13"/>
      <c r="J7" s="87"/>
      <c r="K7" s="87"/>
      <c r="L7" s="87"/>
      <c r="M7" s="87"/>
      <c r="N7" s="87"/>
      <c r="O7" s="87"/>
      <c r="P7" s="87"/>
      <c r="Q7" s="87"/>
      <c r="R7" s="87"/>
      <c r="S7" s="87"/>
      <c r="T7" s="251"/>
      <c r="U7" s="251"/>
      <c r="V7" s="251"/>
      <c r="W7" s="251"/>
      <c r="X7" s="251"/>
      <c r="Y7" s="251"/>
      <c r="Z7" s="251"/>
      <c r="AA7" s="251"/>
      <c r="AB7" s="87"/>
      <c r="AC7" s="251"/>
    </row>
    <row r="8" spans="1:29" x14ac:dyDescent="0.25">
      <c r="A8" s="333" t="str">
        <f>'1. паспорт местоположение'!A9:C9</f>
        <v xml:space="preserve">                         АО "Янтарьэнерго"                         </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327" t="s">
        <v>9</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row>
    <row r="10" spans="1:29" ht="18.75" x14ac:dyDescent="0.25">
      <c r="A10" s="13"/>
      <c r="B10" s="13"/>
      <c r="C10" s="13"/>
      <c r="D10" s="165"/>
      <c r="E10" s="13"/>
      <c r="F10" s="165"/>
      <c r="G10" s="13"/>
      <c r="H10" s="13"/>
      <c r="I10" s="13"/>
      <c r="J10" s="87"/>
      <c r="K10" s="87"/>
      <c r="L10" s="87"/>
      <c r="M10" s="87"/>
      <c r="N10" s="87"/>
      <c r="O10" s="87"/>
      <c r="P10" s="87"/>
      <c r="Q10" s="87"/>
      <c r="R10" s="87"/>
      <c r="S10" s="87"/>
      <c r="T10" s="251"/>
      <c r="U10" s="251"/>
      <c r="V10" s="251"/>
      <c r="W10" s="251"/>
      <c r="X10" s="251"/>
      <c r="Y10" s="251"/>
      <c r="Z10" s="251"/>
      <c r="AA10" s="251"/>
      <c r="AB10" s="87"/>
      <c r="AC10" s="251"/>
    </row>
    <row r="11" spans="1:29" x14ac:dyDescent="0.25">
      <c r="A11" s="333" t="str">
        <f>'1. паспорт местоположение'!A12:C12</f>
        <v>А_prj_111001_2484</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row>
    <row r="13" spans="1:29" ht="16.5" customHeight="1" x14ac:dyDescent="0.3">
      <c r="A13" s="11"/>
      <c r="B13" s="11"/>
      <c r="C13" s="11"/>
      <c r="D13" s="297"/>
      <c r="E13" s="11"/>
      <c r="F13" s="297"/>
      <c r="G13" s="11"/>
      <c r="H13" s="11"/>
      <c r="I13" s="11"/>
      <c r="J13" s="86"/>
      <c r="K13" s="86"/>
      <c r="L13" s="86"/>
      <c r="M13" s="86"/>
      <c r="N13" s="86"/>
      <c r="O13" s="86"/>
      <c r="P13" s="86"/>
      <c r="Q13" s="86"/>
      <c r="R13" s="86"/>
      <c r="S13" s="86"/>
      <c r="T13" s="250"/>
      <c r="U13" s="250"/>
      <c r="V13" s="250"/>
      <c r="W13" s="250"/>
      <c r="X13" s="250"/>
      <c r="Y13" s="250"/>
      <c r="Z13" s="250"/>
      <c r="AA13" s="250"/>
      <c r="AB13" s="86"/>
      <c r="AC13" s="88"/>
    </row>
    <row r="14" spans="1:29" x14ac:dyDescent="0.25">
      <c r="A14" s="338" t="str">
        <f>'1. паспорт местоположение'!A15:C15</f>
        <v xml:space="preserve">Расширение ПС 110/15кВ О-47 "Борисово" </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row>
    <row r="15" spans="1:29" ht="15.75" customHeight="1"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x14ac:dyDescent="0.25">
      <c r="A17" s="66"/>
      <c r="L17" s="66"/>
      <c r="M17" s="66"/>
      <c r="N17" s="66"/>
      <c r="O17" s="66"/>
      <c r="P17" s="66"/>
      <c r="Q17" s="66"/>
      <c r="R17" s="66"/>
      <c r="S17" s="66"/>
      <c r="T17" s="247"/>
      <c r="U17" s="247"/>
      <c r="V17" s="247"/>
      <c r="W17" s="247"/>
      <c r="X17" s="247"/>
      <c r="Y17" s="247"/>
      <c r="Z17" s="247"/>
      <c r="AA17" s="247"/>
      <c r="AB17" s="66"/>
    </row>
    <row r="18" spans="1:32" x14ac:dyDescent="0.25">
      <c r="A18" s="412" t="s">
        <v>421</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2" x14ac:dyDescent="0.25">
      <c r="A19" s="66"/>
      <c r="B19" s="66"/>
      <c r="C19" s="66"/>
      <c r="D19" s="296"/>
      <c r="E19" s="66"/>
      <c r="F19" s="296"/>
      <c r="L19" s="66"/>
      <c r="M19" s="66"/>
      <c r="N19" s="66"/>
      <c r="O19" s="66"/>
      <c r="P19" s="66"/>
      <c r="Q19" s="66"/>
      <c r="R19" s="66"/>
      <c r="S19" s="66"/>
      <c r="T19" s="247"/>
      <c r="U19" s="247"/>
      <c r="V19" s="247"/>
      <c r="W19" s="247"/>
      <c r="X19" s="247"/>
      <c r="Y19" s="247"/>
      <c r="Z19" s="247"/>
      <c r="AA19" s="247"/>
      <c r="AB19" s="66"/>
    </row>
    <row r="20" spans="1:32" ht="33" customHeight="1" x14ac:dyDescent="0.25">
      <c r="A20" s="409" t="s">
        <v>201</v>
      </c>
      <c r="B20" s="409" t="s">
        <v>200</v>
      </c>
      <c r="C20" s="387" t="s">
        <v>199</v>
      </c>
      <c r="D20" s="387"/>
      <c r="E20" s="411" t="s">
        <v>198</v>
      </c>
      <c r="F20" s="411"/>
      <c r="G20" s="417" t="s">
        <v>524</v>
      </c>
      <c r="H20" s="401" t="s">
        <v>526</v>
      </c>
      <c r="I20" s="402"/>
      <c r="J20" s="402"/>
      <c r="K20" s="402"/>
      <c r="L20" s="401" t="s">
        <v>527</v>
      </c>
      <c r="M20" s="402"/>
      <c r="N20" s="402"/>
      <c r="O20" s="402"/>
      <c r="P20" s="401" t="s">
        <v>528</v>
      </c>
      <c r="Q20" s="402"/>
      <c r="R20" s="402"/>
      <c r="S20" s="402"/>
      <c r="T20" s="401" t="s">
        <v>529</v>
      </c>
      <c r="U20" s="402"/>
      <c r="V20" s="402"/>
      <c r="W20" s="402"/>
      <c r="X20" s="401" t="s">
        <v>530</v>
      </c>
      <c r="Y20" s="402"/>
      <c r="Z20" s="402"/>
      <c r="AA20" s="402"/>
      <c r="AB20" s="413" t="s">
        <v>197</v>
      </c>
      <c r="AC20" s="414"/>
      <c r="AD20" s="85"/>
      <c r="AE20" s="85"/>
      <c r="AF20" s="85"/>
    </row>
    <row r="21" spans="1:32" ht="99.75" customHeight="1" x14ac:dyDescent="0.25">
      <c r="A21" s="410"/>
      <c r="B21" s="410"/>
      <c r="C21" s="387"/>
      <c r="D21" s="387"/>
      <c r="E21" s="411"/>
      <c r="F21" s="411"/>
      <c r="G21" s="418"/>
      <c r="H21" s="403" t="s">
        <v>3</v>
      </c>
      <c r="I21" s="403"/>
      <c r="J21" s="403" t="s">
        <v>592</v>
      </c>
      <c r="K21" s="403"/>
      <c r="L21" s="403" t="s">
        <v>3</v>
      </c>
      <c r="M21" s="403"/>
      <c r="N21" s="403" t="s">
        <v>196</v>
      </c>
      <c r="O21" s="403"/>
      <c r="P21" s="403" t="s">
        <v>3</v>
      </c>
      <c r="Q21" s="403"/>
      <c r="R21" s="403" t="s">
        <v>196</v>
      </c>
      <c r="S21" s="403"/>
      <c r="T21" s="403" t="s">
        <v>3</v>
      </c>
      <c r="U21" s="403"/>
      <c r="V21" s="403" t="s">
        <v>196</v>
      </c>
      <c r="W21" s="403"/>
      <c r="X21" s="403" t="s">
        <v>3</v>
      </c>
      <c r="Y21" s="403"/>
      <c r="Z21" s="403" t="s">
        <v>196</v>
      </c>
      <c r="AA21" s="403"/>
      <c r="AB21" s="415"/>
      <c r="AC21" s="416"/>
    </row>
    <row r="22" spans="1:32" ht="89.25" customHeight="1" x14ac:dyDescent="0.25">
      <c r="A22" s="393"/>
      <c r="B22" s="393"/>
      <c r="C22" s="84" t="s">
        <v>3</v>
      </c>
      <c r="D22" s="284" t="s">
        <v>193</v>
      </c>
      <c r="E22" s="253" t="s">
        <v>525</v>
      </c>
      <c r="F22" s="284" t="s">
        <v>195</v>
      </c>
      <c r="G22" s="419"/>
      <c r="H22" s="252" t="s">
        <v>400</v>
      </c>
      <c r="I22" s="252" t="s">
        <v>593</v>
      </c>
      <c r="J22" s="252" t="s">
        <v>400</v>
      </c>
      <c r="K22" s="252" t="s">
        <v>593</v>
      </c>
      <c r="L22" s="252" t="s">
        <v>400</v>
      </c>
      <c r="M22" s="252" t="s">
        <v>401</v>
      </c>
      <c r="N22" s="252" t="s">
        <v>400</v>
      </c>
      <c r="O22" s="252" t="s">
        <v>401</v>
      </c>
      <c r="P22" s="252" t="s">
        <v>400</v>
      </c>
      <c r="Q22" s="252" t="s">
        <v>401</v>
      </c>
      <c r="R22" s="252" t="s">
        <v>400</v>
      </c>
      <c r="S22" s="252" t="s">
        <v>401</v>
      </c>
      <c r="T22" s="252" t="s">
        <v>400</v>
      </c>
      <c r="U22" s="252" t="s">
        <v>401</v>
      </c>
      <c r="V22" s="252" t="s">
        <v>400</v>
      </c>
      <c r="W22" s="252" t="s">
        <v>401</v>
      </c>
      <c r="X22" s="252" t="s">
        <v>400</v>
      </c>
      <c r="Y22" s="252" t="s">
        <v>401</v>
      </c>
      <c r="Z22" s="252" t="s">
        <v>400</v>
      </c>
      <c r="AA22" s="252" t="s">
        <v>401</v>
      </c>
      <c r="AB22" s="84" t="s">
        <v>194</v>
      </c>
      <c r="AC22" s="311" t="s">
        <v>193</v>
      </c>
    </row>
    <row r="23" spans="1:32" ht="19.5" customHeight="1" x14ac:dyDescent="0.25">
      <c r="A23" s="77">
        <v>1</v>
      </c>
      <c r="B23" s="77">
        <f>A23+1</f>
        <v>2</v>
      </c>
      <c r="C23" s="249">
        <f t="shared" ref="C23:AC23" si="0">B23+1</f>
        <v>3</v>
      </c>
      <c r="D23" s="283">
        <f t="shared" si="0"/>
        <v>4</v>
      </c>
      <c r="E23" s="249">
        <f t="shared" si="0"/>
        <v>5</v>
      </c>
      <c r="F23" s="283">
        <f t="shared" si="0"/>
        <v>6</v>
      </c>
      <c r="G23" s="249">
        <f t="shared" si="0"/>
        <v>7</v>
      </c>
      <c r="H23" s="249">
        <f t="shared" si="0"/>
        <v>8</v>
      </c>
      <c r="I23" s="249">
        <f t="shared" si="0"/>
        <v>9</v>
      </c>
      <c r="J23" s="249">
        <f t="shared" si="0"/>
        <v>10</v>
      </c>
      <c r="K23" s="249">
        <f t="shared" si="0"/>
        <v>11</v>
      </c>
      <c r="L23" s="249">
        <f t="shared" si="0"/>
        <v>12</v>
      </c>
      <c r="M23" s="249">
        <f t="shared" si="0"/>
        <v>13</v>
      </c>
      <c r="N23" s="249">
        <f t="shared" si="0"/>
        <v>14</v>
      </c>
      <c r="O23" s="249">
        <f t="shared" si="0"/>
        <v>15</v>
      </c>
      <c r="P23" s="249">
        <f t="shared" si="0"/>
        <v>16</v>
      </c>
      <c r="Q23" s="249">
        <f t="shared" si="0"/>
        <v>17</v>
      </c>
      <c r="R23" s="249">
        <f t="shared" si="0"/>
        <v>18</v>
      </c>
      <c r="S23" s="249">
        <f t="shared" si="0"/>
        <v>19</v>
      </c>
      <c r="T23" s="249">
        <f t="shared" si="0"/>
        <v>20</v>
      </c>
      <c r="U23" s="249">
        <f t="shared" si="0"/>
        <v>21</v>
      </c>
      <c r="V23" s="249">
        <f t="shared" si="0"/>
        <v>22</v>
      </c>
      <c r="W23" s="249">
        <f t="shared" si="0"/>
        <v>23</v>
      </c>
      <c r="X23" s="249">
        <f t="shared" si="0"/>
        <v>24</v>
      </c>
      <c r="Y23" s="249">
        <f t="shared" si="0"/>
        <v>25</v>
      </c>
      <c r="Z23" s="249">
        <f t="shared" si="0"/>
        <v>26</v>
      </c>
      <c r="AA23" s="249">
        <f t="shared" si="0"/>
        <v>27</v>
      </c>
      <c r="AB23" s="249">
        <f>AA23+1</f>
        <v>28</v>
      </c>
      <c r="AC23" s="283">
        <f t="shared" si="0"/>
        <v>29</v>
      </c>
    </row>
    <row r="24" spans="1:32" s="295" customFormat="1" ht="47.25" customHeight="1" x14ac:dyDescent="0.25">
      <c r="A24" s="82">
        <v>1</v>
      </c>
      <c r="B24" s="81" t="s">
        <v>192</v>
      </c>
      <c r="C24" s="303">
        <v>182.86699999999999</v>
      </c>
      <c r="D24" s="303">
        <v>0</v>
      </c>
      <c r="E24" s="303">
        <v>44.070999999999998</v>
      </c>
      <c r="F24" s="303">
        <f>E24-G24</f>
        <v>34.030999999999999</v>
      </c>
      <c r="G24" s="303">
        <v>10.039999999999999</v>
      </c>
      <c r="H24" s="303">
        <v>27.555</v>
      </c>
      <c r="I24" s="303">
        <v>0</v>
      </c>
      <c r="J24" s="303">
        <v>2.9341219193999977</v>
      </c>
      <c r="K24" s="303">
        <v>0.30592136999999964</v>
      </c>
      <c r="L24" s="303">
        <v>0</v>
      </c>
      <c r="M24" s="303">
        <v>0</v>
      </c>
      <c r="N24" s="303">
        <v>0</v>
      </c>
      <c r="O24" s="303">
        <v>0</v>
      </c>
      <c r="P24" s="303">
        <v>0</v>
      </c>
      <c r="Q24" s="303">
        <v>0</v>
      </c>
      <c r="R24" s="303">
        <v>0</v>
      </c>
      <c r="S24" s="303">
        <v>0</v>
      </c>
      <c r="T24" s="303">
        <v>0</v>
      </c>
      <c r="U24" s="303">
        <v>0</v>
      </c>
      <c r="V24" s="303">
        <v>0</v>
      </c>
      <c r="W24" s="303">
        <v>0</v>
      </c>
      <c r="X24" s="303">
        <v>0</v>
      </c>
      <c r="Y24" s="303">
        <v>0</v>
      </c>
      <c r="Z24" s="303">
        <v>0</v>
      </c>
      <c r="AA24" s="303">
        <v>0</v>
      </c>
      <c r="AB24" s="303">
        <f t="shared" ref="AB24:AB64" si="1">H24+L24+P24+T24+X24</f>
        <v>27.555</v>
      </c>
      <c r="AC24" s="303">
        <v>0</v>
      </c>
    </row>
    <row r="25" spans="1:32" ht="24" customHeight="1" x14ac:dyDescent="0.25">
      <c r="A25" s="79" t="s">
        <v>191</v>
      </c>
      <c r="B25" s="54" t="s">
        <v>190</v>
      </c>
      <c r="C25" s="304">
        <v>0</v>
      </c>
      <c r="D25" s="303">
        <v>0</v>
      </c>
      <c r="E25" s="304">
        <f t="shared" ref="E25:E64" si="2">G25+AB25</f>
        <v>0</v>
      </c>
      <c r="F25" s="305">
        <f t="shared" ref="F25:F30" si="3">E25-G25</f>
        <v>0</v>
      </c>
      <c r="G25" s="304">
        <v>0</v>
      </c>
      <c r="H25" s="304">
        <v>0</v>
      </c>
      <c r="I25" s="304">
        <v>0</v>
      </c>
      <c r="J25" s="304">
        <v>0</v>
      </c>
      <c r="K25" s="304">
        <v>0</v>
      </c>
      <c r="L25" s="304">
        <v>0</v>
      </c>
      <c r="M25" s="304">
        <v>0</v>
      </c>
      <c r="N25" s="304">
        <v>0</v>
      </c>
      <c r="O25" s="304">
        <v>0</v>
      </c>
      <c r="P25" s="304">
        <v>0</v>
      </c>
      <c r="Q25" s="304">
        <v>0</v>
      </c>
      <c r="R25" s="304">
        <v>0</v>
      </c>
      <c r="S25" s="304">
        <v>0</v>
      </c>
      <c r="T25" s="304">
        <v>0</v>
      </c>
      <c r="U25" s="304">
        <v>0</v>
      </c>
      <c r="V25" s="304">
        <v>0</v>
      </c>
      <c r="W25" s="304">
        <v>0</v>
      </c>
      <c r="X25" s="304">
        <v>0</v>
      </c>
      <c r="Y25" s="304">
        <v>0</v>
      </c>
      <c r="Z25" s="304">
        <v>0</v>
      </c>
      <c r="AA25" s="304">
        <v>0</v>
      </c>
      <c r="AB25" s="304">
        <f t="shared" si="1"/>
        <v>0</v>
      </c>
      <c r="AC25" s="303">
        <v>0</v>
      </c>
    </row>
    <row r="26" spans="1:32" x14ac:dyDescent="0.25">
      <c r="A26" s="79" t="s">
        <v>189</v>
      </c>
      <c r="B26" s="54" t="s">
        <v>188</v>
      </c>
      <c r="C26" s="304">
        <v>0</v>
      </c>
      <c r="D26" s="303">
        <v>0</v>
      </c>
      <c r="E26" s="304">
        <f t="shared" si="2"/>
        <v>0</v>
      </c>
      <c r="F26" s="303">
        <f t="shared" si="3"/>
        <v>0</v>
      </c>
      <c r="G26" s="304">
        <v>0</v>
      </c>
      <c r="H26" s="304">
        <v>0</v>
      </c>
      <c r="I26" s="304">
        <v>0</v>
      </c>
      <c r="J26" s="304">
        <v>0</v>
      </c>
      <c r="K26" s="304">
        <v>0</v>
      </c>
      <c r="L26" s="304">
        <v>0</v>
      </c>
      <c r="M26" s="304">
        <v>0</v>
      </c>
      <c r="N26" s="304">
        <v>0</v>
      </c>
      <c r="O26" s="304">
        <v>0</v>
      </c>
      <c r="P26" s="304">
        <v>0</v>
      </c>
      <c r="Q26" s="304">
        <v>0</v>
      </c>
      <c r="R26" s="304">
        <v>0</v>
      </c>
      <c r="S26" s="304">
        <v>0</v>
      </c>
      <c r="T26" s="304">
        <v>0</v>
      </c>
      <c r="U26" s="304">
        <v>0</v>
      </c>
      <c r="V26" s="304">
        <v>0</v>
      </c>
      <c r="W26" s="304">
        <v>0</v>
      </c>
      <c r="X26" s="304">
        <v>0</v>
      </c>
      <c r="Y26" s="304">
        <v>0</v>
      </c>
      <c r="Z26" s="304">
        <v>0</v>
      </c>
      <c r="AA26" s="304">
        <v>0</v>
      </c>
      <c r="AB26" s="304">
        <f t="shared" si="1"/>
        <v>0</v>
      </c>
      <c r="AC26" s="303">
        <v>0</v>
      </c>
    </row>
    <row r="27" spans="1:32" ht="31.5" x14ac:dyDescent="0.25">
      <c r="A27" s="79" t="s">
        <v>187</v>
      </c>
      <c r="B27" s="54" t="s">
        <v>383</v>
      </c>
      <c r="C27" s="304">
        <v>154.97203389830509</v>
      </c>
      <c r="D27" s="303">
        <v>0</v>
      </c>
      <c r="E27" s="306">
        <f>E24/1.18</f>
        <v>37.34830508474576</v>
      </c>
      <c r="F27" s="303">
        <f t="shared" si="3"/>
        <v>28.838305084745762</v>
      </c>
      <c r="G27" s="306">
        <v>8.51</v>
      </c>
      <c r="H27" s="306">
        <v>23.351694915254239</v>
      </c>
      <c r="I27" s="304">
        <v>0</v>
      </c>
      <c r="J27" s="304">
        <v>2.9341219193999977</v>
      </c>
      <c r="K27" s="304">
        <v>0.30592136999999964</v>
      </c>
      <c r="L27" s="304">
        <v>0</v>
      </c>
      <c r="M27" s="304">
        <v>0</v>
      </c>
      <c r="N27" s="304">
        <v>0</v>
      </c>
      <c r="O27" s="304">
        <v>0</v>
      </c>
      <c r="P27" s="304">
        <v>0</v>
      </c>
      <c r="Q27" s="304">
        <v>0</v>
      </c>
      <c r="R27" s="304">
        <v>0</v>
      </c>
      <c r="S27" s="304">
        <v>0</v>
      </c>
      <c r="T27" s="304">
        <v>0</v>
      </c>
      <c r="U27" s="304">
        <v>0</v>
      </c>
      <c r="V27" s="304">
        <v>0</v>
      </c>
      <c r="W27" s="304">
        <v>0</v>
      </c>
      <c r="X27" s="304">
        <v>0</v>
      </c>
      <c r="Y27" s="304">
        <v>0</v>
      </c>
      <c r="Z27" s="304">
        <v>0</v>
      </c>
      <c r="AA27" s="304">
        <v>0</v>
      </c>
      <c r="AB27" s="304">
        <f t="shared" si="1"/>
        <v>23.351694915254239</v>
      </c>
      <c r="AC27" s="303">
        <v>0</v>
      </c>
    </row>
    <row r="28" spans="1:32" x14ac:dyDescent="0.25">
      <c r="A28" s="79" t="s">
        <v>186</v>
      </c>
      <c r="B28" s="54" t="s">
        <v>531</v>
      </c>
      <c r="C28" s="304">
        <v>0</v>
      </c>
      <c r="D28" s="303">
        <v>0</v>
      </c>
      <c r="E28" s="304">
        <f t="shared" si="2"/>
        <v>0</v>
      </c>
      <c r="F28" s="303">
        <f t="shared" si="3"/>
        <v>0</v>
      </c>
      <c r="G28" s="304">
        <v>0</v>
      </c>
      <c r="H28" s="304">
        <v>0</v>
      </c>
      <c r="I28" s="304">
        <v>0</v>
      </c>
      <c r="J28" s="304">
        <v>0</v>
      </c>
      <c r="K28" s="304">
        <v>0</v>
      </c>
      <c r="L28" s="304">
        <v>0</v>
      </c>
      <c r="M28" s="304">
        <v>0</v>
      </c>
      <c r="N28" s="304">
        <v>0</v>
      </c>
      <c r="O28" s="304">
        <v>0</v>
      </c>
      <c r="P28" s="304">
        <v>0</v>
      </c>
      <c r="Q28" s="304">
        <v>0</v>
      </c>
      <c r="R28" s="304">
        <v>0</v>
      </c>
      <c r="S28" s="304">
        <v>0</v>
      </c>
      <c r="T28" s="304">
        <v>0</v>
      </c>
      <c r="U28" s="304">
        <v>0</v>
      </c>
      <c r="V28" s="304">
        <v>0</v>
      </c>
      <c r="W28" s="304">
        <v>0</v>
      </c>
      <c r="X28" s="304">
        <v>0</v>
      </c>
      <c r="Y28" s="304">
        <v>0</v>
      </c>
      <c r="Z28" s="304">
        <v>0</v>
      </c>
      <c r="AA28" s="304">
        <v>0</v>
      </c>
      <c r="AB28" s="304">
        <f t="shared" si="1"/>
        <v>0</v>
      </c>
      <c r="AC28" s="303">
        <v>0</v>
      </c>
    </row>
    <row r="29" spans="1:32" x14ac:dyDescent="0.25">
      <c r="A29" s="79" t="s">
        <v>185</v>
      </c>
      <c r="B29" s="83" t="s">
        <v>184</v>
      </c>
      <c r="C29" s="304">
        <v>27.894966101694916</v>
      </c>
      <c r="D29" s="303">
        <v>0</v>
      </c>
      <c r="E29" s="304">
        <f>E27*0.18</f>
        <v>6.7226949152542366</v>
      </c>
      <c r="F29" s="303">
        <f t="shared" si="3"/>
        <v>5.1926949152542363</v>
      </c>
      <c r="G29" s="304">
        <v>1.53</v>
      </c>
      <c r="H29" s="304">
        <v>4.20330508474576</v>
      </c>
      <c r="I29" s="304">
        <v>0</v>
      </c>
      <c r="J29" s="304">
        <v>0</v>
      </c>
      <c r="K29" s="304">
        <f>K24-K27</f>
        <v>0</v>
      </c>
      <c r="L29" s="304">
        <v>0</v>
      </c>
      <c r="M29" s="304">
        <v>0</v>
      </c>
      <c r="N29" s="304">
        <v>0</v>
      </c>
      <c r="O29" s="304">
        <v>0</v>
      </c>
      <c r="P29" s="304">
        <v>0</v>
      </c>
      <c r="Q29" s="304">
        <v>0</v>
      </c>
      <c r="R29" s="304">
        <v>0</v>
      </c>
      <c r="S29" s="304">
        <v>0</v>
      </c>
      <c r="T29" s="304">
        <v>0</v>
      </c>
      <c r="U29" s="304">
        <v>0</v>
      </c>
      <c r="V29" s="304">
        <v>0</v>
      </c>
      <c r="W29" s="304">
        <v>0</v>
      </c>
      <c r="X29" s="304">
        <v>0</v>
      </c>
      <c r="Y29" s="304">
        <v>0</v>
      </c>
      <c r="Z29" s="304">
        <v>0</v>
      </c>
      <c r="AA29" s="304">
        <v>0</v>
      </c>
      <c r="AB29" s="304">
        <f t="shared" si="1"/>
        <v>4.20330508474576</v>
      </c>
      <c r="AC29" s="303">
        <v>0</v>
      </c>
    </row>
    <row r="30" spans="1:32" s="295" customFormat="1" ht="47.25" x14ac:dyDescent="0.25">
      <c r="A30" s="82" t="s">
        <v>64</v>
      </c>
      <c r="B30" s="81" t="s">
        <v>183</v>
      </c>
      <c r="C30" s="303">
        <v>154.972033898305</v>
      </c>
      <c r="D30" s="303">
        <v>0</v>
      </c>
      <c r="E30" s="303">
        <v>31.195</v>
      </c>
      <c r="F30" s="303">
        <f t="shared" si="3"/>
        <v>22.155000000000001</v>
      </c>
      <c r="G30" s="303">
        <v>9.0399999999999991</v>
      </c>
      <c r="H30" s="303">
        <v>0</v>
      </c>
      <c r="I30" s="303">
        <v>0</v>
      </c>
      <c r="J30" s="303">
        <v>8.3933918300000006</v>
      </c>
      <c r="K30" s="303">
        <v>2.8788499999999999</v>
      </c>
      <c r="L30" s="303">
        <v>0</v>
      </c>
      <c r="M30" s="303">
        <v>0</v>
      </c>
      <c r="N30" s="303">
        <v>0</v>
      </c>
      <c r="O30" s="303">
        <v>0</v>
      </c>
      <c r="P30" s="303">
        <v>0</v>
      </c>
      <c r="Q30" s="303">
        <v>0</v>
      </c>
      <c r="R30" s="303">
        <v>0</v>
      </c>
      <c r="S30" s="303">
        <v>0</v>
      </c>
      <c r="T30" s="303">
        <v>0</v>
      </c>
      <c r="U30" s="303">
        <v>0</v>
      </c>
      <c r="V30" s="303">
        <v>0</v>
      </c>
      <c r="W30" s="303">
        <v>0</v>
      </c>
      <c r="X30" s="303">
        <v>0</v>
      </c>
      <c r="Y30" s="303">
        <v>0</v>
      </c>
      <c r="Z30" s="303">
        <v>0</v>
      </c>
      <c r="AA30" s="303">
        <v>0</v>
      </c>
      <c r="AB30" s="303">
        <f t="shared" si="1"/>
        <v>0</v>
      </c>
      <c r="AC30" s="303">
        <v>0</v>
      </c>
    </row>
    <row r="31" spans="1:32" x14ac:dyDescent="0.25">
      <c r="A31" s="82" t="s">
        <v>182</v>
      </c>
      <c r="B31" s="54" t="s">
        <v>181</v>
      </c>
      <c r="C31" s="304">
        <v>9.9009999999999998</v>
      </c>
      <c r="D31" s="303">
        <v>0</v>
      </c>
      <c r="E31" s="304">
        <v>0</v>
      </c>
      <c r="F31" s="303">
        <v>0</v>
      </c>
      <c r="G31" s="304">
        <v>0</v>
      </c>
      <c r="H31" s="304">
        <v>0</v>
      </c>
      <c r="I31" s="304">
        <v>0</v>
      </c>
      <c r="J31" s="304">
        <v>0</v>
      </c>
      <c r="K31" s="304">
        <v>0</v>
      </c>
      <c r="L31" s="304">
        <v>0</v>
      </c>
      <c r="M31" s="304">
        <v>0</v>
      </c>
      <c r="N31" s="304">
        <v>0</v>
      </c>
      <c r="O31" s="304">
        <v>0</v>
      </c>
      <c r="P31" s="304">
        <v>0</v>
      </c>
      <c r="Q31" s="304">
        <v>0</v>
      </c>
      <c r="R31" s="304">
        <v>0</v>
      </c>
      <c r="S31" s="304">
        <v>0</v>
      </c>
      <c r="T31" s="304">
        <v>0</v>
      </c>
      <c r="U31" s="304">
        <v>0</v>
      </c>
      <c r="V31" s="304">
        <v>0</v>
      </c>
      <c r="W31" s="304">
        <v>0</v>
      </c>
      <c r="X31" s="304">
        <v>0</v>
      </c>
      <c r="Y31" s="304">
        <v>0</v>
      </c>
      <c r="Z31" s="304">
        <v>0</v>
      </c>
      <c r="AA31" s="304">
        <v>0</v>
      </c>
      <c r="AB31" s="304">
        <f t="shared" si="1"/>
        <v>0</v>
      </c>
      <c r="AC31" s="303">
        <v>0</v>
      </c>
    </row>
    <row r="32" spans="1:32" ht="31.5" x14ac:dyDescent="0.25">
      <c r="A32" s="82" t="s">
        <v>180</v>
      </c>
      <c r="B32" s="54" t="s">
        <v>179</v>
      </c>
      <c r="C32" s="304">
        <v>28.561</v>
      </c>
      <c r="D32" s="303">
        <v>0</v>
      </c>
      <c r="E32" s="304">
        <v>0</v>
      </c>
      <c r="F32" s="303">
        <v>0</v>
      </c>
      <c r="G32" s="304">
        <v>2.2799999999999998</v>
      </c>
      <c r="H32" s="304">
        <v>0</v>
      </c>
      <c r="I32" s="304">
        <v>0</v>
      </c>
      <c r="J32" s="304">
        <v>0</v>
      </c>
      <c r="K32" s="304">
        <v>0</v>
      </c>
      <c r="L32" s="304">
        <v>0</v>
      </c>
      <c r="M32" s="304">
        <v>0</v>
      </c>
      <c r="N32" s="304">
        <v>0</v>
      </c>
      <c r="O32" s="304">
        <v>0</v>
      </c>
      <c r="P32" s="304">
        <v>0</v>
      </c>
      <c r="Q32" s="304">
        <v>0</v>
      </c>
      <c r="R32" s="304">
        <v>0</v>
      </c>
      <c r="S32" s="304">
        <v>0</v>
      </c>
      <c r="T32" s="304">
        <v>0</v>
      </c>
      <c r="U32" s="304">
        <v>0</v>
      </c>
      <c r="V32" s="304">
        <v>0</v>
      </c>
      <c r="W32" s="304">
        <v>0</v>
      </c>
      <c r="X32" s="304">
        <v>0</v>
      </c>
      <c r="Y32" s="304">
        <v>0</v>
      </c>
      <c r="Z32" s="304">
        <v>0</v>
      </c>
      <c r="AA32" s="304">
        <v>0</v>
      </c>
      <c r="AB32" s="304">
        <f t="shared" si="1"/>
        <v>0</v>
      </c>
      <c r="AC32" s="303">
        <v>0</v>
      </c>
    </row>
    <row r="33" spans="1:29" x14ac:dyDescent="0.25">
      <c r="A33" s="82" t="s">
        <v>178</v>
      </c>
      <c r="B33" s="54" t="s">
        <v>177</v>
      </c>
      <c r="C33" s="304">
        <v>99.878</v>
      </c>
      <c r="D33" s="303">
        <v>0</v>
      </c>
      <c r="E33" s="304">
        <v>0</v>
      </c>
      <c r="F33" s="303">
        <v>0</v>
      </c>
      <c r="G33" s="304">
        <v>6.61</v>
      </c>
      <c r="H33" s="304">
        <v>0</v>
      </c>
      <c r="I33" s="304">
        <v>0</v>
      </c>
      <c r="J33" s="304">
        <v>8.3933918300000006</v>
      </c>
      <c r="K33" s="304">
        <v>2.8788499999999999</v>
      </c>
      <c r="L33" s="304">
        <v>0</v>
      </c>
      <c r="M33" s="304">
        <v>0</v>
      </c>
      <c r="N33" s="304">
        <v>0</v>
      </c>
      <c r="O33" s="304">
        <v>0</v>
      </c>
      <c r="P33" s="304">
        <v>0</v>
      </c>
      <c r="Q33" s="304">
        <v>0</v>
      </c>
      <c r="R33" s="304">
        <v>0</v>
      </c>
      <c r="S33" s="304">
        <v>0</v>
      </c>
      <c r="T33" s="304">
        <v>0</v>
      </c>
      <c r="U33" s="304">
        <v>0</v>
      </c>
      <c r="V33" s="304">
        <v>0</v>
      </c>
      <c r="W33" s="304">
        <v>0</v>
      </c>
      <c r="X33" s="304">
        <v>0</v>
      </c>
      <c r="Y33" s="304">
        <v>0</v>
      </c>
      <c r="Z33" s="304">
        <v>0</v>
      </c>
      <c r="AA33" s="304">
        <v>0</v>
      </c>
      <c r="AB33" s="304">
        <f t="shared" si="1"/>
        <v>0</v>
      </c>
      <c r="AC33" s="303">
        <v>0</v>
      </c>
    </row>
    <row r="34" spans="1:29" x14ac:dyDescent="0.25">
      <c r="A34" s="82" t="s">
        <v>176</v>
      </c>
      <c r="B34" s="54" t="s">
        <v>175</v>
      </c>
      <c r="C34" s="304">
        <v>16.632033898305099</v>
      </c>
      <c r="D34" s="303">
        <v>0</v>
      </c>
      <c r="E34" s="304">
        <v>0</v>
      </c>
      <c r="F34" s="303">
        <v>0</v>
      </c>
      <c r="G34" s="304">
        <v>0.15</v>
      </c>
      <c r="H34" s="304">
        <v>0</v>
      </c>
      <c r="I34" s="304">
        <v>0</v>
      </c>
      <c r="J34" s="304">
        <v>0</v>
      </c>
      <c r="K34" s="304">
        <v>0</v>
      </c>
      <c r="L34" s="304">
        <v>0</v>
      </c>
      <c r="M34" s="304">
        <v>0</v>
      </c>
      <c r="N34" s="304">
        <v>0</v>
      </c>
      <c r="O34" s="304">
        <v>0</v>
      </c>
      <c r="P34" s="304">
        <v>0</v>
      </c>
      <c r="Q34" s="304">
        <v>0</v>
      </c>
      <c r="R34" s="304">
        <v>0</v>
      </c>
      <c r="S34" s="304">
        <v>0</v>
      </c>
      <c r="T34" s="304">
        <v>0</v>
      </c>
      <c r="U34" s="304">
        <v>0</v>
      </c>
      <c r="V34" s="304">
        <v>0</v>
      </c>
      <c r="W34" s="304">
        <v>0</v>
      </c>
      <c r="X34" s="304">
        <v>0</v>
      </c>
      <c r="Y34" s="304">
        <v>0</v>
      </c>
      <c r="Z34" s="304">
        <v>0</v>
      </c>
      <c r="AA34" s="304">
        <v>0</v>
      </c>
      <c r="AB34" s="304">
        <f t="shared" si="1"/>
        <v>0</v>
      </c>
      <c r="AC34" s="303">
        <v>0</v>
      </c>
    </row>
    <row r="35" spans="1:29" s="295" customFormat="1" ht="31.5" x14ac:dyDescent="0.25">
      <c r="A35" s="82" t="s">
        <v>63</v>
      </c>
      <c r="B35" s="81" t="s">
        <v>174</v>
      </c>
      <c r="C35" s="303">
        <v>0</v>
      </c>
      <c r="D35" s="303">
        <v>0</v>
      </c>
      <c r="E35" s="307">
        <f t="shared" si="2"/>
        <v>0</v>
      </c>
      <c r="F35" s="303">
        <v>0</v>
      </c>
      <c r="G35" s="303">
        <v>0</v>
      </c>
      <c r="H35" s="303">
        <v>0</v>
      </c>
      <c r="I35" s="303">
        <v>0</v>
      </c>
      <c r="J35" s="303">
        <v>0</v>
      </c>
      <c r="K35" s="303">
        <v>0</v>
      </c>
      <c r="L35" s="303">
        <v>0</v>
      </c>
      <c r="M35" s="303">
        <v>0</v>
      </c>
      <c r="N35" s="303">
        <v>0</v>
      </c>
      <c r="O35" s="303">
        <v>0</v>
      </c>
      <c r="P35" s="303">
        <v>0</v>
      </c>
      <c r="Q35" s="303">
        <v>0</v>
      </c>
      <c r="R35" s="303">
        <v>0</v>
      </c>
      <c r="S35" s="303">
        <v>0</v>
      </c>
      <c r="T35" s="303">
        <v>0</v>
      </c>
      <c r="U35" s="303">
        <v>0</v>
      </c>
      <c r="V35" s="303">
        <v>0</v>
      </c>
      <c r="W35" s="303">
        <v>0</v>
      </c>
      <c r="X35" s="303">
        <v>0</v>
      </c>
      <c r="Y35" s="303">
        <v>0</v>
      </c>
      <c r="Z35" s="303">
        <v>0</v>
      </c>
      <c r="AA35" s="303">
        <v>0</v>
      </c>
      <c r="AB35" s="303">
        <f t="shared" si="1"/>
        <v>0</v>
      </c>
      <c r="AC35" s="303">
        <v>0</v>
      </c>
    </row>
    <row r="36" spans="1:29" ht="31.5" x14ac:dyDescent="0.25">
      <c r="A36" s="79" t="s">
        <v>173</v>
      </c>
      <c r="B36" s="78" t="s">
        <v>172</v>
      </c>
      <c r="C36" s="308">
        <v>0</v>
      </c>
      <c r="D36" s="303">
        <v>0</v>
      </c>
      <c r="E36" s="304">
        <f t="shared" si="2"/>
        <v>0</v>
      </c>
      <c r="F36" s="303">
        <v>0</v>
      </c>
      <c r="G36" s="304">
        <v>0</v>
      </c>
      <c r="H36" s="304">
        <v>0</v>
      </c>
      <c r="I36" s="304">
        <v>0</v>
      </c>
      <c r="J36" s="304">
        <v>0</v>
      </c>
      <c r="K36" s="304">
        <v>0</v>
      </c>
      <c r="L36" s="304">
        <v>0</v>
      </c>
      <c r="M36" s="304">
        <v>0</v>
      </c>
      <c r="N36" s="304">
        <v>0</v>
      </c>
      <c r="O36" s="304">
        <v>0</v>
      </c>
      <c r="P36" s="304">
        <v>0</v>
      </c>
      <c r="Q36" s="304">
        <v>0</v>
      </c>
      <c r="R36" s="304">
        <v>0</v>
      </c>
      <c r="S36" s="304">
        <v>0</v>
      </c>
      <c r="T36" s="304">
        <v>0</v>
      </c>
      <c r="U36" s="304">
        <v>0</v>
      </c>
      <c r="V36" s="304">
        <v>0</v>
      </c>
      <c r="W36" s="304">
        <v>0</v>
      </c>
      <c r="X36" s="304">
        <v>0</v>
      </c>
      <c r="Y36" s="304">
        <v>0</v>
      </c>
      <c r="Z36" s="304">
        <v>0</v>
      </c>
      <c r="AA36" s="304">
        <v>0</v>
      </c>
      <c r="AB36" s="304">
        <f t="shared" si="1"/>
        <v>0</v>
      </c>
      <c r="AC36" s="303">
        <v>0</v>
      </c>
    </row>
    <row r="37" spans="1:29" x14ac:dyDescent="0.25">
      <c r="A37" s="79" t="s">
        <v>171</v>
      </c>
      <c r="B37" s="78" t="s">
        <v>161</v>
      </c>
      <c r="C37" s="308">
        <v>0</v>
      </c>
      <c r="D37" s="303">
        <v>0</v>
      </c>
      <c r="E37" s="304">
        <f t="shared" si="2"/>
        <v>0</v>
      </c>
      <c r="F37" s="303">
        <v>0</v>
      </c>
      <c r="G37" s="304">
        <v>0</v>
      </c>
      <c r="H37" s="304">
        <v>0</v>
      </c>
      <c r="I37" s="304">
        <v>0</v>
      </c>
      <c r="J37" s="304">
        <v>0</v>
      </c>
      <c r="K37" s="304">
        <v>0</v>
      </c>
      <c r="L37" s="304">
        <v>0</v>
      </c>
      <c r="M37" s="304">
        <v>0</v>
      </c>
      <c r="N37" s="304">
        <v>0</v>
      </c>
      <c r="O37" s="304">
        <v>0</v>
      </c>
      <c r="P37" s="304">
        <v>0</v>
      </c>
      <c r="Q37" s="304">
        <v>0</v>
      </c>
      <c r="R37" s="304">
        <v>0</v>
      </c>
      <c r="S37" s="304">
        <v>0</v>
      </c>
      <c r="T37" s="304">
        <v>0</v>
      </c>
      <c r="U37" s="304">
        <v>0</v>
      </c>
      <c r="V37" s="304">
        <v>0</v>
      </c>
      <c r="W37" s="304">
        <v>0</v>
      </c>
      <c r="X37" s="304">
        <v>0</v>
      </c>
      <c r="Y37" s="304">
        <v>0</v>
      </c>
      <c r="Z37" s="304">
        <v>0</v>
      </c>
      <c r="AA37" s="304">
        <v>0</v>
      </c>
      <c r="AB37" s="304">
        <f t="shared" si="1"/>
        <v>0</v>
      </c>
      <c r="AC37" s="303">
        <v>0</v>
      </c>
    </row>
    <row r="38" spans="1:29" x14ac:dyDescent="0.25">
      <c r="A38" s="79" t="s">
        <v>170</v>
      </c>
      <c r="B38" s="78" t="s">
        <v>159</v>
      </c>
      <c r="C38" s="308">
        <v>0</v>
      </c>
      <c r="D38" s="303">
        <v>0</v>
      </c>
      <c r="E38" s="304">
        <f t="shared" si="2"/>
        <v>0</v>
      </c>
      <c r="F38" s="303">
        <v>0</v>
      </c>
      <c r="G38" s="304">
        <v>0</v>
      </c>
      <c r="H38" s="304">
        <v>0</v>
      </c>
      <c r="I38" s="304">
        <v>0</v>
      </c>
      <c r="J38" s="304">
        <v>0</v>
      </c>
      <c r="K38" s="304">
        <v>0</v>
      </c>
      <c r="L38" s="304">
        <v>0</v>
      </c>
      <c r="M38" s="304">
        <v>0</v>
      </c>
      <c r="N38" s="304">
        <v>0</v>
      </c>
      <c r="O38" s="304">
        <v>0</v>
      </c>
      <c r="P38" s="304">
        <v>0</v>
      </c>
      <c r="Q38" s="304">
        <v>0</v>
      </c>
      <c r="R38" s="304">
        <v>0</v>
      </c>
      <c r="S38" s="304">
        <v>0</v>
      </c>
      <c r="T38" s="304">
        <v>0</v>
      </c>
      <c r="U38" s="304">
        <v>0</v>
      </c>
      <c r="V38" s="304">
        <v>0</v>
      </c>
      <c r="W38" s="304">
        <v>0</v>
      </c>
      <c r="X38" s="304">
        <v>0</v>
      </c>
      <c r="Y38" s="304">
        <v>0</v>
      </c>
      <c r="Z38" s="304">
        <v>0</v>
      </c>
      <c r="AA38" s="304">
        <v>0</v>
      </c>
      <c r="AB38" s="304">
        <f t="shared" si="1"/>
        <v>0</v>
      </c>
      <c r="AC38" s="303">
        <v>0</v>
      </c>
    </row>
    <row r="39" spans="1:29" ht="31.5" x14ac:dyDescent="0.25">
      <c r="A39" s="79" t="s">
        <v>169</v>
      </c>
      <c r="B39" s="54" t="s">
        <v>157</v>
      </c>
      <c r="C39" s="304">
        <v>0</v>
      </c>
      <c r="D39" s="303">
        <v>0</v>
      </c>
      <c r="E39" s="304">
        <f t="shared" si="2"/>
        <v>0</v>
      </c>
      <c r="F39" s="303">
        <v>0</v>
      </c>
      <c r="G39" s="304">
        <v>0</v>
      </c>
      <c r="H39" s="304">
        <v>0</v>
      </c>
      <c r="I39" s="304">
        <v>0</v>
      </c>
      <c r="J39" s="304">
        <v>0</v>
      </c>
      <c r="K39" s="304">
        <v>0</v>
      </c>
      <c r="L39" s="304">
        <v>0</v>
      </c>
      <c r="M39" s="304">
        <v>0</v>
      </c>
      <c r="N39" s="304">
        <v>0</v>
      </c>
      <c r="O39" s="304">
        <v>0</v>
      </c>
      <c r="P39" s="304">
        <v>0</v>
      </c>
      <c r="Q39" s="304">
        <v>0</v>
      </c>
      <c r="R39" s="304">
        <v>0</v>
      </c>
      <c r="S39" s="304">
        <v>0</v>
      </c>
      <c r="T39" s="304">
        <v>0</v>
      </c>
      <c r="U39" s="304">
        <v>0</v>
      </c>
      <c r="V39" s="304">
        <v>0</v>
      </c>
      <c r="W39" s="304">
        <v>0</v>
      </c>
      <c r="X39" s="304">
        <v>0</v>
      </c>
      <c r="Y39" s="304">
        <v>0</v>
      </c>
      <c r="Z39" s="304">
        <v>0</v>
      </c>
      <c r="AA39" s="304">
        <v>0</v>
      </c>
      <c r="AB39" s="304">
        <f t="shared" si="1"/>
        <v>0</v>
      </c>
      <c r="AC39" s="303">
        <v>0</v>
      </c>
    </row>
    <row r="40" spans="1:29" ht="31.5" x14ac:dyDescent="0.25">
      <c r="A40" s="79" t="s">
        <v>168</v>
      </c>
      <c r="B40" s="54" t="s">
        <v>155</v>
      </c>
      <c r="C40" s="304">
        <v>0</v>
      </c>
      <c r="D40" s="303">
        <v>0</v>
      </c>
      <c r="E40" s="304">
        <f t="shared" si="2"/>
        <v>0</v>
      </c>
      <c r="F40" s="303">
        <v>0</v>
      </c>
      <c r="G40" s="304">
        <v>0</v>
      </c>
      <c r="H40" s="304">
        <v>0</v>
      </c>
      <c r="I40" s="304">
        <v>0</v>
      </c>
      <c r="J40" s="304">
        <v>0</v>
      </c>
      <c r="K40" s="304">
        <v>0</v>
      </c>
      <c r="L40" s="304">
        <v>0</v>
      </c>
      <c r="M40" s="304">
        <v>0</v>
      </c>
      <c r="N40" s="304">
        <v>0</v>
      </c>
      <c r="O40" s="304">
        <v>0</v>
      </c>
      <c r="P40" s="304">
        <v>0</v>
      </c>
      <c r="Q40" s="304">
        <v>0</v>
      </c>
      <c r="R40" s="304">
        <v>0</v>
      </c>
      <c r="S40" s="304">
        <v>0</v>
      </c>
      <c r="T40" s="304">
        <v>0</v>
      </c>
      <c r="U40" s="304">
        <v>0</v>
      </c>
      <c r="V40" s="304">
        <v>0</v>
      </c>
      <c r="W40" s="304">
        <v>0</v>
      </c>
      <c r="X40" s="304">
        <v>0</v>
      </c>
      <c r="Y40" s="304">
        <v>0</v>
      </c>
      <c r="Z40" s="304">
        <v>0</v>
      </c>
      <c r="AA40" s="304">
        <v>0</v>
      </c>
      <c r="AB40" s="304">
        <f t="shared" si="1"/>
        <v>0</v>
      </c>
      <c r="AC40" s="303">
        <v>0</v>
      </c>
    </row>
    <row r="41" spans="1:29" x14ac:dyDescent="0.25">
      <c r="A41" s="79" t="s">
        <v>167</v>
      </c>
      <c r="B41" s="54" t="s">
        <v>153</v>
      </c>
      <c r="C41" s="304">
        <v>0</v>
      </c>
      <c r="D41" s="303">
        <v>0</v>
      </c>
      <c r="E41" s="304">
        <f t="shared" si="2"/>
        <v>0</v>
      </c>
      <c r="F41" s="303">
        <v>0</v>
      </c>
      <c r="G41" s="304">
        <v>0</v>
      </c>
      <c r="H41" s="304">
        <v>0</v>
      </c>
      <c r="I41" s="304">
        <v>0</v>
      </c>
      <c r="J41" s="304">
        <v>0</v>
      </c>
      <c r="K41" s="304">
        <v>0</v>
      </c>
      <c r="L41" s="304">
        <v>0</v>
      </c>
      <c r="M41" s="304">
        <v>0</v>
      </c>
      <c r="N41" s="304">
        <v>0</v>
      </c>
      <c r="O41" s="304">
        <v>0</v>
      </c>
      <c r="P41" s="304">
        <v>0</v>
      </c>
      <c r="Q41" s="304">
        <v>0</v>
      </c>
      <c r="R41" s="304">
        <v>0</v>
      </c>
      <c r="S41" s="304">
        <v>0</v>
      </c>
      <c r="T41" s="304">
        <v>0</v>
      </c>
      <c r="U41" s="304">
        <v>0</v>
      </c>
      <c r="V41" s="304">
        <v>0</v>
      </c>
      <c r="W41" s="304">
        <v>0</v>
      </c>
      <c r="X41" s="304">
        <v>0</v>
      </c>
      <c r="Y41" s="304">
        <v>0</v>
      </c>
      <c r="Z41" s="304">
        <v>0</v>
      </c>
      <c r="AA41" s="304">
        <v>0</v>
      </c>
      <c r="AB41" s="304">
        <f t="shared" si="1"/>
        <v>0</v>
      </c>
      <c r="AC41" s="303">
        <v>0</v>
      </c>
    </row>
    <row r="42" spans="1:29" ht="18.75" x14ac:dyDescent="0.25">
      <c r="A42" s="79" t="s">
        <v>166</v>
      </c>
      <c r="B42" s="78" t="s">
        <v>151</v>
      </c>
      <c r="C42" s="308">
        <v>0</v>
      </c>
      <c r="D42" s="303">
        <v>0</v>
      </c>
      <c r="E42" s="304">
        <f t="shared" si="2"/>
        <v>0</v>
      </c>
      <c r="F42" s="303">
        <v>0</v>
      </c>
      <c r="G42" s="304">
        <v>0</v>
      </c>
      <c r="H42" s="304">
        <v>0</v>
      </c>
      <c r="I42" s="304">
        <v>0</v>
      </c>
      <c r="J42" s="304">
        <v>0</v>
      </c>
      <c r="K42" s="304">
        <v>0</v>
      </c>
      <c r="L42" s="304">
        <v>0</v>
      </c>
      <c r="M42" s="304">
        <v>0</v>
      </c>
      <c r="N42" s="304">
        <v>0</v>
      </c>
      <c r="O42" s="304">
        <v>0</v>
      </c>
      <c r="P42" s="304">
        <v>0</v>
      </c>
      <c r="Q42" s="304">
        <v>0</v>
      </c>
      <c r="R42" s="304">
        <v>0</v>
      </c>
      <c r="S42" s="304">
        <v>0</v>
      </c>
      <c r="T42" s="304">
        <v>0</v>
      </c>
      <c r="U42" s="304">
        <v>0</v>
      </c>
      <c r="V42" s="304">
        <v>0</v>
      </c>
      <c r="W42" s="304">
        <v>0</v>
      </c>
      <c r="X42" s="304">
        <v>0</v>
      </c>
      <c r="Y42" s="304">
        <v>0</v>
      </c>
      <c r="Z42" s="304">
        <v>0</v>
      </c>
      <c r="AA42" s="304">
        <v>0</v>
      </c>
      <c r="AB42" s="304">
        <f t="shared" si="1"/>
        <v>0</v>
      </c>
      <c r="AC42" s="303">
        <v>0</v>
      </c>
    </row>
    <row r="43" spans="1:29" s="295" customFormat="1" x14ac:dyDescent="0.25">
      <c r="A43" s="82" t="s">
        <v>62</v>
      </c>
      <c r="B43" s="81" t="s">
        <v>165</v>
      </c>
      <c r="C43" s="303">
        <v>0</v>
      </c>
      <c r="D43" s="303">
        <v>0</v>
      </c>
      <c r="E43" s="303">
        <f t="shared" si="2"/>
        <v>0</v>
      </c>
      <c r="F43" s="303">
        <v>0</v>
      </c>
      <c r="G43" s="303">
        <v>0</v>
      </c>
      <c r="H43" s="303">
        <v>0</v>
      </c>
      <c r="I43" s="303">
        <v>0</v>
      </c>
      <c r="J43" s="303">
        <v>0</v>
      </c>
      <c r="K43" s="303">
        <v>0</v>
      </c>
      <c r="L43" s="303">
        <v>0</v>
      </c>
      <c r="M43" s="303">
        <v>0</v>
      </c>
      <c r="N43" s="303">
        <v>0</v>
      </c>
      <c r="O43" s="303">
        <v>0</v>
      </c>
      <c r="P43" s="303">
        <v>0</v>
      </c>
      <c r="Q43" s="303">
        <v>0</v>
      </c>
      <c r="R43" s="303">
        <v>0</v>
      </c>
      <c r="S43" s="303">
        <v>0</v>
      </c>
      <c r="T43" s="303">
        <v>0</v>
      </c>
      <c r="U43" s="303">
        <v>0</v>
      </c>
      <c r="V43" s="303">
        <v>0</v>
      </c>
      <c r="W43" s="303">
        <v>0</v>
      </c>
      <c r="X43" s="303">
        <v>0</v>
      </c>
      <c r="Y43" s="303">
        <v>0</v>
      </c>
      <c r="Z43" s="303">
        <v>0</v>
      </c>
      <c r="AA43" s="303">
        <v>0</v>
      </c>
      <c r="AB43" s="303">
        <f t="shared" si="1"/>
        <v>0</v>
      </c>
      <c r="AC43" s="303">
        <v>0</v>
      </c>
    </row>
    <row r="44" spans="1:29" x14ac:dyDescent="0.25">
      <c r="A44" s="79" t="s">
        <v>164</v>
      </c>
      <c r="B44" s="54" t="s">
        <v>163</v>
      </c>
      <c r="C44" s="304">
        <v>0</v>
      </c>
      <c r="D44" s="303">
        <v>0</v>
      </c>
      <c r="E44" s="304">
        <f t="shared" si="2"/>
        <v>0</v>
      </c>
      <c r="F44" s="303">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f t="shared" si="1"/>
        <v>0</v>
      </c>
      <c r="AC44" s="303">
        <v>0</v>
      </c>
    </row>
    <row r="45" spans="1:29" x14ac:dyDescent="0.25">
      <c r="A45" s="79" t="s">
        <v>162</v>
      </c>
      <c r="B45" s="54" t="s">
        <v>161</v>
      </c>
      <c r="C45" s="304">
        <v>0</v>
      </c>
      <c r="D45" s="303">
        <v>0</v>
      </c>
      <c r="E45" s="304">
        <f t="shared" si="2"/>
        <v>0</v>
      </c>
      <c r="F45" s="303">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f t="shared" si="1"/>
        <v>0</v>
      </c>
      <c r="AC45" s="303">
        <v>0</v>
      </c>
    </row>
    <row r="46" spans="1:29" x14ac:dyDescent="0.25">
      <c r="A46" s="79" t="s">
        <v>160</v>
      </c>
      <c r="B46" s="54" t="s">
        <v>159</v>
      </c>
      <c r="C46" s="304">
        <v>0</v>
      </c>
      <c r="D46" s="303">
        <v>0</v>
      </c>
      <c r="E46" s="304">
        <f t="shared" si="2"/>
        <v>0</v>
      </c>
      <c r="F46" s="303">
        <v>0</v>
      </c>
      <c r="G46" s="304">
        <v>0</v>
      </c>
      <c r="H46" s="304">
        <v>0</v>
      </c>
      <c r="I46" s="304">
        <v>0</v>
      </c>
      <c r="J46" s="304">
        <v>0</v>
      </c>
      <c r="K46" s="304">
        <v>0</v>
      </c>
      <c r="L46" s="304">
        <v>0</v>
      </c>
      <c r="M46" s="304">
        <v>0</v>
      </c>
      <c r="N46" s="304">
        <v>0</v>
      </c>
      <c r="O46" s="304">
        <v>0</v>
      </c>
      <c r="P46" s="304">
        <v>0</v>
      </c>
      <c r="Q46" s="304">
        <v>0</v>
      </c>
      <c r="R46" s="304">
        <v>0</v>
      </c>
      <c r="S46" s="304">
        <v>0</v>
      </c>
      <c r="T46" s="304">
        <v>0</v>
      </c>
      <c r="U46" s="304">
        <v>0</v>
      </c>
      <c r="V46" s="304">
        <v>0</v>
      </c>
      <c r="W46" s="304">
        <v>0</v>
      </c>
      <c r="X46" s="304">
        <v>0</v>
      </c>
      <c r="Y46" s="304">
        <v>0</v>
      </c>
      <c r="Z46" s="304">
        <v>0</v>
      </c>
      <c r="AA46" s="304">
        <v>0</v>
      </c>
      <c r="AB46" s="304">
        <f t="shared" si="1"/>
        <v>0</v>
      </c>
      <c r="AC46" s="303">
        <v>0</v>
      </c>
    </row>
    <row r="47" spans="1:29" ht="31.5" x14ac:dyDescent="0.25">
      <c r="A47" s="79" t="s">
        <v>158</v>
      </c>
      <c r="B47" s="54" t="s">
        <v>157</v>
      </c>
      <c r="C47" s="304">
        <v>0</v>
      </c>
      <c r="D47" s="303">
        <v>0</v>
      </c>
      <c r="E47" s="304">
        <f t="shared" si="2"/>
        <v>0</v>
      </c>
      <c r="F47" s="303">
        <v>0</v>
      </c>
      <c r="G47" s="304">
        <v>0</v>
      </c>
      <c r="H47" s="304">
        <v>0</v>
      </c>
      <c r="I47" s="304">
        <v>0</v>
      </c>
      <c r="J47" s="304">
        <v>0</v>
      </c>
      <c r="K47" s="304">
        <v>0</v>
      </c>
      <c r="L47" s="304">
        <v>0</v>
      </c>
      <c r="M47" s="304">
        <v>0</v>
      </c>
      <c r="N47" s="304">
        <v>0</v>
      </c>
      <c r="O47" s="304">
        <v>0</v>
      </c>
      <c r="P47" s="304">
        <v>0</v>
      </c>
      <c r="Q47" s="304">
        <v>0</v>
      </c>
      <c r="R47" s="304">
        <v>0</v>
      </c>
      <c r="S47" s="304">
        <v>0</v>
      </c>
      <c r="T47" s="304">
        <v>0</v>
      </c>
      <c r="U47" s="304">
        <v>0</v>
      </c>
      <c r="V47" s="304">
        <v>0</v>
      </c>
      <c r="W47" s="304">
        <v>0</v>
      </c>
      <c r="X47" s="304">
        <v>0</v>
      </c>
      <c r="Y47" s="304">
        <v>0</v>
      </c>
      <c r="Z47" s="304">
        <v>0</v>
      </c>
      <c r="AA47" s="304">
        <v>0</v>
      </c>
      <c r="AB47" s="304">
        <f t="shared" si="1"/>
        <v>0</v>
      </c>
      <c r="AC47" s="303">
        <v>0</v>
      </c>
    </row>
    <row r="48" spans="1:29" ht="31.5" x14ac:dyDescent="0.25">
      <c r="A48" s="79" t="s">
        <v>156</v>
      </c>
      <c r="B48" s="54" t="s">
        <v>155</v>
      </c>
      <c r="C48" s="304">
        <v>0</v>
      </c>
      <c r="D48" s="303">
        <v>0</v>
      </c>
      <c r="E48" s="304">
        <f t="shared" si="2"/>
        <v>0</v>
      </c>
      <c r="F48" s="303">
        <v>0</v>
      </c>
      <c r="G48" s="304">
        <v>0</v>
      </c>
      <c r="H48" s="304">
        <v>0</v>
      </c>
      <c r="I48" s="304">
        <v>0</v>
      </c>
      <c r="J48" s="304">
        <v>0</v>
      </c>
      <c r="K48" s="304">
        <v>0</v>
      </c>
      <c r="L48" s="304">
        <v>0</v>
      </c>
      <c r="M48" s="304">
        <v>0</v>
      </c>
      <c r="N48" s="304">
        <v>0</v>
      </c>
      <c r="O48" s="304">
        <v>0</v>
      </c>
      <c r="P48" s="304">
        <v>0</v>
      </c>
      <c r="Q48" s="304">
        <v>0</v>
      </c>
      <c r="R48" s="304">
        <v>0</v>
      </c>
      <c r="S48" s="304">
        <v>0</v>
      </c>
      <c r="T48" s="304">
        <v>0</v>
      </c>
      <c r="U48" s="304">
        <v>0</v>
      </c>
      <c r="V48" s="304">
        <v>0</v>
      </c>
      <c r="W48" s="304">
        <v>0</v>
      </c>
      <c r="X48" s="304">
        <v>0</v>
      </c>
      <c r="Y48" s="304">
        <v>0</v>
      </c>
      <c r="Z48" s="304">
        <v>0</v>
      </c>
      <c r="AA48" s="304">
        <v>0</v>
      </c>
      <c r="AB48" s="304">
        <f t="shared" si="1"/>
        <v>0</v>
      </c>
      <c r="AC48" s="303">
        <v>0</v>
      </c>
    </row>
    <row r="49" spans="1:29" x14ac:dyDescent="0.25">
      <c r="A49" s="79" t="s">
        <v>154</v>
      </c>
      <c r="B49" s="54" t="s">
        <v>153</v>
      </c>
      <c r="C49" s="304">
        <v>0</v>
      </c>
      <c r="D49" s="303">
        <v>0</v>
      </c>
      <c r="E49" s="304">
        <f t="shared" si="2"/>
        <v>0</v>
      </c>
      <c r="F49" s="303">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f t="shared" si="1"/>
        <v>0</v>
      </c>
      <c r="AC49" s="303">
        <v>0</v>
      </c>
    </row>
    <row r="50" spans="1:29" ht="18.75" x14ac:dyDescent="0.25">
      <c r="A50" s="79" t="s">
        <v>152</v>
      </c>
      <c r="B50" s="78" t="s">
        <v>151</v>
      </c>
      <c r="C50" s="308">
        <v>0</v>
      </c>
      <c r="D50" s="303">
        <v>0</v>
      </c>
      <c r="E50" s="304">
        <f t="shared" si="2"/>
        <v>0</v>
      </c>
      <c r="F50" s="303">
        <v>0</v>
      </c>
      <c r="G50" s="304">
        <v>0</v>
      </c>
      <c r="H50" s="304">
        <v>0</v>
      </c>
      <c r="I50" s="304">
        <v>0</v>
      </c>
      <c r="J50" s="304">
        <v>0</v>
      </c>
      <c r="K50" s="304">
        <v>0</v>
      </c>
      <c r="L50" s="304">
        <v>0</v>
      </c>
      <c r="M50" s="304">
        <v>0</v>
      </c>
      <c r="N50" s="304">
        <v>0</v>
      </c>
      <c r="O50" s="304">
        <v>0</v>
      </c>
      <c r="P50" s="304">
        <v>0</v>
      </c>
      <c r="Q50" s="304">
        <v>0</v>
      </c>
      <c r="R50" s="304">
        <v>0</v>
      </c>
      <c r="S50" s="304">
        <v>0</v>
      </c>
      <c r="T50" s="304">
        <v>0</v>
      </c>
      <c r="U50" s="304">
        <v>0</v>
      </c>
      <c r="V50" s="304">
        <v>0</v>
      </c>
      <c r="W50" s="304">
        <v>0</v>
      </c>
      <c r="X50" s="304">
        <v>0</v>
      </c>
      <c r="Y50" s="304">
        <v>0</v>
      </c>
      <c r="Z50" s="304">
        <v>0</v>
      </c>
      <c r="AA50" s="304">
        <v>0</v>
      </c>
      <c r="AB50" s="304">
        <f t="shared" si="1"/>
        <v>0</v>
      </c>
      <c r="AC50" s="303">
        <v>0</v>
      </c>
    </row>
    <row r="51" spans="1:29" s="295" customFormat="1" ht="35.25" customHeight="1" x14ac:dyDescent="0.25">
      <c r="A51" s="82" t="s">
        <v>60</v>
      </c>
      <c r="B51" s="81" t="s">
        <v>150</v>
      </c>
      <c r="C51" s="303">
        <v>0</v>
      </c>
      <c r="D51" s="303">
        <v>0</v>
      </c>
      <c r="E51" s="303">
        <f t="shared" si="2"/>
        <v>0</v>
      </c>
      <c r="F51" s="303">
        <v>0</v>
      </c>
      <c r="G51" s="303">
        <v>0</v>
      </c>
      <c r="H51" s="303">
        <v>0</v>
      </c>
      <c r="I51" s="303">
        <v>0</v>
      </c>
      <c r="J51" s="303">
        <v>0</v>
      </c>
      <c r="K51" s="303">
        <v>0</v>
      </c>
      <c r="L51" s="303">
        <v>0</v>
      </c>
      <c r="M51" s="303">
        <v>0</v>
      </c>
      <c r="N51" s="303">
        <v>0</v>
      </c>
      <c r="O51" s="303">
        <v>0</v>
      </c>
      <c r="P51" s="303">
        <v>0</v>
      </c>
      <c r="Q51" s="303">
        <v>0</v>
      </c>
      <c r="R51" s="303">
        <v>0</v>
      </c>
      <c r="S51" s="303">
        <v>0</v>
      </c>
      <c r="T51" s="303">
        <v>0</v>
      </c>
      <c r="U51" s="303">
        <v>0</v>
      </c>
      <c r="V51" s="303">
        <v>0</v>
      </c>
      <c r="W51" s="303">
        <v>0</v>
      </c>
      <c r="X51" s="303">
        <v>0</v>
      </c>
      <c r="Y51" s="303">
        <v>0</v>
      </c>
      <c r="Z51" s="303">
        <v>0</v>
      </c>
      <c r="AA51" s="303">
        <v>0</v>
      </c>
      <c r="AB51" s="303">
        <f t="shared" si="1"/>
        <v>0</v>
      </c>
      <c r="AC51" s="303">
        <v>0</v>
      </c>
    </row>
    <row r="52" spans="1:29" x14ac:dyDescent="0.25">
      <c r="A52" s="79" t="s">
        <v>149</v>
      </c>
      <c r="B52" s="54" t="s">
        <v>148</v>
      </c>
      <c r="C52" s="304">
        <v>154.972033898305</v>
      </c>
      <c r="D52" s="303">
        <v>0</v>
      </c>
      <c r="E52" s="304">
        <v>32.797981068305099</v>
      </c>
      <c r="F52" s="303">
        <v>32.797981068305099</v>
      </c>
      <c r="G52" s="304">
        <v>0</v>
      </c>
      <c r="H52" s="304">
        <v>32.797981068305099</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f t="shared" si="1"/>
        <v>32.797981068305099</v>
      </c>
      <c r="AC52" s="303">
        <v>0</v>
      </c>
    </row>
    <row r="53" spans="1:29" x14ac:dyDescent="0.25">
      <c r="A53" s="79" t="s">
        <v>147</v>
      </c>
      <c r="B53" s="54" t="s">
        <v>141</v>
      </c>
      <c r="C53" s="304">
        <v>0</v>
      </c>
      <c r="D53" s="303">
        <v>0</v>
      </c>
      <c r="E53" s="304">
        <f t="shared" si="2"/>
        <v>0</v>
      </c>
      <c r="F53" s="303">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f t="shared" si="1"/>
        <v>0</v>
      </c>
      <c r="AC53" s="303">
        <v>0</v>
      </c>
    </row>
    <row r="54" spans="1:29" x14ac:dyDescent="0.25">
      <c r="A54" s="79" t="s">
        <v>146</v>
      </c>
      <c r="B54" s="78" t="s">
        <v>140</v>
      </c>
      <c r="C54" s="308">
        <v>0</v>
      </c>
      <c r="D54" s="303">
        <v>0</v>
      </c>
      <c r="E54" s="304">
        <f t="shared" si="2"/>
        <v>0</v>
      </c>
      <c r="F54" s="303">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f t="shared" si="1"/>
        <v>0</v>
      </c>
      <c r="AC54" s="303">
        <v>0</v>
      </c>
    </row>
    <row r="55" spans="1:29" x14ac:dyDescent="0.25">
      <c r="A55" s="79" t="s">
        <v>145</v>
      </c>
      <c r="B55" s="78" t="s">
        <v>139</v>
      </c>
      <c r="C55" s="308">
        <v>0</v>
      </c>
      <c r="D55" s="303">
        <v>0</v>
      </c>
      <c r="E55" s="304">
        <f t="shared" si="2"/>
        <v>0</v>
      </c>
      <c r="F55" s="303">
        <v>0</v>
      </c>
      <c r="G55" s="304">
        <v>0</v>
      </c>
      <c r="H55" s="304">
        <v>0</v>
      </c>
      <c r="I55" s="304">
        <v>0</v>
      </c>
      <c r="J55" s="304">
        <v>0</v>
      </c>
      <c r="K55" s="304">
        <v>0</v>
      </c>
      <c r="L55" s="304">
        <v>0</v>
      </c>
      <c r="M55" s="304">
        <v>0</v>
      </c>
      <c r="N55" s="304">
        <v>0</v>
      </c>
      <c r="O55" s="304">
        <v>0</v>
      </c>
      <c r="P55" s="304">
        <v>0</v>
      </c>
      <c r="Q55" s="304">
        <v>0</v>
      </c>
      <c r="R55" s="304">
        <v>0</v>
      </c>
      <c r="S55" s="304">
        <v>0</v>
      </c>
      <c r="T55" s="304">
        <v>0</v>
      </c>
      <c r="U55" s="304">
        <v>0</v>
      </c>
      <c r="V55" s="304">
        <v>0</v>
      </c>
      <c r="W55" s="304">
        <v>0</v>
      </c>
      <c r="X55" s="304">
        <v>0</v>
      </c>
      <c r="Y55" s="304">
        <v>0</v>
      </c>
      <c r="Z55" s="304">
        <v>0</v>
      </c>
      <c r="AA55" s="304">
        <v>0</v>
      </c>
      <c r="AB55" s="304">
        <f t="shared" si="1"/>
        <v>0</v>
      </c>
      <c r="AC55" s="303">
        <v>0</v>
      </c>
    </row>
    <row r="56" spans="1:29" x14ac:dyDescent="0.25">
      <c r="A56" s="79" t="s">
        <v>144</v>
      </c>
      <c r="B56" s="78" t="s">
        <v>138</v>
      </c>
      <c r="C56" s="308">
        <v>0</v>
      </c>
      <c r="D56" s="303">
        <v>0</v>
      </c>
      <c r="E56" s="304">
        <f t="shared" si="2"/>
        <v>0</v>
      </c>
      <c r="F56" s="303">
        <v>0</v>
      </c>
      <c r="G56" s="304">
        <v>0</v>
      </c>
      <c r="H56" s="304">
        <v>0</v>
      </c>
      <c r="I56" s="304">
        <v>0</v>
      </c>
      <c r="J56" s="304">
        <v>0</v>
      </c>
      <c r="K56" s="304">
        <v>0</v>
      </c>
      <c r="L56" s="304">
        <v>0</v>
      </c>
      <c r="M56" s="304">
        <v>0</v>
      </c>
      <c r="N56" s="304">
        <v>0</v>
      </c>
      <c r="O56" s="304">
        <v>0</v>
      </c>
      <c r="P56" s="304">
        <v>0</v>
      </c>
      <c r="Q56" s="304">
        <v>0</v>
      </c>
      <c r="R56" s="304">
        <v>0</v>
      </c>
      <c r="S56" s="304">
        <v>0</v>
      </c>
      <c r="T56" s="304">
        <v>0</v>
      </c>
      <c r="U56" s="304">
        <v>0</v>
      </c>
      <c r="V56" s="304">
        <v>0</v>
      </c>
      <c r="W56" s="304">
        <v>0</v>
      </c>
      <c r="X56" s="304">
        <v>0</v>
      </c>
      <c r="Y56" s="304">
        <v>0</v>
      </c>
      <c r="Z56" s="304">
        <v>0</v>
      </c>
      <c r="AA56" s="304">
        <v>0</v>
      </c>
      <c r="AB56" s="304">
        <f t="shared" si="1"/>
        <v>0</v>
      </c>
      <c r="AC56" s="303">
        <v>0</v>
      </c>
    </row>
    <row r="57" spans="1:29" ht="18.75" x14ac:dyDescent="0.25">
      <c r="A57" s="79" t="s">
        <v>143</v>
      </c>
      <c r="B57" s="78" t="s">
        <v>137</v>
      </c>
      <c r="C57" s="308">
        <v>0</v>
      </c>
      <c r="D57" s="303">
        <v>0</v>
      </c>
      <c r="E57" s="304">
        <f t="shared" si="2"/>
        <v>0</v>
      </c>
      <c r="F57" s="303">
        <v>0</v>
      </c>
      <c r="G57" s="304">
        <v>0</v>
      </c>
      <c r="H57" s="304">
        <v>0</v>
      </c>
      <c r="I57" s="304">
        <v>0</v>
      </c>
      <c r="J57" s="304">
        <v>0</v>
      </c>
      <c r="K57" s="304">
        <v>0</v>
      </c>
      <c r="L57" s="304">
        <v>0</v>
      </c>
      <c r="M57" s="304">
        <v>0</v>
      </c>
      <c r="N57" s="304">
        <v>0</v>
      </c>
      <c r="O57" s="304">
        <v>0</v>
      </c>
      <c r="P57" s="304">
        <v>0</v>
      </c>
      <c r="Q57" s="304">
        <v>0</v>
      </c>
      <c r="R57" s="304">
        <v>0</v>
      </c>
      <c r="S57" s="304">
        <v>0</v>
      </c>
      <c r="T57" s="304">
        <v>0</v>
      </c>
      <c r="U57" s="304">
        <v>0</v>
      </c>
      <c r="V57" s="304">
        <v>0</v>
      </c>
      <c r="W57" s="304">
        <v>0</v>
      </c>
      <c r="X57" s="304">
        <v>0</v>
      </c>
      <c r="Y57" s="304">
        <v>0</v>
      </c>
      <c r="Z57" s="304">
        <v>0</v>
      </c>
      <c r="AA57" s="304">
        <v>0</v>
      </c>
      <c r="AB57" s="304">
        <f t="shared" si="1"/>
        <v>0</v>
      </c>
      <c r="AC57" s="303">
        <v>0</v>
      </c>
    </row>
    <row r="58" spans="1:29" s="295" customFormat="1" ht="36.75" customHeight="1" x14ac:dyDescent="0.25">
      <c r="A58" s="82" t="s">
        <v>59</v>
      </c>
      <c r="B58" s="101" t="s">
        <v>226</v>
      </c>
      <c r="C58" s="309">
        <v>0</v>
      </c>
      <c r="D58" s="303">
        <v>0</v>
      </c>
      <c r="E58" s="303">
        <f t="shared" si="2"/>
        <v>0</v>
      </c>
      <c r="F58" s="303">
        <v>0</v>
      </c>
      <c r="G58" s="303">
        <v>0</v>
      </c>
      <c r="H58" s="303">
        <v>0</v>
      </c>
      <c r="I58" s="303">
        <v>0</v>
      </c>
      <c r="J58" s="303">
        <v>0</v>
      </c>
      <c r="K58" s="303">
        <v>0</v>
      </c>
      <c r="L58" s="303">
        <v>0</v>
      </c>
      <c r="M58" s="303">
        <v>0</v>
      </c>
      <c r="N58" s="303">
        <v>0</v>
      </c>
      <c r="O58" s="303">
        <v>0</v>
      </c>
      <c r="P58" s="303">
        <v>0</v>
      </c>
      <c r="Q58" s="303">
        <v>0</v>
      </c>
      <c r="R58" s="303">
        <v>0</v>
      </c>
      <c r="S58" s="303">
        <v>0</v>
      </c>
      <c r="T58" s="303">
        <v>0</v>
      </c>
      <c r="U58" s="303">
        <v>0</v>
      </c>
      <c r="V58" s="303">
        <v>0</v>
      </c>
      <c r="W58" s="303">
        <v>0</v>
      </c>
      <c r="X58" s="303">
        <v>0</v>
      </c>
      <c r="Y58" s="303">
        <v>0</v>
      </c>
      <c r="Z58" s="303">
        <v>0</v>
      </c>
      <c r="AA58" s="303">
        <v>0</v>
      </c>
      <c r="AB58" s="303">
        <f t="shared" si="1"/>
        <v>0</v>
      </c>
      <c r="AC58" s="303">
        <v>0</v>
      </c>
    </row>
    <row r="59" spans="1:29" s="295" customFormat="1" x14ac:dyDescent="0.25">
      <c r="A59" s="82" t="s">
        <v>57</v>
      </c>
      <c r="B59" s="81" t="s">
        <v>142</v>
      </c>
      <c r="C59" s="303">
        <v>0</v>
      </c>
      <c r="D59" s="303">
        <v>0</v>
      </c>
      <c r="E59" s="303">
        <f t="shared" si="2"/>
        <v>0</v>
      </c>
      <c r="F59" s="303">
        <v>0</v>
      </c>
      <c r="G59" s="303">
        <v>0</v>
      </c>
      <c r="H59" s="303">
        <v>0</v>
      </c>
      <c r="I59" s="303">
        <v>0</v>
      </c>
      <c r="J59" s="303">
        <v>0</v>
      </c>
      <c r="K59" s="303">
        <v>0</v>
      </c>
      <c r="L59" s="303">
        <v>0</v>
      </c>
      <c r="M59" s="303">
        <v>0</v>
      </c>
      <c r="N59" s="303">
        <v>0</v>
      </c>
      <c r="O59" s="303">
        <v>0</v>
      </c>
      <c r="P59" s="303">
        <v>0</v>
      </c>
      <c r="Q59" s="303">
        <v>0</v>
      </c>
      <c r="R59" s="303">
        <v>0</v>
      </c>
      <c r="S59" s="303">
        <v>0</v>
      </c>
      <c r="T59" s="303">
        <v>0</v>
      </c>
      <c r="U59" s="303">
        <v>0</v>
      </c>
      <c r="V59" s="303">
        <v>0</v>
      </c>
      <c r="W59" s="303">
        <v>0</v>
      </c>
      <c r="X59" s="303">
        <v>0</v>
      </c>
      <c r="Y59" s="303">
        <v>0</v>
      </c>
      <c r="Z59" s="303">
        <v>0</v>
      </c>
      <c r="AA59" s="303">
        <v>0</v>
      </c>
      <c r="AB59" s="303">
        <f t="shared" si="1"/>
        <v>0</v>
      </c>
      <c r="AC59" s="303">
        <v>0</v>
      </c>
    </row>
    <row r="60" spans="1:29" x14ac:dyDescent="0.25">
      <c r="A60" s="79" t="s">
        <v>220</v>
      </c>
      <c r="B60" s="80" t="s">
        <v>163</v>
      </c>
      <c r="C60" s="310">
        <v>0</v>
      </c>
      <c r="D60" s="303">
        <v>0</v>
      </c>
      <c r="E60" s="304">
        <f t="shared" si="2"/>
        <v>0</v>
      </c>
      <c r="F60" s="303">
        <v>0</v>
      </c>
      <c r="G60" s="304">
        <v>0</v>
      </c>
      <c r="H60" s="304">
        <v>0</v>
      </c>
      <c r="I60" s="304">
        <v>0</v>
      </c>
      <c r="J60" s="304">
        <v>0</v>
      </c>
      <c r="K60" s="304">
        <v>0</v>
      </c>
      <c r="L60" s="304">
        <v>0</v>
      </c>
      <c r="M60" s="304">
        <v>0</v>
      </c>
      <c r="N60" s="304">
        <v>0</v>
      </c>
      <c r="O60" s="304">
        <v>0</v>
      </c>
      <c r="P60" s="304">
        <v>0</v>
      </c>
      <c r="Q60" s="304">
        <v>0</v>
      </c>
      <c r="R60" s="304">
        <v>0</v>
      </c>
      <c r="S60" s="304">
        <v>0</v>
      </c>
      <c r="T60" s="304">
        <v>0</v>
      </c>
      <c r="U60" s="304">
        <v>0</v>
      </c>
      <c r="V60" s="304">
        <v>0</v>
      </c>
      <c r="W60" s="304">
        <v>0</v>
      </c>
      <c r="X60" s="304">
        <v>0</v>
      </c>
      <c r="Y60" s="304">
        <v>0</v>
      </c>
      <c r="Z60" s="304">
        <v>0</v>
      </c>
      <c r="AA60" s="304">
        <v>0</v>
      </c>
      <c r="AB60" s="304">
        <f t="shared" si="1"/>
        <v>0</v>
      </c>
      <c r="AC60" s="303">
        <v>0</v>
      </c>
    </row>
    <row r="61" spans="1:29" x14ac:dyDescent="0.25">
      <c r="A61" s="79" t="s">
        <v>221</v>
      </c>
      <c r="B61" s="80" t="s">
        <v>161</v>
      </c>
      <c r="C61" s="310">
        <v>0</v>
      </c>
      <c r="D61" s="303">
        <v>0</v>
      </c>
      <c r="E61" s="304">
        <f t="shared" si="2"/>
        <v>0</v>
      </c>
      <c r="F61" s="303">
        <v>0</v>
      </c>
      <c r="G61" s="304">
        <v>0</v>
      </c>
      <c r="H61" s="304">
        <v>0</v>
      </c>
      <c r="I61" s="304">
        <v>0</v>
      </c>
      <c r="J61" s="304">
        <v>0</v>
      </c>
      <c r="K61" s="304">
        <v>0</v>
      </c>
      <c r="L61" s="304">
        <v>0</v>
      </c>
      <c r="M61" s="304">
        <v>0</v>
      </c>
      <c r="N61" s="304">
        <v>0</v>
      </c>
      <c r="O61" s="304">
        <v>0</v>
      </c>
      <c r="P61" s="304">
        <v>0</v>
      </c>
      <c r="Q61" s="304">
        <v>0</v>
      </c>
      <c r="R61" s="304">
        <v>0</v>
      </c>
      <c r="S61" s="304">
        <v>0</v>
      </c>
      <c r="T61" s="304">
        <v>0</v>
      </c>
      <c r="U61" s="304">
        <v>0</v>
      </c>
      <c r="V61" s="304">
        <v>0</v>
      </c>
      <c r="W61" s="304">
        <v>0</v>
      </c>
      <c r="X61" s="304">
        <v>0</v>
      </c>
      <c r="Y61" s="304">
        <v>0</v>
      </c>
      <c r="Z61" s="304">
        <v>0</v>
      </c>
      <c r="AA61" s="304">
        <v>0</v>
      </c>
      <c r="AB61" s="304">
        <f t="shared" si="1"/>
        <v>0</v>
      </c>
      <c r="AC61" s="303">
        <v>0</v>
      </c>
    </row>
    <row r="62" spans="1:29" x14ac:dyDescent="0.25">
      <c r="A62" s="79" t="s">
        <v>222</v>
      </c>
      <c r="B62" s="80" t="s">
        <v>159</v>
      </c>
      <c r="C62" s="310">
        <v>0</v>
      </c>
      <c r="D62" s="303">
        <v>0</v>
      </c>
      <c r="E62" s="304">
        <f t="shared" si="2"/>
        <v>0</v>
      </c>
      <c r="F62" s="303">
        <v>0</v>
      </c>
      <c r="G62" s="304">
        <v>0</v>
      </c>
      <c r="H62" s="304">
        <v>0</v>
      </c>
      <c r="I62" s="304">
        <v>0</v>
      </c>
      <c r="J62" s="304">
        <v>0</v>
      </c>
      <c r="K62" s="304">
        <v>0</v>
      </c>
      <c r="L62" s="304">
        <v>0</v>
      </c>
      <c r="M62" s="304">
        <v>0</v>
      </c>
      <c r="N62" s="304">
        <v>0</v>
      </c>
      <c r="O62" s="304">
        <v>0</v>
      </c>
      <c r="P62" s="304">
        <v>0</v>
      </c>
      <c r="Q62" s="304">
        <v>0</v>
      </c>
      <c r="R62" s="304">
        <v>0</v>
      </c>
      <c r="S62" s="304">
        <v>0</v>
      </c>
      <c r="T62" s="304">
        <v>0</v>
      </c>
      <c r="U62" s="304">
        <v>0</v>
      </c>
      <c r="V62" s="304">
        <v>0</v>
      </c>
      <c r="W62" s="304">
        <v>0</v>
      </c>
      <c r="X62" s="304">
        <v>0</v>
      </c>
      <c r="Y62" s="304">
        <v>0</v>
      </c>
      <c r="Z62" s="304">
        <v>0</v>
      </c>
      <c r="AA62" s="304">
        <v>0</v>
      </c>
      <c r="AB62" s="304">
        <f t="shared" si="1"/>
        <v>0</v>
      </c>
      <c r="AC62" s="303">
        <v>0</v>
      </c>
    </row>
    <row r="63" spans="1:29" x14ac:dyDescent="0.25">
      <c r="A63" s="79" t="s">
        <v>223</v>
      </c>
      <c r="B63" s="80" t="s">
        <v>225</v>
      </c>
      <c r="C63" s="310">
        <v>0</v>
      </c>
      <c r="D63" s="303">
        <v>0</v>
      </c>
      <c r="E63" s="304">
        <f t="shared" si="2"/>
        <v>0</v>
      </c>
      <c r="F63" s="303">
        <v>0</v>
      </c>
      <c r="G63" s="304">
        <v>0</v>
      </c>
      <c r="H63" s="304">
        <v>0</v>
      </c>
      <c r="I63" s="304">
        <v>0</v>
      </c>
      <c r="J63" s="304">
        <v>0</v>
      </c>
      <c r="K63" s="304">
        <v>0</v>
      </c>
      <c r="L63" s="304">
        <v>0</v>
      </c>
      <c r="M63" s="304">
        <v>0</v>
      </c>
      <c r="N63" s="304">
        <v>0</v>
      </c>
      <c r="O63" s="304">
        <v>0</v>
      </c>
      <c r="P63" s="304">
        <v>0</v>
      </c>
      <c r="Q63" s="304">
        <v>0</v>
      </c>
      <c r="R63" s="304">
        <v>0</v>
      </c>
      <c r="S63" s="304">
        <v>0</v>
      </c>
      <c r="T63" s="304">
        <v>0</v>
      </c>
      <c r="U63" s="304">
        <v>0</v>
      </c>
      <c r="V63" s="304">
        <v>0</v>
      </c>
      <c r="W63" s="304">
        <v>0</v>
      </c>
      <c r="X63" s="304">
        <v>0</v>
      </c>
      <c r="Y63" s="304">
        <v>0</v>
      </c>
      <c r="Z63" s="304">
        <v>0</v>
      </c>
      <c r="AA63" s="304">
        <v>0</v>
      </c>
      <c r="AB63" s="304">
        <f t="shared" si="1"/>
        <v>0</v>
      </c>
      <c r="AC63" s="303">
        <v>0</v>
      </c>
    </row>
    <row r="64" spans="1:29" ht="18.75" x14ac:dyDescent="0.25">
      <c r="A64" s="79" t="s">
        <v>224</v>
      </c>
      <c r="B64" s="78" t="s">
        <v>137</v>
      </c>
      <c r="C64" s="308">
        <v>0</v>
      </c>
      <c r="D64" s="303">
        <v>0</v>
      </c>
      <c r="E64" s="304">
        <f t="shared" si="2"/>
        <v>0</v>
      </c>
      <c r="F64" s="303">
        <v>0</v>
      </c>
      <c r="G64" s="304">
        <v>0</v>
      </c>
      <c r="H64" s="304">
        <v>0</v>
      </c>
      <c r="I64" s="304">
        <v>0</v>
      </c>
      <c r="J64" s="304">
        <v>0</v>
      </c>
      <c r="K64" s="304">
        <v>0</v>
      </c>
      <c r="L64" s="304">
        <v>0</v>
      </c>
      <c r="M64" s="304">
        <v>0</v>
      </c>
      <c r="N64" s="304">
        <v>0</v>
      </c>
      <c r="O64" s="304">
        <v>0</v>
      </c>
      <c r="P64" s="304">
        <v>0</v>
      </c>
      <c r="Q64" s="304">
        <v>0</v>
      </c>
      <c r="R64" s="304">
        <v>0</v>
      </c>
      <c r="S64" s="304">
        <v>0</v>
      </c>
      <c r="T64" s="304">
        <v>0</v>
      </c>
      <c r="U64" s="304">
        <v>0</v>
      </c>
      <c r="V64" s="304">
        <v>0</v>
      </c>
      <c r="W64" s="304">
        <v>0</v>
      </c>
      <c r="X64" s="304">
        <v>0</v>
      </c>
      <c r="Y64" s="304">
        <v>0</v>
      </c>
      <c r="Z64" s="304">
        <v>0</v>
      </c>
      <c r="AA64" s="304">
        <v>0</v>
      </c>
      <c r="AB64" s="304">
        <f t="shared" si="1"/>
        <v>0</v>
      </c>
      <c r="AC64" s="303">
        <v>0</v>
      </c>
    </row>
    <row r="65" spans="1:28" x14ac:dyDescent="0.25">
      <c r="A65" s="75"/>
      <c r="B65" s="76"/>
      <c r="C65" s="76"/>
      <c r="D65" s="298"/>
      <c r="E65" s="76"/>
      <c r="F65" s="298"/>
      <c r="G65" s="76"/>
      <c r="H65" s="76"/>
      <c r="I65" s="76"/>
      <c r="J65" s="76"/>
      <c r="K65" s="76"/>
      <c r="L65" s="75"/>
      <c r="M65" s="75"/>
      <c r="N65" s="66"/>
      <c r="O65" s="66"/>
      <c r="P65" s="66"/>
      <c r="Q65" s="66"/>
      <c r="R65" s="66"/>
      <c r="S65" s="66"/>
      <c r="T65" s="247"/>
      <c r="U65" s="247"/>
      <c r="V65" s="247"/>
      <c r="W65" s="247"/>
      <c r="X65" s="247"/>
      <c r="Y65" s="247"/>
      <c r="Z65" s="247"/>
      <c r="AA65" s="247"/>
      <c r="AB65" s="66"/>
    </row>
    <row r="66" spans="1:28" ht="54" customHeight="1" x14ac:dyDescent="0.25">
      <c r="A66" s="66"/>
      <c r="B66" s="406"/>
      <c r="C66" s="406"/>
      <c r="D66" s="406"/>
      <c r="E66" s="406"/>
      <c r="F66" s="406"/>
      <c r="G66" s="406"/>
      <c r="H66" s="406"/>
      <c r="I66" s="406"/>
      <c r="J66" s="70"/>
      <c r="K66" s="70"/>
      <c r="L66" s="74"/>
      <c r="M66" s="74"/>
      <c r="N66" s="74"/>
      <c r="O66" s="74"/>
      <c r="P66" s="74"/>
      <c r="Q66" s="74"/>
      <c r="R66" s="74"/>
      <c r="S66" s="74"/>
      <c r="T66" s="248"/>
      <c r="U66" s="248"/>
      <c r="V66" s="248"/>
      <c r="W66" s="248"/>
      <c r="X66" s="248"/>
      <c r="Y66" s="248"/>
      <c r="Z66" s="248"/>
      <c r="AA66" s="248"/>
      <c r="AB66" s="74"/>
    </row>
    <row r="67" spans="1:28" x14ac:dyDescent="0.25">
      <c r="A67" s="66"/>
      <c r="B67" s="66"/>
      <c r="C67" s="66"/>
      <c r="D67" s="296"/>
      <c r="E67" s="66"/>
      <c r="F67" s="296"/>
      <c r="L67" s="66"/>
      <c r="M67" s="66"/>
      <c r="N67" s="66"/>
      <c r="O67" s="66"/>
      <c r="P67" s="66"/>
      <c r="Q67" s="66"/>
      <c r="R67" s="66"/>
      <c r="S67" s="66"/>
      <c r="T67" s="247"/>
      <c r="U67" s="247"/>
      <c r="V67" s="247"/>
      <c r="W67" s="247"/>
      <c r="X67" s="247"/>
      <c r="Y67" s="247"/>
      <c r="Z67" s="247"/>
      <c r="AA67" s="247"/>
      <c r="AB67" s="66"/>
    </row>
    <row r="68" spans="1:28" ht="50.25" customHeight="1" x14ac:dyDescent="0.25">
      <c r="A68" s="66"/>
      <c r="B68" s="407"/>
      <c r="C68" s="407"/>
      <c r="D68" s="407"/>
      <c r="E68" s="407"/>
      <c r="F68" s="407"/>
      <c r="G68" s="407"/>
      <c r="H68" s="407"/>
      <c r="I68" s="407"/>
      <c r="J68" s="71"/>
      <c r="K68" s="71"/>
      <c r="L68" s="66"/>
      <c r="M68" s="66"/>
      <c r="N68" s="66"/>
      <c r="O68" s="66"/>
      <c r="P68" s="66"/>
      <c r="Q68" s="66"/>
      <c r="R68" s="66"/>
      <c r="S68" s="66"/>
      <c r="T68" s="247"/>
      <c r="U68" s="247"/>
      <c r="V68" s="247"/>
      <c r="W68" s="247"/>
      <c r="X68" s="247"/>
      <c r="Y68" s="247"/>
      <c r="Z68" s="247"/>
      <c r="AA68" s="247"/>
      <c r="AB68" s="66"/>
    </row>
    <row r="69" spans="1:28" x14ac:dyDescent="0.25">
      <c r="A69" s="66"/>
      <c r="B69" s="66"/>
      <c r="C69" s="66"/>
      <c r="D69" s="296"/>
      <c r="E69" s="66"/>
      <c r="F69" s="296"/>
      <c r="L69" s="66"/>
      <c r="M69" s="66"/>
      <c r="N69" s="66"/>
      <c r="O69" s="66"/>
      <c r="P69" s="66"/>
      <c r="Q69" s="66"/>
      <c r="R69" s="66"/>
      <c r="S69" s="66"/>
      <c r="T69" s="247"/>
      <c r="U69" s="247"/>
      <c r="V69" s="247"/>
      <c r="W69" s="247"/>
      <c r="X69" s="247"/>
      <c r="Y69" s="247"/>
      <c r="Z69" s="247"/>
      <c r="AA69" s="247"/>
      <c r="AB69" s="66"/>
    </row>
    <row r="70" spans="1:28" ht="36.75" customHeight="1" x14ac:dyDescent="0.25">
      <c r="A70" s="66"/>
      <c r="B70" s="406"/>
      <c r="C70" s="406"/>
      <c r="D70" s="406"/>
      <c r="E70" s="406"/>
      <c r="F70" s="406"/>
      <c r="G70" s="406"/>
      <c r="H70" s="406"/>
      <c r="I70" s="406"/>
      <c r="J70" s="70"/>
      <c r="K70" s="70"/>
      <c r="L70" s="66"/>
      <c r="M70" s="66"/>
      <c r="N70" s="66"/>
      <c r="O70" s="66"/>
      <c r="P70" s="66"/>
      <c r="Q70" s="66"/>
      <c r="R70" s="66"/>
      <c r="S70" s="66"/>
      <c r="T70" s="247"/>
      <c r="U70" s="247"/>
      <c r="V70" s="247"/>
      <c r="W70" s="247"/>
      <c r="X70" s="247"/>
      <c r="Y70" s="247"/>
      <c r="Z70" s="247"/>
      <c r="AA70" s="247"/>
      <c r="AB70" s="66"/>
    </row>
    <row r="71" spans="1:28" x14ac:dyDescent="0.25">
      <c r="A71" s="66"/>
      <c r="B71" s="73"/>
      <c r="C71" s="73"/>
      <c r="D71" s="299"/>
      <c r="E71" s="73"/>
      <c r="F71" s="299"/>
      <c r="L71" s="66"/>
      <c r="M71" s="66"/>
      <c r="N71" s="72"/>
      <c r="O71" s="66"/>
      <c r="P71" s="66"/>
      <c r="Q71" s="66"/>
      <c r="R71" s="66"/>
      <c r="S71" s="66"/>
      <c r="T71" s="247"/>
      <c r="U71" s="247"/>
      <c r="V71" s="247"/>
      <c r="W71" s="247"/>
      <c r="X71" s="247"/>
      <c r="Y71" s="247"/>
      <c r="Z71" s="247"/>
      <c r="AA71" s="247"/>
      <c r="AB71" s="66"/>
    </row>
    <row r="72" spans="1:28" ht="51" customHeight="1" x14ac:dyDescent="0.25">
      <c r="A72" s="66"/>
      <c r="B72" s="406"/>
      <c r="C72" s="406"/>
      <c r="D72" s="406"/>
      <c r="E72" s="406"/>
      <c r="F72" s="406"/>
      <c r="G72" s="406"/>
      <c r="H72" s="406"/>
      <c r="I72" s="406"/>
      <c r="J72" s="70"/>
      <c r="K72" s="70"/>
      <c r="L72" s="66"/>
      <c r="M72" s="66"/>
      <c r="N72" s="72"/>
      <c r="O72" s="66"/>
      <c r="P72" s="66"/>
      <c r="Q72" s="66"/>
      <c r="R72" s="66"/>
      <c r="S72" s="66"/>
      <c r="T72" s="247"/>
      <c r="U72" s="247"/>
      <c r="V72" s="247"/>
      <c r="W72" s="247"/>
      <c r="X72" s="247"/>
      <c r="Y72" s="247"/>
      <c r="Z72" s="247"/>
      <c r="AA72" s="247"/>
      <c r="AB72" s="66"/>
    </row>
    <row r="73" spans="1:28" ht="32.25" customHeight="1" x14ac:dyDescent="0.25">
      <c r="A73" s="66"/>
      <c r="B73" s="407"/>
      <c r="C73" s="407"/>
      <c r="D73" s="407"/>
      <c r="E73" s="407"/>
      <c r="F73" s="407"/>
      <c r="G73" s="407"/>
      <c r="H73" s="407"/>
      <c r="I73" s="407"/>
      <c r="J73" s="71"/>
      <c r="K73" s="71"/>
      <c r="L73" s="66"/>
      <c r="M73" s="66"/>
      <c r="N73" s="66"/>
      <c r="O73" s="66"/>
      <c r="P73" s="66"/>
      <c r="Q73" s="66"/>
      <c r="R73" s="66"/>
      <c r="S73" s="66"/>
      <c r="T73" s="247"/>
      <c r="U73" s="247"/>
      <c r="V73" s="247"/>
      <c r="W73" s="247"/>
      <c r="X73" s="247"/>
      <c r="Y73" s="247"/>
      <c r="Z73" s="247"/>
      <c r="AA73" s="247"/>
      <c r="AB73" s="66"/>
    </row>
    <row r="74" spans="1:28" ht="51.75" customHeight="1" x14ac:dyDescent="0.25">
      <c r="A74" s="66"/>
      <c r="B74" s="406"/>
      <c r="C74" s="406"/>
      <c r="D74" s="406"/>
      <c r="E74" s="406"/>
      <c r="F74" s="406"/>
      <c r="G74" s="406"/>
      <c r="H74" s="406"/>
      <c r="I74" s="406"/>
      <c r="J74" s="70"/>
      <c r="K74" s="70"/>
      <c r="L74" s="66"/>
      <c r="M74" s="66"/>
      <c r="N74" s="66"/>
      <c r="O74" s="66"/>
      <c r="P74" s="66"/>
      <c r="Q74" s="66"/>
      <c r="R74" s="66"/>
      <c r="S74" s="66"/>
      <c r="T74" s="247"/>
      <c r="U74" s="247"/>
      <c r="V74" s="247"/>
      <c r="W74" s="247"/>
      <c r="X74" s="247"/>
      <c r="Y74" s="247"/>
      <c r="Z74" s="247"/>
      <c r="AA74" s="247"/>
      <c r="AB74" s="66"/>
    </row>
    <row r="75" spans="1:28" ht="21.75" customHeight="1" x14ac:dyDescent="0.25">
      <c r="A75" s="66"/>
      <c r="B75" s="404"/>
      <c r="C75" s="404"/>
      <c r="D75" s="404"/>
      <c r="E75" s="404"/>
      <c r="F75" s="404"/>
      <c r="G75" s="404"/>
      <c r="H75" s="404"/>
      <c r="I75" s="404"/>
      <c r="J75" s="69"/>
      <c r="K75" s="69"/>
      <c r="L75" s="68"/>
      <c r="M75" s="68"/>
      <c r="N75" s="66"/>
      <c r="O75" s="66"/>
      <c r="P75" s="66"/>
      <c r="Q75" s="66"/>
      <c r="R75" s="66"/>
      <c r="S75" s="66"/>
      <c r="T75" s="247"/>
      <c r="U75" s="247"/>
      <c r="V75" s="247"/>
      <c r="W75" s="247"/>
      <c r="X75" s="247"/>
      <c r="Y75" s="247"/>
      <c r="Z75" s="247"/>
      <c r="AA75" s="247"/>
      <c r="AB75" s="66"/>
    </row>
    <row r="76" spans="1:28" ht="23.25" customHeight="1" x14ac:dyDescent="0.25">
      <c r="A76" s="66"/>
      <c r="B76" s="68"/>
      <c r="C76" s="68"/>
      <c r="D76" s="300"/>
      <c r="E76" s="68"/>
      <c r="F76" s="300"/>
      <c r="L76" s="66"/>
      <c r="M76" s="66"/>
      <c r="N76" s="66"/>
      <c r="O76" s="66"/>
      <c r="P76" s="66"/>
      <c r="Q76" s="66"/>
      <c r="R76" s="66"/>
      <c r="S76" s="66"/>
      <c r="T76" s="247"/>
      <c r="U76" s="247"/>
      <c r="V76" s="247"/>
      <c r="W76" s="247"/>
      <c r="X76" s="247"/>
      <c r="Y76" s="247"/>
      <c r="Z76" s="247"/>
      <c r="AA76" s="247"/>
      <c r="AB76" s="66"/>
    </row>
    <row r="77" spans="1:28" ht="18.75" customHeight="1" x14ac:dyDescent="0.25">
      <c r="A77" s="66"/>
      <c r="B77" s="405"/>
      <c r="C77" s="405"/>
      <c r="D77" s="405"/>
      <c r="E77" s="405"/>
      <c r="F77" s="405"/>
      <c r="G77" s="405"/>
      <c r="H77" s="405"/>
      <c r="I77" s="405"/>
      <c r="J77" s="67"/>
      <c r="K77" s="67"/>
      <c r="L77" s="66"/>
      <c r="M77" s="66"/>
      <c r="N77" s="66"/>
      <c r="O77" s="66"/>
      <c r="P77" s="66"/>
      <c r="Q77" s="66"/>
      <c r="R77" s="66"/>
      <c r="S77" s="66"/>
      <c r="T77" s="247"/>
      <c r="U77" s="247"/>
      <c r="V77" s="247"/>
      <c r="W77" s="247"/>
      <c r="X77" s="247"/>
      <c r="Y77" s="247"/>
      <c r="Z77" s="247"/>
      <c r="AA77" s="247"/>
      <c r="AB77" s="66"/>
    </row>
    <row r="78" spans="1:28" x14ac:dyDescent="0.25">
      <c r="A78" s="66"/>
      <c r="B78" s="66"/>
      <c r="C78" s="66"/>
      <c r="D78" s="296"/>
      <c r="E78" s="66"/>
      <c r="F78" s="296"/>
      <c r="L78" s="66"/>
      <c r="M78" s="66"/>
      <c r="N78" s="66"/>
      <c r="O78" s="66"/>
      <c r="P78" s="66"/>
      <c r="Q78" s="66"/>
      <c r="R78" s="66"/>
      <c r="S78" s="66"/>
      <c r="T78" s="247"/>
      <c r="U78" s="247"/>
      <c r="V78" s="247"/>
      <c r="W78" s="247"/>
      <c r="X78" s="247"/>
      <c r="Y78" s="247"/>
      <c r="Z78" s="247"/>
      <c r="AA78" s="247"/>
      <c r="AB78" s="66"/>
    </row>
    <row r="79" spans="1:28" x14ac:dyDescent="0.25">
      <c r="A79" s="66"/>
      <c r="B79" s="66"/>
      <c r="C79" s="66"/>
      <c r="D79" s="296"/>
      <c r="E79" s="66"/>
      <c r="F79" s="296"/>
      <c r="L79" s="66"/>
      <c r="M79" s="66"/>
      <c r="N79" s="66"/>
      <c r="O79" s="66"/>
      <c r="P79" s="66"/>
      <c r="Q79" s="66"/>
      <c r="R79" s="66"/>
      <c r="S79" s="66"/>
      <c r="T79" s="247"/>
      <c r="U79" s="247"/>
      <c r="V79" s="247"/>
      <c r="W79" s="247"/>
      <c r="X79" s="247"/>
      <c r="Y79" s="247"/>
      <c r="Z79" s="247"/>
      <c r="AA79" s="247"/>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7:G27 I27:AC27 N26:N29 C24:AC26 E24:E34 C28:AC64 AC25:AC64">
    <cfRule type="cellIs" dxfId="1" priority="2" operator="notEqual">
      <formula>0</formula>
    </cfRule>
  </conditionalFormatting>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SheetLayoutView="100" workbookViewId="0">
      <selection activeCell="N32" sqref="N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0.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5"/>
    </row>
    <row r="7" spans="1:48" ht="18.75" x14ac:dyDescent="0.25">
      <c r="A7" s="330" t="s">
        <v>10</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ht="15.75" x14ac:dyDescent="0.25">
      <c r="A9" s="333" t="str">
        <f>'1. паспорт местоположение'!A9:C9</f>
        <v xml:space="preserve">                         АО "Янтарьэнерго"                         </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27" t="s">
        <v>9</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ht="15.75" x14ac:dyDescent="0.25">
      <c r="A12" s="333" t="str">
        <f>'1. паспорт местоположение'!A12:C12</f>
        <v>А_prj_111001_2484</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27" t="s">
        <v>8</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ht="15.75" x14ac:dyDescent="0.25">
      <c r="A15" s="338" t="str">
        <f>'1. паспорт местоположение'!A15:C15</f>
        <v xml:space="preserve">Расширение ПС 110/15кВ О-47 "Борисово" </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row>
    <row r="18" spans="1:48" ht="14.25" customHeight="1"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row>
    <row r="19" spans="1:4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row>
    <row r="20" spans="1:48" s="24"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24" customFormat="1" x14ac:dyDescent="0.25">
      <c r="A21" s="434" t="s">
        <v>434</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4" customFormat="1" ht="58.5" customHeight="1" x14ac:dyDescent="0.25">
      <c r="A22" s="425" t="s">
        <v>53</v>
      </c>
      <c r="B22" s="436" t="s">
        <v>25</v>
      </c>
      <c r="C22" s="425" t="s">
        <v>52</v>
      </c>
      <c r="D22" s="425" t="s">
        <v>51</v>
      </c>
      <c r="E22" s="439" t="s">
        <v>444</v>
      </c>
      <c r="F22" s="440"/>
      <c r="G22" s="440"/>
      <c r="H22" s="440"/>
      <c r="I22" s="440"/>
      <c r="J22" s="440"/>
      <c r="K22" s="440"/>
      <c r="L22" s="441"/>
      <c r="M22" s="425" t="s">
        <v>50</v>
      </c>
      <c r="N22" s="425" t="s">
        <v>49</v>
      </c>
      <c r="O22" s="425" t="s">
        <v>48</v>
      </c>
      <c r="P22" s="420" t="s">
        <v>234</v>
      </c>
      <c r="Q22" s="420" t="s">
        <v>47</v>
      </c>
      <c r="R22" s="420" t="s">
        <v>46</v>
      </c>
      <c r="S22" s="420" t="s">
        <v>45</v>
      </c>
      <c r="T22" s="420"/>
      <c r="U22" s="442" t="s">
        <v>44</v>
      </c>
      <c r="V22" s="442" t="s">
        <v>43</v>
      </c>
      <c r="W22" s="420" t="s">
        <v>42</v>
      </c>
      <c r="X22" s="420" t="s">
        <v>41</v>
      </c>
      <c r="Y22" s="420" t="s">
        <v>40</v>
      </c>
      <c r="Z22" s="427" t="s">
        <v>39</v>
      </c>
      <c r="AA22" s="420" t="s">
        <v>38</v>
      </c>
      <c r="AB22" s="420" t="s">
        <v>37</v>
      </c>
      <c r="AC22" s="420" t="s">
        <v>36</v>
      </c>
      <c r="AD22" s="420" t="s">
        <v>35</v>
      </c>
      <c r="AE22" s="420" t="s">
        <v>34</v>
      </c>
      <c r="AF22" s="420" t="s">
        <v>33</v>
      </c>
      <c r="AG22" s="420"/>
      <c r="AH22" s="420"/>
      <c r="AI22" s="420"/>
      <c r="AJ22" s="420"/>
      <c r="AK22" s="420"/>
      <c r="AL22" s="420" t="s">
        <v>32</v>
      </c>
      <c r="AM22" s="420"/>
      <c r="AN22" s="420"/>
      <c r="AO22" s="420"/>
      <c r="AP22" s="420" t="s">
        <v>31</v>
      </c>
      <c r="AQ22" s="420"/>
      <c r="AR22" s="420" t="s">
        <v>30</v>
      </c>
      <c r="AS22" s="420" t="s">
        <v>29</v>
      </c>
      <c r="AT22" s="420" t="s">
        <v>28</v>
      </c>
      <c r="AU22" s="420" t="s">
        <v>27</v>
      </c>
      <c r="AV22" s="428" t="s">
        <v>26</v>
      </c>
    </row>
    <row r="23" spans="1:48" s="24" customFormat="1" ht="64.5" customHeight="1" x14ac:dyDescent="0.25">
      <c r="A23" s="435"/>
      <c r="B23" s="437"/>
      <c r="C23" s="435"/>
      <c r="D23" s="435"/>
      <c r="E23" s="430" t="s">
        <v>24</v>
      </c>
      <c r="F23" s="421" t="s">
        <v>141</v>
      </c>
      <c r="G23" s="421" t="s">
        <v>140</v>
      </c>
      <c r="H23" s="421" t="s">
        <v>139</v>
      </c>
      <c r="I23" s="423" t="s">
        <v>380</v>
      </c>
      <c r="J23" s="423" t="s">
        <v>381</v>
      </c>
      <c r="K23" s="423" t="s">
        <v>382</v>
      </c>
      <c r="L23" s="421" t="s">
        <v>81</v>
      </c>
      <c r="M23" s="435"/>
      <c r="N23" s="435"/>
      <c r="O23" s="435"/>
      <c r="P23" s="420"/>
      <c r="Q23" s="420"/>
      <c r="R23" s="420"/>
      <c r="S23" s="432" t="s">
        <v>3</v>
      </c>
      <c r="T23" s="432" t="s">
        <v>12</v>
      </c>
      <c r="U23" s="442"/>
      <c r="V23" s="442"/>
      <c r="W23" s="420"/>
      <c r="X23" s="420"/>
      <c r="Y23" s="420"/>
      <c r="Z23" s="420"/>
      <c r="AA23" s="420"/>
      <c r="AB23" s="420"/>
      <c r="AC23" s="420"/>
      <c r="AD23" s="420"/>
      <c r="AE23" s="420"/>
      <c r="AF23" s="420" t="s">
        <v>23</v>
      </c>
      <c r="AG23" s="420"/>
      <c r="AH23" s="420" t="s">
        <v>22</v>
      </c>
      <c r="AI23" s="420"/>
      <c r="AJ23" s="425" t="s">
        <v>21</v>
      </c>
      <c r="AK23" s="425" t="s">
        <v>20</v>
      </c>
      <c r="AL23" s="425" t="s">
        <v>19</v>
      </c>
      <c r="AM23" s="425" t="s">
        <v>18</v>
      </c>
      <c r="AN23" s="425" t="s">
        <v>17</v>
      </c>
      <c r="AO23" s="425" t="s">
        <v>16</v>
      </c>
      <c r="AP23" s="425" t="s">
        <v>15</v>
      </c>
      <c r="AQ23" s="443" t="s">
        <v>12</v>
      </c>
      <c r="AR23" s="420"/>
      <c r="AS23" s="420"/>
      <c r="AT23" s="420"/>
      <c r="AU23" s="420"/>
      <c r="AV23" s="429"/>
    </row>
    <row r="24" spans="1:48" s="24" customFormat="1" ht="96.75" customHeight="1" x14ac:dyDescent="0.25">
      <c r="A24" s="426"/>
      <c r="B24" s="438"/>
      <c r="C24" s="426"/>
      <c r="D24" s="426"/>
      <c r="E24" s="431"/>
      <c r="F24" s="422"/>
      <c r="G24" s="422"/>
      <c r="H24" s="422"/>
      <c r="I24" s="424"/>
      <c r="J24" s="424"/>
      <c r="K24" s="424"/>
      <c r="L24" s="422"/>
      <c r="M24" s="426"/>
      <c r="N24" s="426"/>
      <c r="O24" s="426"/>
      <c r="P24" s="420"/>
      <c r="Q24" s="420"/>
      <c r="R24" s="420"/>
      <c r="S24" s="433"/>
      <c r="T24" s="433"/>
      <c r="U24" s="442"/>
      <c r="V24" s="442"/>
      <c r="W24" s="420"/>
      <c r="X24" s="420"/>
      <c r="Y24" s="420"/>
      <c r="Z24" s="420"/>
      <c r="AA24" s="420"/>
      <c r="AB24" s="420"/>
      <c r="AC24" s="420"/>
      <c r="AD24" s="420"/>
      <c r="AE24" s="420"/>
      <c r="AF24" s="160" t="s">
        <v>14</v>
      </c>
      <c r="AG24" s="160" t="s">
        <v>13</v>
      </c>
      <c r="AH24" s="161" t="s">
        <v>3</v>
      </c>
      <c r="AI24" s="161" t="s">
        <v>12</v>
      </c>
      <c r="AJ24" s="426"/>
      <c r="AK24" s="426"/>
      <c r="AL24" s="426"/>
      <c r="AM24" s="426"/>
      <c r="AN24" s="426"/>
      <c r="AO24" s="426"/>
      <c r="AP24" s="426"/>
      <c r="AQ24" s="444"/>
      <c r="AR24" s="420"/>
      <c r="AS24" s="420"/>
      <c r="AT24" s="420"/>
      <c r="AU24" s="420"/>
      <c r="AV24" s="42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44.25" customHeight="1" x14ac:dyDescent="0.2">
      <c r="A26" s="22">
        <v>1</v>
      </c>
      <c r="B26" s="21" t="s">
        <v>463</v>
      </c>
      <c r="C26" s="21"/>
      <c r="D26" s="22">
        <v>2016</v>
      </c>
      <c r="E26" s="22"/>
      <c r="F26" s="22"/>
      <c r="G26" s="22"/>
      <c r="H26" s="22"/>
      <c r="I26" s="22"/>
      <c r="J26" s="22"/>
      <c r="K26" s="22"/>
      <c r="L26" s="22"/>
      <c r="M26" s="21"/>
      <c r="N26" s="313" t="s">
        <v>600</v>
      </c>
      <c r="O26" s="314" t="s">
        <v>603</v>
      </c>
      <c r="P26" s="315">
        <v>423.5</v>
      </c>
      <c r="Q26" s="313" t="s">
        <v>604</v>
      </c>
      <c r="R26" s="315">
        <v>410.86700000000002</v>
      </c>
      <c r="S26" s="313" t="s">
        <v>605</v>
      </c>
      <c r="T26" s="313" t="s">
        <v>605</v>
      </c>
      <c r="U26" s="313" t="s">
        <v>66</v>
      </c>
      <c r="V26" s="313" t="s">
        <v>66</v>
      </c>
      <c r="W26" s="313" t="s">
        <v>606</v>
      </c>
      <c r="X26" s="315">
        <v>143</v>
      </c>
      <c r="Y26" s="313" t="s">
        <v>606</v>
      </c>
      <c r="Z26" s="313"/>
      <c r="AA26" s="315"/>
      <c r="AB26" s="316"/>
      <c r="AC26" s="313"/>
      <c r="AD26" s="316"/>
      <c r="AE26" s="316"/>
      <c r="AF26" s="313" t="s">
        <v>607</v>
      </c>
      <c r="AG26" s="313" t="s">
        <v>608</v>
      </c>
      <c r="AH26" s="313" t="s">
        <v>609</v>
      </c>
      <c r="AI26" s="317" t="s">
        <v>609</v>
      </c>
      <c r="AJ26" s="313" t="s">
        <v>610</v>
      </c>
      <c r="AK26" s="313" t="s">
        <v>611</v>
      </c>
      <c r="AL26" s="313"/>
      <c r="AM26" s="313"/>
      <c r="AN26" s="313"/>
      <c r="AO26" s="313"/>
      <c r="AP26" s="313"/>
      <c r="AQ26" s="313"/>
      <c r="AR26" s="313"/>
      <c r="AS26" s="313"/>
      <c r="AT26" s="313"/>
      <c r="AU26" s="318"/>
      <c r="AV26" s="313" t="s">
        <v>612</v>
      </c>
    </row>
    <row r="27" spans="1:48" ht="42" customHeight="1" x14ac:dyDescent="0.25">
      <c r="A27" s="22">
        <v>2</v>
      </c>
      <c r="B27" s="21" t="s">
        <v>463</v>
      </c>
      <c r="C27" s="312"/>
      <c r="D27" s="22">
        <v>2016</v>
      </c>
      <c r="E27" s="312"/>
      <c r="F27" s="312"/>
      <c r="G27" s="312"/>
      <c r="H27" s="312"/>
      <c r="I27" s="312"/>
      <c r="J27" s="312"/>
      <c r="K27" s="312"/>
      <c r="L27" s="312"/>
      <c r="M27" s="312"/>
      <c r="N27" s="313" t="s">
        <v>601</v>
      </c>
      <c r="O27" s="314" t="s">
        <v>603</v>
      </c>
      <c r="P27" s="315">
        <v>6385.3540000000003</v>
      </c>
      <c r="Q27" s="313" t="s">
        <v>604</v>
      </c>
      <c r="R27" s="315">
        <v>6123.7529999999997</v>
      </c>
      <c r="S27" s="313" t="s">
        <v>613</v>
      </c>
      <c r="T27" s="313" t="s">
        <v>614</v>
      </c>
      <c r="U27" s="313" t="s">
        <v>66</v>
      </c>
      <c r="V27" s="313" t="s">
        <v>66</v>
      </c>
      <c r="W27" s="313" t="s">
        <v>615</v>
      </c>
      <c r="X27" s="315">
        <v>6120</v>
      </c>
      <c r="Y27" s="313"/>
      <c r="Z27" s="313"/>
      <c r="AA27" s="315"/>
      <c r="AB27" s="316">
        <v>6120</v>
      </c>
      <c r="AC27" s="313" t="s">
        <v>615</v>
      </c>
      <c r="AD27" s="316">
        <v>7221.5999999999995</v>
      </c>
      <c r="AE27" s="316">
        <v>7221.5999999999995</v>
      </c>
      <c r="AF27" s="313" t="s">
        <v>616</v>
      </c>
      <c r="AG27" s="313" t="s">
        <v>608</v>
      </c>
      <c r="AH27" s="313" t="s">
        <v>617</v>
      </c>
      <c r="AI27" s="317">
        <v>42482</v>
      </c>
      <c r="AJ27" s="313" t="s">
        <v>618</v>
      </c>
      <c r="AK27" s="317">
        <v>42528</v>
      </c>
      <c r="AL27" s="313" t="s">
        <v>619</v>
      </c>
      <c r="AM27" s="313" t="s">
        <v>620</v>
      </c>
      <c r="AN27" s="313" t="s">
        <v>621</v>
      </c>
      <c r="AO27" s="313" t="s">
        <v>622</v>
      </c>
      <c r="AP27" s="313" t="s">
        <v>623</v>
      </c>
      <c r="AQ27" s="313"/>
      <c r="AR27" s="313" t="s">
        <v>623</v>
      </c>
      <c r="AS27" s="313"/>
      <c r="AT27" s="313" t="s">
        <v>624</v>
      </c>
      <c r="AU27" s="318"/>
      <c r="AV27" s="313"/>
    </row>
    <row r="28" spans="1:48" ht="57" customHeight="1" x14ac:dyDescent="0.25">
      <c r="A28" s="22">
        <v>3</v>
      </c>
      <c r="B28" s="21" t="s">
        <v>463</v>
      </c>
      <c r="C28" s="312"/>
      <c r="D28" s="22">
        <v>2016</v>
      </c>
      <c r="E28" s="312"/>
      <c r="F28" s="312"/>
      <c r="G28" s="312"/>
      <c r="H28" s="312"/>
      <c r="I28" s="312"/>
      <c r="J28" s="312"/>
      <c r="K28" s="312"/>
      <c r="L28" s="312"/>
      <c r="M28" s="312"/>
      <c r="N28" s="313" t="s">
        <v>602</v>
      </c>
      <c r="O28" s="314" t="s">
        <v>603</v>
      </c>
      <c r="P28" s="315">
        <v>3081.2350000000001</v>
      </c>
      <c r="Q28" s="313" t="s">
        <v>604</v>
      </c>
      <c r="R28" s="315">
        <v>3081.2350000000001</v>
      </c>
      <c r="S28" s="313" t="s">
        <v>613</v>
      </c>
      <c r="T28" s="313" t="s">
        <v>614</v>
      </c>
      <c r="U28" s="313" t="s">
        <v>66</v>
      </c>
      <c r="V28" s="313" t="s">
        <v>66</v>
      </c>
      <c r="W28" s="313" t="s">
        <v>615</v>
      </c>
      <c r="X28" s="315">
        <v>2950</v>
      </c>
      <c r="Y28" s="313"/>
      <c r="Z28" s="313"/>
      <c r="AA28" s="315"/>
      <c r="AB28" s="316">
        <v>2950</v>
      </c>
      <c r="AC28" s="313" t="s">
        <v>615</v>
      </c>
      <c r="AD28" s="316">
        <v>3481</v>
      </c>
      <c r="AE28" s="316">
        <v>3481</v>
      </c>
      <c r="AF28" s="313" t="s">
        <v>625</v>
      </c>
      <c r="AG28" s="313" t="s">
        <v>608</v>
      </c>
      <c r="AH28" s="313" t="s">
        <v>617</v>
      </c>
      <c r="AI28" s="317">
        <v>42482</v>
      </c>
      <c r="AJ28" s="313" t="s">
        <v>618</v>
      </c>
      <c r="AK28" s="317">
        <v>42528</v>
      </c>
      <c r="AL28" s="313" t="s">
        <v>619</v>
      </c>
      <c r="AM28" s="313" t="s">
        <v>620</v>
      </c>
      <c r="AN28" s="313" t="s">
        <v>621</v>
      </c>
      <c r="AO28" s="313" t="s">
        <v>626</v>
      </c>
      <c r="AP28" s="313" t="s">
        <v>623</v>
      </c>
      <c r="AQ28" s="313" t="s">
        <v>627</v>
      </c>
      <c r="AR28" s="313" t="s">
        <v>623</v>
      </c>
      <c r="AS28" s="313" t="s">
        <v>627</v>
      </c>
      <c r="AT28" s="313" t="s">
        <v>628</v>
      </c>
      <c r="AU28" s="318"/>
      <c r="AV28" s="31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0" zoomScaleNormal="90" zoomScaleSheetLayoutView="100" workbookViewId="0">
      <selection activeCell="B27" sqref="B27"/>
    </sheetView>
  </sheetViews>
  <sheetFormatPr defaultRowHeight="15.75" x14ac:dyDescent="0.25"/>
  <cols>
    <col min="1" max="2" width="66.140625" style="129" customWidth="1"/>
    <col min="3" max="3" width="8.85546875" style="130" hidden="1" customWidth="1"/>
    <col min="4" max="4" width="0" style="130" hidden="1" customWidth="1"/>
    <col min="5"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2" t="s">
        <v>70</v>
      </c>
    </row>
    <row r="2" spans="1:8" ht="18.75" x14ac:dyDescent="0.3">
      <c r="B2" s="15" t="s">
        <v>11</v>
      </c>
    </row>
    <row r="3" spans="1:8" ht="18.75" x14ac:dyDescent="0.3">
      <c r="B3" s="15" t="s">
        <v>451</v>
      </c>
    </row>
    <row r="4" spans="1:8" x14ac:dyDescent="0.25">
      <c r="B4" s="47"/>
    </row>
    <row r="5" spans="1:8" ht="18.75" x14ac:dyDescent="0.3">
      <c r="A5" s="446" t="str">
        <f>'1. паспорт местоположение'!A5:C5</f>
        <v>Год раскрытия информации: 2016 год</v>
      </c>
      <c r="B5" s="446"/>
      <c r="C5" s="88"/>
      <c r="D5" s="88"/>
      <c r="E5" s="88"/>
      <c r="F5" s="88"/>
      <c r="G5" s="88"/>
      <c r="H5" s="88"/>
    </row>
    <row r="6" spans="1:8" ht="18.75" x14ac:dyDescent="0.3">
      <c r="A6" s="256"/>
      <c r="B6" s="256"/>
      <c r="C6" s="256"/>
      <c r="D6" s="256"/>
      <c r="E6" s="256"/>
      <c r="F6" s="256"/>
      <c r="G6" s="256"/>
      <c r="H6" s="256"/>
    </row>
    <row r="7" spans="1:8" ht="18.75" x14ac:dyDescent="0.25">
      <c r="A7" s="330" t="s">
        <v>10</v>
      </c>
      <c r="B7" s="330"/>
      <c r="C7" s="165"/>
      <c r="D7" s="165"/>
      <c r="E7" s="165"/>
      <c r="F7" s="165"/>
      <c r="G7" s="165"/>
      <c r="H7" s="165"/>
    </row>
    <row r="8" spans="1:8" ht="18.75" x14ac:dyDescent="0.25">
      <c r="A8" s="165"/>
      <c r="B8" s="165"/>
      <c r="C8" s="165"/>
      <c r="D8" s="165"/>
      <c r="E8" s="165"/>
      <c r="F8" s="165"/>
      <c r="G8" s="165"/>
      <c r="H8" s="165"/>
    </row>
    <row r="9" spans="1:8" x14ac:dyDescent="0.25">
      <c r="A9" s="447" t="str">
        <f>'1. паспорт местоположение'!A9:C9</f>
        <v xml:space="preserve">                         АО "Янтарьэнерго"                         </v>
      </c>
      <c r="B9" s="447"/>
      <c r="C9" s="166"/>
      <c r="D9" s="166"/>
      <c r="E9" s="166"/>
      <c r="F9" s="166"/>
      <c r="G9" s="166"/>
      <c r="H9" s="166"/>
    </row>
    <row r="10" spans="1:8" x14ac:dyDescent="0.25">
      <c r="A10" s="445" t="s">
        <v>9</v>
      </c>
      <c r="B10" s="445"/>
      <c r="C10" s="167"/>
      <c r="D10" s="167"/>
      <c r="E10" s="167"/>
      <c r="F10" s="167"/>
      <c r="G10" s="167"/>
      <c r="H10" s="167"/>
    </row>
    <row r="11" spans="1:8" ht="18.75" x14ac:dyDescent="0.25">
      <c r="A11" s="320"/>
      <c r="B11" s="320"/>
      <c r="C11" s="165"/>
      <c r="D11" s="165"/>
      <c r="E11" s="165"/>
      <c r="F11" s="165"/>
      <c r="G11" s="165"/>
      <c r="H11" s="165"/>
    </row>
    <row r="12" spans="1:8" ht="30.75" customHeight="1" x14ac:dyDescent="0.25">
      <c r="A12" s="447" t="str">
        <f>'1. паспорт местоположение'!A12:C12</f>
        <v>А_prj_111001_2484</v>
      </c>
      <c r="B12" s="447"/>
      <c r="C12" s="166"/>
      <c r="D12" s="166"/>
      <c r="E12" s="166"/>
      <c r="F12" s="166"/>
      <c r="G12" s="166"/>
      <c r="H12" s="166"/>
    </row>
    <row r="13" spans="1:8" x14ac:dyDescent="0.25">
      <c r="A13" s="445" t="s">
        <v>8</v>
      </c>
      <c r="B13" s="445"/>
      <c r="C13" s="167"/>
      <c r="D13" s="167"/>
      <c r="E13" s="167"/>
      <c r="F13" s="167"/>
      <c r="G13" s="167"/>
      <c r="H13" s="167"/>
    </row>
    <row r="14" spans="1:8" ht="18.75" x14ac:dyDescent="0.25">
      <c r="A14" s="321"/>
      <c r="B14" s="321"/>
      <c r="C14" s="11"/>
      <c r="D14" s="11"/>
      <c r="E14" s="11"/>
      <c r="F14" s="11"/>
      <c r="G14" s="11"/>
      <c r="H14" s="11"/>
    </row>
    <row r="15" spans="1:8" ht="63.6" customHeight="1" x14ac:dyDescent="0.25">
      <c r="A15" s="448" t="str">
        <f>'1. паспорт местоположение'!A15:C15</f>
        <v xml:space="preserve">Расширение ПС 110/15кВ О-47 "Борисово" </v>
      </c>
      <c r="B15" s="448"/>
      <c r="C15" s="166"/>
      <c r="D15" s="166"/>
      <c r="E15" s="166"/>
      <c r="F15" s="166"/>
      <c r="G15" s="166"/>
      <c r="H15" s="166"/>
    </row>
    <row r="16" spans="1:8" x14ac:dyDescent="0.25">
      <c r="A16" s="445" t="s">
        <v>7</v>
      </c>
      <c r="B16" s="445"/>
      <c r="C16" s="167"/>
      <c r="D16" s="167"/>
      <c r="E16" s="167"/>
      <c r="F16" s="167"/>
      <c r="G16" s="167"/>
      <c r="H16" s="167"/>
    </row>
    <row r="17" spans="1:2" x14ac:dyDescent="0.25">
      <c r="B17" s="131"/>
    </row>
    <row r="18" spans="1:2" ht="33.75" customHeight="1" x14ac:dyDescent="0.25">
      <c r="A18" s="449" t="s">
        <v>435</v>
      </c>
      <c r="B18" s="450"/>
    </row>
    <row r="19" spans="1:2" x14ac:dyDescent="0.25">
      <c r="B19" s="47"/>
    </row>
    <row r="20" spans="1:2" ht="16.5" thickBot="1" x14ac:dyDescent="0.3">
      <c r="B20" s="132"/>
    </row>
    <row r="21" spans="1:2" ht="39" customHeight="1" thickBot="1" x14ac:dyDescent="0.3">
      <c r="A21" s="133" t="s">
        <v>327</v>
      </c>
      <c r="B21" s="322" t="str">
        <f>A15</f>
        <v xml:space="preserve">Расширение ПС 110/15кВ О-47 "Борисово" </v>
      </c>
    </row>
    <row r="22" spans="1:2" ht="16.5" thickBot="1" x14ac:dyDescent="0.3">
      <c r="A22" s="133" t="s">
        <v>328</v>
      </c>
      <c r="B22" s="134" t="str">
        <f>'1. паспорт местоположение'!C27</f>
        <v>Гурьевский р-н, южнее п. Борисово.</v>
      </c>
    </row>
    <row r="23" spans="1:2" ht="16.5" thickBot="1" x14ac:dyDescent="0.3">
      <c r="A23" s="133" t="s">
        <v>294</v>
      </c>
      <c r="B23" s="135" t="s">
        <v>496</v>
      </c>
    </row>
    <row r="24" spans="1:2" ht="16.5" thickBot="1" x14ac:dyDescent="0.3">
      <c r="A24" s="133" t="s">
        <v>329</v>
      </c>
      <c r="B24" s="135" t="s">
        <v>630</v>
      </c>
    </row>
    <row r="25" spans="1:2" ht="16.5" thickBot="1" x14ac:dyDescent="0.3">
      <c r="A25" s="136" t="s">
        <v>330</v>
      </c>
      <c r="B25" s="134" t="s">
        <v>497</v>
      </c>
    </row>
    <row r="26" spans="1:2" ht="16.5" thickBot="1" x14ac:dyDescent="0.3">
      <c r="A26" s="137" t="s">
        <v>331</v>
      </c>
      <c r="B26" s="138" t="s">
        <v>631</v>
      </c>
    </row>
    <row r="27" spans="1:2" ht="29.25" thickBot="1" x14ac:dyDescent="0.3">
      <c r="A27" s="145" t="s">
        <v>632</v>
      </c>
      <c r="B27" s="140">
        <v>205.63</v>
      </c>
    </row>
    <row r="28" spans="1:2" ht="16.5" thickBot="1" x14ac:dyDescent="0.3">
      <c r="A28" s="140" t="s">
        <v>332</v>
      </c>
      <c r="B28" s="140"/>
    </row>
    <row r="29" spans="1:2" ht="29.25" thickBot="1" x14ac:dyDescent="0.3">
      <c r="A29" s="146" t="s">
        <v>333</v>
      </c>
      <c r="B29" s="140"/>
    </row>
    <row r="30" spans="1:2" ht="29.25" thickBot="1" x14ac:dyDescent="0.3">
      <c r="A30" s="146" t="s">
        <v>334</v>
      </c>
      <c r="B30" s="258">
        <f>B32+B53+B154</f>
        <v>186.36327494999998</v>
      </c>
    </row>
    <row r="31" spans="1:2" ht="16.5" thickBot="1" x14ac:dyDescent="0.3">
      <c r="A31" s="140" t="s">
        <v>335</v>
      </c>
      <c r="B31" s="258"/>
    </row>
    <row r="32" spans="1:2" ht="29.25" thickBot="1" x14ac:dyDescent="0.3">
      <c r="A32" s="146" t="s">
        <v>336</v>
      </c>
      <c r="B32" s="258">
        <f xml:space="preserve"> SUMIF(C33:C194, 10,B33:B194)</f>
        <v>102.74257669999999</v>
      </c>
    </row>
    <row r="33" spans="1:3" s="261" customFormat="1" ht="30.75" thickBot="1" x14ac:dyDescent="0.3">
      <c r="A33" s="260" t="s">
        <v>559</v>
      </c>
      <c r="B33" s="260">
        <v>92.039976699999997</v>
      </c>
      <c r="C33" s="261">
        <v>10</v>
      </c>
    </row>
    <row r="34" spans="1:3" ht="16.5" thickBot="1" x14ac:dyDescent="0.3">
      <c r="A34" s="140" t="s">
        <v>338</v>
      </c>
      <c r="B34" s="262">
        <f>B33/$B$27</f>
        <v>0.44759994504692896</v>
      </c>
    </row>
    <row r="35" spans="1:3" ht="16.5" thickBot="1" x14ac:dyDescent="0.3">
      <c r="A35" s="140" t="s">
        <v>339</v>
      </c>
      <c r="B35" s="258">
        <v>85.808815069999994</v>
      </c>
      <c r="C35" s="130">
        <v>1</v>
      </c>
    </row>
    <row r="36" spans="1:3" ht="16.5" thickBot="1" x14ac:dyDescent="0.3">
      <c r="A36" s="140" t="s">
        <v>340</v>
      </c>
      <c r="B36" s="258">
        <v>85.808815069999994</v>
      </c>
      <c r="C36" s="130">
        <v>2</v>
      </c>
    </row>
    <row r="37" spans="1:3" s="261" customFormat="1" ht="30.75" thickBot="1" x14ac:dyDescent="0.3">
      <c r="A37" s="260" t="s">
        <v>597</v>
      </c>
      <c r="B37" s="260">
        <v>3.4809999999999999</v>
      </c>
      <c r="C37" s="261">
        <v>10</v>
      </c>
    </row>
    <row r="38" spans="1:3" ht="16.5" thickBot="1" x14ac:dyDescent="0.3">
      <c r="A38" s="140" t="s">
        <v>338</v>
      </c>
      <c r="B38" s="262">
        <f>B37/$B$27</f>
        <v>1.6928463745562419E-2</v>
      </c>
    </row>
    <row r="39" spans="1:3" ht="16.5" thickBot="1" x14ac:dyDescent="0.3">
      <c r="A39" s="140" t="s">
        <v>339</v>
      </c>
      <c r="B39" s="258">
        <v>0</v>
      </c>
      <c r="C39" s="130">
        <v>1</v>
      </c>
    </row>
    <row r="40" spans="1:3" ht="16.5" thickBot="1" x14ac:dyDescent="0.3">
      <c r="A40" s="140" t="s">
        <v>340</v>
      </c>
      <c r="B40" s="258">
        <v>0</v>
      </c>
      <c r="C40" s="130">
        <v>2</v>
      </c>
    </row>
    <row r="41" spans="1:3" ht="30.75" thickBot="1" x14ac:dyDescent="0.3">
      <c r="A41" s="260" t="s">
        <v>598</v>
      </c>
      <c r="B41" s="260">
        <v>7.2216000000000005</v>
      </c>
      <c r="C41" s="261">
        <v>10</v>
      </c>
    </row>
    <row r="42" spans="1:3" ht="16.5" thickBot="1" x14ac:dyDescent="0.3">
      <c r="A42" s="140" t="s">
        <v>338</v>
      </c>
      <c r="B42" s="262">
        <f>B41/$B$27</f>
        <v>3.5119389194183732E-2</v>
      </c>
    </row>
    <row r="43" spans="1:3" ht="16.5" thickBot="1" x14ac:dyDescent="0.3">
      <c r="A43" s="140" t="s">
        <v>339</v>
      </c>
      <c r="B43" s="258">
        <v>0</v>
      </c>
      <c r="C43" s="130">
        <v>1</v>
      </c>
    </row>
    <row r="44" spans="1:3" ht="16.5" thickBot="1" x14ac:dyDescent="0.3">
      <c r="A44" s="140" t="s">
        <v>340</v>
      </c>
      <c r="B44" s="258">
        <v>0</v>
      </c>
      <c r="C44" s="130">
        <v>2</v>
      </c>
    </row>
    <row r="45" spans="1:3" ht="16.5" thickBot="1" x14ac:dyDescent="0.3">
      <c r="A45" s="259" t="s">
        <v>337</v>
      </c>
      <c r="B45" s="260"/>
      <c r="C45" s="261">
        <v>10</v>
      </c>
    </row>
    <row r="46" spans="1:3" ht="16.5" thickBot="1" x14ac:dyDescent="0.3">
      <c r="A46" s="140" t="s">
        <v>338</v>
      </c>
      <c r="B46" s="262">
        <f>B45/$B$27</f>
        <v>0</v>
      </c>
    </row>
    <row r="47" spans="1:3" ht="16.5" thickBot="1" x14ac:dyDescent="0.3">
      <c r="A47" s="140" t="s">
        <v>339</v>
      </c>
      <c r="B47" s="258"/>
      <c r="C47" s="130">
        <v>1</v>
      </c>
    </row>
    <row r="48" spans="1:3" ht="16.5" thickBot="1" x14ac:dyDescent="0.3">
      <c r="A48" s="140" t="s">
        <v>340</v>
      </c>
      <c r="B48" s="258"/>
      <c r="C48" s="130">
        <v>2</v>
      </c>
    </row>
    <row r="49" spans="1:3" ht="16.5" thickBot="1" x14ac:dyDescent="0.3">
      <c r="A49" s="259" t="s">
        <v>337</v>
      </c>
      <c r="B49" s="260"/>
      <c r="C49" s="261">
        <v>10</v>
      </c>
    </row>
    <row r="50" spans="1:3" ht="16.5" thickBot="1" x14ac:dyDescent="0.3">
      <c r="A50" s="140" t="s">
        <v>338</v>
      </c>
      <c r="B50" s="262">
        <f>B49/$B$27</f>
        <v>0</v>
      </c>
    </row>
    <row r="51" spans="1:3" ht="16.5" thickBot="1" x14ac:dyDescent="0.3">
      <c r="A51" s="140" t="s">
        <v>339</v>
      </c>
      <c r="B51" s="258"/>
      <c r="C51" s="130">
        <v>1</v>
      </c>
    </row>
    <row r="52" spans="1:3" ht="16.5" thickBot="1" x14ac:dyDescent="0.3">
      <c r="A52" s="140" t="s">
        <v>340</v>
      </c>
      <c r="B52" s="258"/>
      <c r="C52" s="130">
        <v>2</v>
      </c>
    </row>
    <row r="53" spans="1:3" ht="29.25" thickBot="1" x14ac:dyDescent="0.3">
      <c r="A53" s="146" t="s">
        <v>341</v>
      </c>
      <c r="B53" s="258">
        <f xml:space="preserve"> SUMIF(C54:C194, 20,B54:B194)</f>
        <v>71.596078250000005</v>
      </c>
    </row>
    <row r="54" spans="1:3" s="261" customFormat="1" ht="30.75" thickBot="1" x14ac:dyDescent="0.3">
      <c r="A54" s="319" t="s">
        <v>560</v>
      </c>
      <c r="B54" s="319">
        <v>16.879930999999999</v>
      </c>
      <c r="C54" s="261">
        <v>20</v>
      </c>
    </row>
    <row r="55" spans="1:3" ht="16.5" thickBot="1" x14ac:dyDescent="0.3">
      <c r="A55" s="140" t="s">
        <v>338</v>
      </c>
      <c r="B55" s="262">
        <f>B54/$B$27</f>
        <v>8.2088853766473763E-2</v>
      </c>
    </row>
    <row r="56" spans="1:3" ht="16.5" thickBot="1" x14ac:dyDescent="0.3">
      <c r="A56" s="140" t="s">
        <v>339</v>
      </c>
      <c r="B56" s="258">
        <v>16.879930999999999</v>
      </c>
      <c r="C56" s="130">
        <v>1</v>
      </c>
    </row>
    <row r="57" spans="1:3" ht="16.5" thickBot="1" x14ac:dyDescent="0.3">
      <c r="A57" s="140" t="s">
        <v>340</v>
      </c>
      <c r="B57" s="258">
        <v>16.879930999999999</v>
      </c>
      <c r="C57" s="130">
        <v>2</v>
      </c>
    </row>
    <row r="58" spans="1:3" s="261" customFormat="1" ht="30.75" thickBot="1" x14ac:dyDescent="0.3">
      <c r="A58" s="319" t="s">
        <v>561</v>
      </c>
      <c r="B58" s="319">
        <v>16.723789539999999</v>
      </c>
      <c r="C58" s="261">
        <v>20</v>
      </c>
    </row>
    <row r="59" spans="1:3" ht="16.5" thickBot="1" x14ac:dyDescent="0.3">
      <c r="A59" s="140" t="s">
        <v>338</v>
      </c>
      <c r="B59" s="262">
        <f>B58/$B$27</f>
        <v>8.1329521665126678E-2</v>
      </c>
    </row>
    <row r="60" spans="1:3" ht="16.5" thickBot="1" x14ac:dyDescent="0.3">
      <c r="A60" s="140" t="s">
        <v>339</v>
      </c>
      <c r="B60" s="258">
        <v>16.723789539999999</v>
      </c>
      <c r="C60" s="130">
        <v>1</v>
      </c>
    </row>
    <row r="61" spans="1:3" ht="16.5" thickBot="1" x14ac:dyDescent="0.3">
      <c r="A61" s="140" t="s">
        <v>340</v>
      </c>
      <c r="B61" s="258">
        <v>16.723789539999999</v>
      </c>
      <c r="C61" s="130">
        <v>2</v>
      </c>
    </row>
    <row r="62" spans="1:3" s="261" customFormat="1" ht="16.5" thickBot="1" x14ac:dyDescent="0.3">
      <c r="A62" s="260" t="s">
        <v>562</v>
      </c>
      <c r="B62" s="260">
        <v>1.77</v>
      </c>
      <c r="C62" s="261">
        <v>20</v>
      </c>
    </row>
    <row r="63" spans="1:3" ht="16.5" thickBot="1" x14ac:dyDescent="0.3">
      <c r="A63" s="140" t="s">
        <v>338</v>
      </c>
      <c r="B63" s="262">
        <f>B62/$B$27</f>
        <v>8.6076934299469925E-3</v>
      </c>
    </row>
    <row r="64" spans="1:3" ht="16.5" thickBot="1" x14ac:dyDescent="0.3">
      <c r="A64" s="140" t="s">
        <v>339</v>
      </c>
      <c r="B64" s="258">
        <v>1.6933</v>
      </c>
      <c r="C64" s="130">
        <v>1</v>
      </c>
    </row>
    <row r="65" spans="1:3" ht="16.5" thickBot="1" x14ac:dyDescent="0.3">
      <c r="A65" s="140" t="s">
        <v>340</v>
      </c>
      <c r="B65" s="258">
        <v>1.77</v>
      </c>
      <c r="C65" s="130">
        <v>2</v>
      </c>
    </row>
    <row r="66" spans="1:3" s="261" customFormat="1" ht="30.75" thickBot="1" x14ac:dyDescent="0.3">
      <c r="A66" s="319" t="s">
        <v>563</v>
      </c>
      <c r="B66" s="319">
        <v>0.40469147</v>
      </c>
      <c r="C66" s="261">
        <v>20</v>
      </c>
    </row>
    <row r="67" spans="1:3" ht="16.5" thickBot="1" x14ac:dyDescent="0.3">
      <c r="A67" s="140" t="s">
        <v>338</v>
      </c>
      <c r="B67" s="262">
        <f>B66/$B$27</f>
        <v>1.9680565578952488E-3</v>
      </c>
    </row>
    <row r="68" spans="1:3" ht="16.5" thickBot="1" x14ac:dyDescent="0.3">
      <c r="A68" s="140" t="s">
        <v>339</v>
      </c>
      <c r="B68" s="258">
        <v>0.40469147</v>
      </c>
      <c r="C68" s="130">
        <v>1</v>
      </c>
    </row>
    <row r="69" spans="1:3" ht="16.5" thickBot="1" x14ac:dyDescent="0.3">
      <c r="A69" s="140" t="s">
        <v>340</v>
      </c>
      <c r="B69" s="258">
        <v>0.40469147</v>
      </c>
      <c r="C69" s="130">
        <v>2</v>
      </c>
    </row>
    <row r="70" spans="1:3" s="261" customFormat="1" ht="30.75" thickBot="1" x14ac:dyDescent="0.3">
      <c r="A70" s="319" t="s">
        <v>564</v>
      </c>
      <c r="B70" s="319">
        <v>0.97306804999999996</v>
      </c>
      <c r="C70" s="261">
        <v>20</v>
      </c>
    </row>
    <row r="71" spans="1:3" ht="16.5" thickBot="1" x14ac:dyDescent="0.3">
      <c r="A71" s="140" t="s">
        <v>338</v>
      </c>
      <c r="B71" s="262">
        <f>B70/$B$27</f>
        <v>4.7321307688566842E-3</v>
      </c>
    </row>
    <row r="72" spans="1:3" ht="16.5" thickBot="1" x14ac:dyDescent="0.3">
      <c r="A72" s="140" t="s">
        <v>339</v>
      </c>
      <c r="B72" s="258">
        <v>0.97306805000000007</v>
      </c>
      <c r="C72" s="130">
        <v>1</v>
      </c>
    </row>
    <row r="73" spans="1:3" ht="16.5" thickBot="1" x14ac:dyDescent="0.3">
      <c r="A73" s="140" t="s">
        <v>340</v>
      </c>
      <c r="B73" s="258">
        <v>0.97306805000000007</v>
      </c>
      <c r="C73" s="130">
        <v>2</v>
      </c>
    </row>
    <row r="74" spans="1:3" s="261" customFormat="1" ht="16.5" thickBot="1" x14ac:dyDescent="0.3">
      <c r="A74" s="319" t="s">
        <v>565</v>
      </c>
      <c r="B74" s="319">
        <v>0.1827</v>
      </c>
      <c r="C74" s="261">
        <v>20</v>
      </c>
    </row>
    <row r="75" spans="1:3" ht="16.5" thickBot="1" x14ac:dyDescent="0.3">
      <c r="A75" s="140" t="s">
        <v>338</v>
      </c>
      <c r="B75" s="262">
        <f>B74/$B$27</f>
        <v>8.8848903370130825E-4</v>
      </c>
    </row>
    <row r="76" spans="1:3" ht="16.5" thickBot="1" x14ac:dyDescent="0.3">
      <c r="A76" s="140" t="s">
        <v>339</v>
      </c>
      <c r="B76" s="258">
        <v>0.1827</v>
      </c>
      <c r="C76" s="130">
        <v>1</v>
      </c>
    </row>
    <row r="77" spans="1:3" ht="16.5" thickBot="1" x14ac:dyDescent="0.3">
      <c r="A77" s="140" t="s">
        <v>340</v>
      </c>
      <c r="B77" s="258">
        <v>0.1827</v>
      </c>
      <c r="C77" s="130">
        <v>2</v>
      </c>
    </row>
    <row r="78" spans="1:3" s="261" customFormat="1" ht="30.75" thickBot="1" x14ac:dyDescent="0.3">
      <c r="A78" s="319" t="s">
        <v>566</v>
      </c>
      <c r="B78" s="319">
        <v>2.5060250000000002</v>
      </c>
      <c r="C78" s="261">
        <v>20</v>
      </c>
    </row>
    <row r="79" spans="1:3" ht="16.5" thickBot="1" x14ac:dyDescent="0.3">
      <c r="A79" s="140" t="s">
        <v>338</v>
      </c>
      <c r="B79" s="262">
        <f>B78/$B$27</f>
        <v>1.2187059281233285E-2</v>
      </c>
    </row>
    <row r="80" spans="1:3" ht="16.5" thickBot="1" x14ac:dyDescent="0.3">
      <c r="A80" s="140" t="s">
        <v>339</v>
      </c>
      <c r="B80" s="258">
        <v>2.5060250000000002</v>
      </c>
      <c r="C80" s="130">
        <v>1</v>
      </c>
    </row>
    <row r="81" spans="1:3" ht="16.5" thickBot="1" x14ac:dyDescent="0.3">
      <c r="A81" s="140" t="s">
        <v>340</v>
      </c>
      <c r="B81" s="258">
        <v>2.5060250000000002</v>
      </c>
      <c r="C81" s="130">
        <v>2</v>
      </c>
    </row>
    <row r="82" spans="1:3" s="261" customFormat="1" ht="16.5" thickBot="1" x14ac:dyDescent="0.3">
      <c r="A82" s="319" t="s">
        <v>567</v>
      </c>
      <c r="B82" s="319">
        <v>2.0874967</v>
      </c>
      <c r="C82" s="261">
        <v>20</v>
      </c>
    </row>
    <row r="83" spans="1:3" ht="16.5" thickBot="1" x14ac:dyDescent="0.3">
      <c r="A83" s="140" t="s">
        <v>338</v>
      </c>
      <c r="B83" s="262">
        <f>B82/$B$27</f>
        <v>1.0151712785099451E-2</v>
      </c>
    </row>
    <row r="84" spans="1:3" ht="16.5" thickBot="1" x14ac:dyDescent="0.3">
      <c r="A84" s="140" t="s">
        <v>339</v>
      </c>
      <c r="B84" s="258">
        <v>2.0874967</v>
      </c>
      <c r="C84" s="130">
        <v>1</v>
      </c>
    </row>
    <row r="85" spans="1:3" ht="16.5" thickBot="1" x14ac:dyDescent="0.3">
      <c r="A85" s="140" t="s">
        <v>340</v>
      </c>
      <c r="B85" s="258">
        <v>2.0874967</v>
      </c>
      <c r="C85" s="130">
        <v>2</v>
      </c>
    </row>
    <row r="86" spans="1:3" s="261" customFormat="1" ht="16.5" thickBot="1" x14ac:dyDescent="0.3">
      <c r="A86" s="319" t="s">
        <v>568</v>
      </c>
      <c r="B86" s="319">
        <v>1.2386459999999999</v>
      </c>
      <c r="C86" s="261">
        <v>20</v>
      </c>
    </row>
    <row r="87" spans="1:3" ht="16.5" thickBot="1" x14ac:dyDescent="0.3">
      <c r="A87" s="140" t="s">
        <v>338</v>
      </c>
      <c r="B87" s="262">
        <f>B86/$B$27</f>
        <v>6.0236638622769047E-3</v>
      </c>
    </row>
    <row r="88" spans="1:3" ht="16.5" thickBot="1" x14ac:dyDescent="0.3">
      <c r="A88" s="140" t="s">
        <v>339</v>
      </c>
      <c r="B88" s="258">
        <v>1.2386459999999999</v>
      </c>
      <c r="C88" s="130">
        <v>1</v>
      </c>
    </row>
    <row r="89" spans="1:3" ht="16.5" thickBot="1" x14ac:dyDescent="0.3">
      <c r="A89" s="140" t="s">
        <v>340</v>
      </c>
      <c r="B89" s="258">
        <v>1.2386459999999999</v>
      </c>
      <c r="C89" s="130">
        <v>2</v>
      </c>
    </row>
    <row r="90" spans="1:3" s="261" customFormat="1" ht="16.5" thickBot="1" x14ac:dyDescent="0.3">
      <c r="A90" s="319" t="s">
        <v>569</v>
      </c>
      <c r="B90" s="319">
        <v>1.79359998</v>
      </c>
      <c r="C90" s="261">
        <v>20</v>
      </c>
    </row>
    <row r="91" spans="1:3" ht="16.5" thickBot="1" x14ac:dyDescent="0.3">
      <c r="A91" s="140" t="s">
        <v>338</v>
      </c>
      <c r="B91" s="262">
        <f>B90/$B$27</f>
        <v>8.7224625784175468E-3</v>
      </c>
    </row>
    <row r="92" spans="1:3" ht="16.5" thickBot="1" x14ac:dyDescent="0.3">
      <c r="A92" s="140" t="s">
        <v>339</v>
      </c>
      <c r="B92" s="258">
        <v>1.79359998</v>
      </c>
      <c r="C92" s="130">
        <v>1</v>
      </c>
    </row>
    <row r="93" spans="1:3" ht="16.5" thickBot="1" x14ac:dyDescent="0.3">
      <c r="A93" s="140" t="s">
        <v>340</v>
      </c>
      <c r="B93" s="258">
        <v>1.79359998</v>
      </c>
      <c r="C93" s="130">
        <v>2</v>
      </c>
    </row>
    <row r="94" spans="1:3" s="261" customFormat="1" ht="16.5" thickBot="1" x14ac:dyDescent="0.3">
      <c r="A94" s="319" t="s">
        <v>570</v>
      </c>
      <c r="B94" s="319">
        <v>0.74929999999999997</v>
      </c>
      <c r="C94" s="261">
        <v>20</v>
      </c>
    </row>
    <row r="95" spans="1:3" ht="16.5" thickBot="1" x14ac:dyDescent="0.3">
      <c r="A95" s="140" t="s">
        <v>338</v>
      </c>
      <c r="B95" s="262">
        <f>B94/$B$27</f>
        <v>3.6439235520108935E-3</v>
      </c>
    </row>
    <row r="96" spans="1:3" ht="16.5" thickBot="1" x14ac:dyDescent="0.3">
      <c r="A96" s="140" t="s">
        <v>339</v>
      </c>
      <c r="B96" s="258">
        <v>0.74929999999999997</v>
      </c>
      <c r="C96" s="130">
        <v>1</v>
      </c>
    </row>
    <row r="97" spans="1:3" ht="16.5" thickBot="1" x14ac:dyDescent="0.3">
      <c r="A97" s="140" t="s">
        <v>340</v>
      </c>
      <c r="B97" s="258">
        <v>0.74929999999999997</v>
      </c>
      <c r="C97" s="130">
        <v>2</v>
      </c>
    </row>
    <row r="98" spans="1:3" s="261" customFormat="1" ht="30.75" thickBot="1" x14ac:dyDescent="0.3">
      <c r="A98" s="319" t="s">
        <v>571</v>
      </c>
      <c r="B98" s="319">
        <v>0.13475599999999999</v>
      </c>
      <c r="C98" s="261">
        <v>20</v>
      </c>
    </row>
    <row r="99" spans="1:3" ht="16.5" thickBot="1" x14ac:dyDescent="0.3">
      <c r="A99" s="140" t="s">
        <v>338</v>
      </c>
      <c r="B99" s="262">
        <f>B98/$B$27</f>
        <v>6.5533239313329762E-4</v>
      </c>
    </row>
    <row r="100" spans="1:3" ht="16.5" thickBot="1" x14ac:dyDescent="0.3">
      <c r="A100" s="140" t="s">
        <v>339</v>
      </c>
      <c r="B100" s="258">
        <v>0.13475599999999999</v>
      </c>
      <c r="C100" s="130">
        <v>1</v>
      </c>
    </row>
    <row r="101" spans="1:3" ht="16.5" thickBot="1" x14ac:dyDescent="0.3">
      <c r="A101" s="140" t="s">
        <v>340</v>
      </c>
      <c r="B101" s="258">
        <v>0.13475599999999999</v>
      </c>
      <c r="C101" s="130">
        <v>2</v>
      </c>
    </row>
    <row r="102" spans="1:3" s="261" customFormat="1" ht="16.5" thickBot="1" x14ac:dyDescent="0.3">
      <c r="A102" s="319" t="s">
        <v>572</v>
      </c>
      <c r="B102" s="319">
        <v>0.18488830000000001</v>
      </c>
      <c r="C102" s="261">
        <v>20</v>
      </c>
    </row>
    <row r="103" spans="1:3" ht="16.5" thickBot="1" x14ac:dyDescent="0.3">
      <c r="A103" s="140" t="s">
        <v>338</v>
      </c>
      <c r="B103" s="262">
        <f>B102/$B$27</f>
        <v>8.9913096338082969E-4</v>
      </c>
    </row>
    <row r="104" spans="1:3" ht="16.5" thickBot="1" x14ac:dyDescent="0.3">
      <c r="A104" s="140" t="s">
        <v>339</v>
      </c>
      <c r="B104" s="258">
        <v>0.18488829999999998</v>
      </c>
      <c r="C104" s="130">
        <v>1</v>
      </c>
    </row>
    <row r="105" spans="1:3" ht="16.5" thickBot="1" x14ac:dyDescent="0.3">
      <c r="A105" s="140" t="s">
        <v>340</v>
      </c>
      <c r="B105" s="258">
        <v>0.18488829999999998</v>
      </c>
      <c r="C105" s="130">
        <v>2</v>
      </c>
    </row>
    <row r="106" spans="1:3" s="261" customFormat="1" ht="30.75" thickBot="1" x14ac:dyDescent="0.3">
      <c r="A106" s="319" t="s">
        <v>573</v>
      </c>
      <c r="B106" s="319">
        <v>1.1059213700000001</v>
      </c>
      <c r="C106" s="261">
        <v>20</v>
      </c>
    </row>
    <row r="107" spans="1:3" ht="16.5" thickBot="1" x14ac:dyDescent="0.3">
      <c r="A107" s="140" t="s">
        <v>338</v>
      </c>
      <c r="B107" s="262">
        <f>B106/$B$27</f>
        <v>5.3782102319700443E-3</v>
      </c>
    </row>
    <row r="108" spans="1:3" ht="16.5" thickBot="1" x14ac:dyDescent="0.3">
      <c r="A108" s="140" t="s">
        <v>339</v>
      </c>
      <c r="B108" s="258">
        <v>1.1059213700000001</v>
      </c>
      <c r="C108" s="130">
        <v>1</v>
      </c>
    </row>
    <row r="109" spans="1:3" ht="16.5" thickBot="1" x14ac:dyDescent="0.3">
      <c r="A109" s="140" t="s">
        <v>340</v>
      </c>
      <c r="B109" s="258">
        <v>1.1059213700000001</v>
      </c>
      <c r="C109" s="130">
        <v>2</v>
      </c>
    </row>
    <row r="110" spans="1:3" s="261" customFormat="1" ht="30.75" thickBot="1" x14ac:dyDescent="0.3">
      <c r="A110" s="319" t="s">
        <v>574</v>
      </c>
      <c r="B110" s="319">
        <v>1.25000055</v>
      </c>
      <c r="C110" s="261">
        <v>20</v>
      </c>
    </row>
    <row r="111" spans="1:3" ht="16.5" thickBot="1" x14ac:dyDescent="0.3">
      <c r="A111" s="140" t="s">
        <v>338</v>
      </c>
      <c r="B111" s="262">
        <f>B110/$B$27</f>
        <v>6.0788822156300154E-3</v>
      </c>
    </row>
    <row r="112" spans="1:3" ht="16.5" thickBot="1" x14ac:dyDescent="0.3">
      <c r="A112" s="140" t="s">
        <v>339</v>
      </c>
      <c r="B112" s="258">
        <v>1.25000055</v>
      </c>
      <c r="C112" s="130">
        <v>1</v>
      </c>
    </row>
    <row r="113" spans="1:3" ht="16.5" thickBot="1" x14ac:dyDescent="0.3">
      <c r="A113" s="140" t="s">
        <v>340</v>
      </c>
      <c r="B113" s="258">
        <v>1.25000055</v>
      </c>
      <c r="C113" s="130">
        <v>2</v>
      </c>
    </row>
    <row r="114" spans="1:3" s="261" customFormat="1" ht="30.75" thickBot="1" x14ac:dyDescent="0.3">
      <c r="A114" s="260" t="s">
        <v>575</v>
      </c>
      <c r="B114" s="260">
        <v>4.8745799999999999</v>
      </c>
      <c r="C114" s="261">
        <v>20</v>
      </c>
    </row>
    <row r="115" spans="1:3" ht="16.5" thickBot="1" x14ac:dyDescent="0.3">
      <c r="A115" s="140" t="s">
        <v>338</v>
      </c>
      <c r="B115" s="262">
        <f>B114/$B$27</f>
        <v>2.3705587706074015E-2</v>
      </c>
    </row>
    <row r="116" spans="1:3" ht="16.5" thickBot="1" x14ac:dyDescent="0.3">
      <c r="A116" s="140" t="s">
        <v>339</v>
      </c>
      <c r="B116" s="258">
        <v>0</v>
      </c>
      <c r="C116" s="130">
        <v>1</v>
      </c>
    </row>
    <row r="117" spans="1:3" ht="16.5" thickBot="1" x14ac:dyDescent="0.3">
      <c r="A117" s="140" t="s">
        <v>340</v>
      </c>
      <c r="B117" s="258">
        <v>4.8639599999999996</v>
      </c>
      <c r="C117" s="130">
        <v>2</v>
      </c>
    </row>
    <row r="118" spans="1:3" s="261" customFormat="1" ht="16.5" thickBot="1" x14ac:dyDescent="0.3">
      <c r="A118" s="259" t="s">
        <v>337</v>
      </c>
      <c r="B118" s="260"/>
      <c r="C118" s="261">
        <v>20</v>
      </c>
    </row>
    <row r="119" spans="1:3" ht="16.5" thickBot="1" x14ac:dyDescent="0.3">
      <c r="A119" s="140" t="s">
        <v>338</v>
      </c>
      <c r="B119" s="262">
        <f>B118/$B$27</f>
        <v>0</v>
      </c>
    </row>
    <row r="120" spans="1:3" ht="16.5" thickBot="1" x14ac:dyDescent="0.3">
      <c r="A120" s="140" t="s">
        <v>339</v>
      </c>
      <c r="B120" s="258">
        <v>0</v>
      </c>
      <c r="C120" s="130">
        <v>1</v>
      </c>
    </row>
    <row r="121" spans="1:3" ht="16.5" thickBot="1" x14ac:dyDescent="0.3">
      <c r="A121" s="140" t="s">
        <v>340</v>
      </c>
      <c r="B121" s="258">
        <v>0</v>
      </c>
      <c r="C121" s="130">
        <v>2</v>
      </c>
    </row>
    <row r="122" spans="1:3" s="261" customFormat="1" ht="30.75" thickBot="1" x14ac:dyDescent="0.3">
      <c r="A122" s="319" t="s">
        <v>576</v>
      </c>
      <c r="B122" s="319">
        <v>1.0266</v>
      </c>
      <c r="C122" s="261">
        <v>20</v>
      </c>
    </row>
    <row r="123" spans="1:3" ht="16.5" thickBot="1" x14ac:dyDescent="0.3">
      <c r="A123" s="140" t="s">
        <v>338</v>
      </c>
      <c r="B123" s="262">
        <f>B122/$B$27</f>
        <v>4.9924621893692551E-3</v>
      </c>
    </row>
    <row r="124" spans="1:3" ht="16.5" thickBot="1" x14ac:dyDescent="0.3">
      <c r="A124" s="140" t="s">
        <v>339</v>
      </c>
      <c r="B124" s="258">
        <v>1.0266</v>
      </c>
      <c r="C124" s="130">
        <v>1</v>
      </c>
    </row>
    <row r="125" spans="1:3" ht="16.5" thickBot="1" x14ac:dyDescent="0.3">
      <c r="A125" s="140" t="s">
        <v>340</v>
      </c>
      <c r="B125" s="258">
        <v>1.0266</v>
      </c>
      <c r="C125" s="130">
        <v>2</v>
      </c>
    </row>
    <row r="126" spans="1:3" s="261" customFormat="1" ht="30.75" thickBot="1" x14ac:dyDescent="0.3">
      <c r="A126" s="260" t="s">
        <v>629</v>
      </c>
      <c r="B126" s="260">
        <v>10.552209000000001</v>
      </c>
      <c r="C126" s="261">
        <v>20</v>
      </c>
    </row>
    <row r="127" spans="1:3" ht="16.5" thickBot="1" x14ac:dyDescent="0.3">
      <c r="A127" s="140" t="s">
        <v>338</v>
      </c>
      <c r="B127" s="262">
        <f>B126/$B$27</f>
        <v>5.1316485921314992E-2</v>
      </c>
    </row>
    <row r="128" spans="1:3" ht="16.5" thickBot="1" x14ac:dyDescent="0.3">
      <c r="A128" s="140" t="s">
        <v>339</v>
      </c>
      <c r="B128" s="258">
        <v>0</v>
      </c>
      <c r="C128" s="130">
        <v>1</v>
      </c>
    </row>
    <row r="129" spans="1:3" ht="16.5" thickBot="1" x14ac:dyDescent="0.3">
      <c r="A129" s="140" t="s">
        <v>340</v>
      </c>
      <c r="B129" s="258">
        <v>3.397043</v>
      </c>
      <c r="C129" s="130">
        <v>2</v>
      </c>
    </row>
    <row r="130" spans="1:3" s="261" customFormat="1" ht="30.75" thickBot="1" x14ac:dyDescent="0.3">
      <c r="A130" s="260" t="s">
        <v>599</v>
      </c>
      <c r="B130" s="260">
        <v>7.1578752899999998</v>
      </c>
      <c r="C130" s="261">
        <v>20</v>
      </c>
    </row>
    <row r="131" spans="1:3" ht="16.5" thickBot="1" x14ac:dyDescent="0.3">
      <c r="A131" s="140" t="s">
        <v>338</v>
      </c>
      <c r="B131" s="262">
        <f>B130/$B$27</f>
        <v>3.4809489325487525E-2</v>
      </c>
    </row>
    <row r="132" spans="1:3" ht="16.5" thickBot="1" x14ac:dyDescent="0.3">
      <c r="A132" s="140" t="s">
        <v>339</v>
      </c>
      <c r="B132" s="258">
        <v>0</v>
      </c>
      <c r="C132" s="130">
        <v>1</v>
      </c>
    </row>
    <row r="133" spans="1:3" ht="16.5" thickBot="1" x14ac:dyDescent="0.3">
      <c r="A133" s="140" t="s">
        <v>340</v>
      </c>
      <c r="B133" s="258">
        <v>6.5071593600000002</v>
      </c>
      <c r="C133" s="130">
        <v>2</v>
      </c>
    </row>
    <row r="134" spans="1:3" s="261" customFormat="1" ht="16.5" thickBot="1" x14ac:dyDescent="0.3">
      <c r="A134" s="259" t="s">
        <v>337</v>
      </c>
      <c r="B134" s="260"/>
      <c r="C134" s="261">
        <v>20</v>
      </c>
    </row>
    <row r="135" spans="1:3" ht="16.5" thickBot="1" x14ac:dyDescent="0.3">
      <c r="A135" s="140" t="s">
        <v>338</v>
      </c>
      <c r="B135" s="262">
        <f>B134/$B$27</f>
        <v>0</v>
      </c>
    </row>
    <row r="136" spans="1:3" ht="16.5" thickBot="1" x14ac:dyDescent="0.3">
      <c r="A136" s="140" t="s">
        <v>339</v>
      </c>
      <c r="B136" s="258"/>
      <c r="C136" s="130">
        <v>1</v>
      </c>
    </row>
    <row r="137" spans="1:3" ht="16.5" thickBot="1" x14ac:dyDescent="0.3">
      <c r="A137" s="140" t="s">
        <v>340</v>
      </c>
      <c r="B137" s="258"/>
      <c r="C137" s="130">
        <v>2</v>
      </c>
    </row>
    <row r="138" spans="1:3" s="261" customFormat="1" ht="16.5" thickBot="1" x14ac:dyDescent="0.3">
      <c r="A138" s="259" t="s">
        <v>337</v>
      </c>
      <c r="B138" s="260"/>
      <c r="C138" s="261">
        <v>20</v>
      </c>
    </row>
    <row r="139" spans="1:3" ht="16.5" thickBot="1" x14ac:dyDescent="0.3">
      <c r="A139" s="140" t="s">
        <v>338</v>
      </c>
      <c r="B139" s="262">
        <f>B138/$B$27</f>
        <v>0</v>
      </c>
    </row>
    <row r="140" spans="1:3" ht="16.5" thickBot="1" x14ac:dyDescent="0.3">
      <c r="A140" s="140" t="s">
        <v>339</v>
      </c>
      <c r="B140" s="258"/>
      <c r="C140" s="130">
        <v>1</v>
      </c>
    </row>
    <row r="141" spans="1:3" ht="16.5" thickBot="1" x14ac:dyDescent="0.3">
      <c r="A141" s="140" t="s">
        <v>340</v>
      </c>
      <c r="B141" s="258"/>
      <c r="C141" s="130">
        <v>2</v>
      </c>
    </row>
    <row r="142" spans="1:3" s="261" customFormat="1" ht="16.5" thickBot="1" x14ac:dyDescent="0.3">
      <c r="A142" s="259" t="s">
        <v>337</v>
      </c>
      <c r="B142" s="260"/>
      <c r="C142" s="261">
        <v>20</v>
      </c>
    </row>
    <row r="143" spans="1:3" ht="16.5" thickBot="1" x14ac:dyDescent="0.3">
      <c r="A143" s="140" t="s">
        <v>338</v>
      </c>
      <c r="B143" s="262">
        <f>B142/$B$27</f>
        <v>0</v>
      </c>
    </row>
    <row r="144" spans="1:3" ht="16.5" thickBot="1" x14ac:dyDescent="0.3">
      <c r="A144" s="140" t="s">
        <v>339</v>
      </c>
      <c r="B144" s="258"/>
      <c r="C144" s="130">
        <v>1</v>
      </c>
    </row>
    <row r="145" spans="1:3" ht="16.5" thickBot="1" x14ac:dyDescent="0.3">
      <c r="A145" s="140" t="s">
        <v>340</v>
      </c>
      <c r="B145" s="258"/>
      <c r="C145" s="130">
        <v>2</v>
      </c>
    </row>
    <row r="146" spans="1:3" s="261" customFormat="1" ht="16.5" thickBot="1" x14ac:dyDescent="0.3">
      <c r="A146" s="259" t="s">
        <v>337</v>
      </c>
      <c r="B146" s="260"/>
      <c r="C146" s="261">
        <v>20</v>
      </c>
    </row>
    <row r="147" spans="1:3" ht="16.5" thickBot="1" x14ac:dyDescent="0.3">
      <c r="A147" s="140" t="s">
        <v>338</v>
      </c>
      <c r="B147" s="262">
        <f>B146/$B$27</f>
        <v>0</v>
      </c>
    </row>
    <row r="148" spans="1:3" ht="16.5" thickBot="1" x14ac:dyDescent="0.3">
      <c r="A148" s="140" t="s">
        <v>339</v>
      </c>
      <c r="B148" s="258"/>
      <c r="C148" s="130">
        <v>1</v>
      </c>
    </row>
    <row r="149" spans="1:3" ht="16.5" thickBot="1" x14ac:dyDescent="0.3">
      <c r="A149" s="140" t="s">
        <v>340</v>
      </c>
      <c r="B149" s="258"/>
      <c r="C149" s="130">
        <v>2</v>
      </c>
    </row>
    <row r="150" spans="1:3" s="261" customFormat="1" ht="16.5" thickBot="1" x14ac:dyDescent="0.3">
      <c r="A150" s="259" t="s">
        <v>337</v>
      </c>
      <c r="B150" s="260"/>
      <c r="C150" s="261">
        <v>20</v>
      </c>
    </row>
    <row r="151" spans="1:3" ht="16.5" thickBot="1" x14ac:dyDescent="0.3">
      <c r="A151" s="140" t="s">
        <v>338</v>
      </c>
      <c r="B151" s="262">
        <f>B150/$B$27</f>
        <v>0</v>
      </c>
    </row>
    <row r="152" spans="1:3" ht="16.5" thickBot="1" x14ac:dyDescent="0.3">
      <c r="A152" s="140" t="s">
        <v>339</v>
      </c>
      <c r="B152" s="258"/>
      <c r="C152" s="130">
        <v>1</v>
      </c>
    </row>
    <row r="153" spans="1:3" ht="16.5" thickBot="1" x14ac:dyDescent="0.3">
      <c r="A153" s="140" t="s">
        <v>340</v>
      </c>
      <c r="B153" s="258"/>
      <c r="C153" s="130">
        <v>2</v>
      </c>
    </row>
    <row r="154" spans="1:3" ht="29.25" thickBot="1" x14ac:dyDescent="0.3">
      <c r="A154" s="146" t="s">
        <v>342</v>
      </c>
      <c r="B154" s="258">
        <f xml:space="preserve"> SUMIF(C155:C194, 30,B155:B194)</f>
        <v>12.024619999999999</v>
      </c>
    </row>
    <row r="155" spans="1:3" s="261" customFormat="1" ht="30.75" thickBot="1" x14ac:dyDescent="0.3">
      <c r="A155" s="319" t="s">
        <v>577</v>
      </c>
      <c r="B155" s="319">
        <v>7.9009999999999998</v>
      </c>
      <c r="C155" s="261">
        <v>30</v>
      </c>
    </row>
    <row r="156" spans="1:3" ht="16.5" thickBot="1" x14ac:dyDescent="0.3">
      <c r="A156" s="140" t="s">
        <v>338</v>
      </c>
      <c r="B156" s="262">
        <f>B155/$B$27</f>
        <v>3.8423381802266204E-2</v>
      </c>
    </row>
    <row r="157" spans="1:3" ht="16.5" thickBot="1" x14ac:dyDescent="0.3">
      <c r="A157" s="140" t="s">
        <v>339</v>
      </c>
      <c r="B157" s="258">
        <v>7.9009999999999998</v>
      </c>
      <c r="C157" s="130">
        <v>1</v>
      </c>
    </row>
    <row r="158" spans="1:3" ht="16.5" thickBot="1" x14ac:dyDescent="0.3">
      <c r="A158" s="140" t="s">
        <v>340</v>
      </c>
      <c r="B158" s="258">
        <v>7.9009999999999998</v>
      </c>
      <c r="C158" s="130">
        <v>2</v>
      </c>
    </row>
    <row r="159" spans="1:3" s="261" customFormat="1" ht="30.75" thickBot="1" x14ac:dyDescent="0.3">
      <c r="A159" s="319" t="s">
        <v>578</v>
      </c>
      <c r="B159" s="319">
        <v>0.5</v>
      </c>
      <c r="C159" s="261">
        <v>30</v>
      </c>
    </row>
    <row r="160" spans="1:3" ht="16.5" thickBot="1" x14ac:dyDescent="0.3">
      <c r="A160" s="140" t="s">
        <v>338</v>
      </c>
      <c r="B160" s="262">
        <f>B159/$B$27</f>
        <v>2.4315518163692067E-3</v>
      </c>
    </row>
    <row r="161" spans="1:3" ht="16.5" thickBot="1" x14ac:dyDescent="0.3">
      <c r="A161" s="140" t="s">
        <v>339</v>
      </c>
      <c r="B161" s="258">
        <v>0.5</v>
      </c>
      <c r="C161" s="130">
        <v>1</v>
      </c>
    </row>
    <row r="162" spans="1:3" ht="16.5" thickBot="1" x14ac:dyDescent="0.3">
      <c r="A162" s="140" t="s">
        <v>340</v>
      </c>
      <c r="B162" s="258">
        <v>0.5</v>
      </c>
      <c r="C162" s="130">
        <v>2</v>
      </c>
    </row>
    <row r="163" spans="1:3" s="261" customFormat="1" ht="30.75" thickBot="1" x14ac:dyDescent="0.3">
      <c r="A163" s="319" t="s">
        <v>579</v>
      </c>
      <c r="B163" s="319">
        <v>0.76</v>
      </c>
      <c r="C163" s="261">
        <v>30</v>
      </c>
    </row>
    <row r="164" spans="1:3" ht="16.5" thickBot="1" x14ac:dyDescent="0.3">
      <c r="A164" s="140" t="s">
        <v>338</v>
      </c>
      <c r="B164" s="262">
        <f>B163/$B$27</f>
        <v>3.6959587608811945E-3</v>
      </c>
    </row>
    <row r="165" spans="1:3" ht="16.5" thickBot="1" x14ac:dyDescent="0.3">
      <c r="A165" s="140" t="s">
        <v>339</v>
      </c>
      <c r="B165" s="258">
        <v>0.76</v>
      </c>
      <c r="C165" s="130">
        <v>1</v>
      </c>
    </row>
    <row r="166" spans="1:3" ht="16.5" thickBot="1" x14ac:dyDescent="0.3">
      <c r="A166" s="140" t="s">
        <v>340</v>
      </c>
      <c r="B166" s="258">
        <v>0.76</v>
      </c>
      <c r="C166" s="130">
        <v>2</v>
      </c>
    </row>
    <row r="167" spans="1:3" s="261" customFormat="1" ht="30.75" thickBot="1" x14ac:dyDescent="0.3">
      <c r="A167" s="319" t="s">
        <v>580</v>
      </c>
      <c r="B167" s="319">
        <v>9.5579999999999998E-2</v>
      </c>
      <c r="C167" s="261">
        <v>30</v>
      </c>
    </row>
    <row r="168" spans="1:3" ht="16.5" thickBot="1" x14ac:dyDescent="0.3">
      <c r="A168" s="140" t="s">
        <v>338</v>
      </c>
      <c r="B168" s="262">
        <f>B167/$B$27</f>
        <v>4.6481544521713756E-4</v>
      </c>
    </row>
    <row r="169" spans="1:3" ht="16.5" thickBot="1" x14ac:dyDescent="0.3">
      <c r="A169" s="140" t="s">
        <v>339</v>
      </c>
      <c r="B169" s="258">
        <v>9.5579999999999998E-2</v>
      </c>
      <c r="C169" s="130">
        <v>1</v>
      </c>
    </row>
    <row r="170" spans="1:3" ht="16.5" thickBot="1" x14ac:dyDescent="0.3">
      <c r="A170" s="140" t="s">
        <v>340</v>
      </c>
      <c r="B170" s="258">
        <v>9.5579999999999998E-2</v>
      </c>
      <c r="C170" s="130">
        <v>2</v>
      </c>
    </row>
    <row r="171" spans="1:3" s="261" customFormat="1" ht="30.75" thickBot="1" x14ac:dyDescent="0.3">
      <c r="A171" s="319" t="s">
        <v>581</v>
      </c>
      <c r="B171" s="319">
        <v>0.08</v>
      </c>
      <c r="C171" s="261">
        <v>30</v>
      </c>
    </row>
    <row r="172" spans="1:3" ht="16.5" thickBot="1" x14ac:dyDescent="0.3">
      <c r="A172" s="140" t="s">
        <v>338</v>
      </c>
      <c r="B172" s="262">
        <f>B171/$B$27</f>
        <v>3.890482906190731E-4</v>
      </c>
    </row>
    <row r="173" spans="1:3" ht="16.5" thickBot="1" x14ac:dyDescent="0.3">
      <c r="A173" s="140" t="s">
        <v>339</v>
      </c>
      <c r="B173" s="258">
        <v>0.08</v>
      </c>
      <c r="C173" s="130">
        <v>1</v>
      </c>
    </row>
    <row r="174" spans="1:3" ht="16.5" thickBot="1" x14ac:dyDescent="0.3">
      <c r="A174" s="140" t="s">
        <v>340</v>
      </c>
      <c r="B174" s="258">
        <v>0.08</v>
      </c>
      <c r="C174" s="130">
        <v>2</v>
      </c>
    </row>
    <row r="175" spans="1:3" s="261" customFormat="1" ht="30.75" thickBot="1" x14ac:dyDescent="0.3">
      <c r="A175" s="319" t="s">
        <v>582</v>
      </c>
      <c r="B175" s="319">
        <v>2.68804</v>
      </c>
      <c r="C175" s="261">
        <v>30</v>
      </c>
    </row>
    <row r="176" spans="1:3" ht="16.5" thickBot="1" x14ac:dyDescent="0.3">
      <c r="A176" s="140" t="s">
        <v>338</v>
      </c>
      <c r="B176" s="262">
        <f>B175/$B$27</f>
        <v>1.3072217088946165E-2</v>
      </c>
    </row>
    <row r="177" spans="1:3" ht="16.5" thickBot="1" x14ac:dyDescent="0.3">
      <c r="A177" s="140" t="s">
        <v>339</v>
      </c>
      <c r="B177" s="258">
        <v>2.68804</v>
      </c>
      <c r="C177" s="130">
        <v>1</v>
      </c>
    </row>
    <row r="178" spans="1:3" ht="16.5" thickBot="1" x14ac:dyDescent="0.3">
      <c r="A178" s="140" t="s">
        <v>340</v>
      </c>
      <c r="B178" s="258">
        <v>2.68804</v>
      </c>
      <c r="C178" s="130">
        <v>2</v>
      </c>
    </row>
    <row r="179" spans="1:3" s="261" customFormat="1" ht="16.5" thickBot="1" x14ac:dyDescent="0.3">
      <c r="A179" s="259" t="s">
        <v>337</v>
      </c>
      <c r="B179" s="260"/>
      <c r="C179" s="261">
        <v>30</v>
      </c>
    </row>
    <row r="180" spans="1:3" ht="16.5" thickBot="1" x14ac:dyDescent="0.3">
      <c r="A180" s="140" t="s">
        <v>338</v>
      </c>
      <c r="B180" s="262">
        <f>B179/$B$27</f>
        <v>0</v>
      </c>
    </row>
    <row r="181" spans="1:3" ht="16.5" thickBot="1" x14ac:dyDescent="0.3">
      <c r="A181" s="140" t="s">
        <v>339</v>
      </c>
      <c r="B181" s="258"/>
      <c r="C181" s="130">
        <v>1</v>
      </c>
    </row>
    <row r="182" spans="1:3" ht="16.5" thickBot="1" x14ac:dyDescent="0.3">
      <c r="A182" s="140" t="s">
        <v>340</v>
      </c>
      <c r="B182" s="258"/>
      <c r="C182" s="130">
        <v>2</v>
      </c>
    </row>
    <row r="183" spans="1:3" s="261" customFormat="1" ht="16.5" thickBot="1" x14ac:dyDescent="0.3">
      <c r="A183" s="259" t="s">
        <v>337</v>
      </c>
      <c r="B183" s="260"/>
      <c r="C183" s="261">
        <v>30</v>
      </c>
    </row>
    <row r="184" spans="1:3" ht="16.5" thickBot="1" x14ac:dyDescent="0.3">
      <c r="A184" s="140" t="s">
        <v>338</v>
      </c>
      <c r="B184" s="262">
        <f>B183/$B$27</f>
        <v>0</v>
      </c>
    </row>
    <row r="185" spans="1:3" ht="16.5" thickBot="1" x14ac:dyDescent="0.3">
      <c r="A185" s="140" t="s">
        <v>339</v>
      </c>
      <c r="B185" s="258"/>
      <c r="C185" s="130">
        <v>1</v>
      </c>
    </row>
    <row r="186" spans="1:3" ht="16.5" thickBot="1" x14ac:dyDescent="0.3">
      <c r="A186" s="140" t="s">
        <v>340</v>
      </c>
      <c r="B186" s="258"/>
      <c r="C186" s="130">
        <v>2</v>
      </c>
    </row>
    <row r="187" spans="1:3" s="261" customFormat="1" ht="16.5" thickBot="1" x14ac:dyDescent="0.3">
      <c r="A187" s="259" t="s">
        <v>337</v>
      </c>
      <c r="B187" s="260"/>
      <c r="C187" s="261">
        <v>30</v>
      </c>
    </row>
    <row r="188" spans="1:3" ht="16.5" thickBot="1" x14ac:dyDescent="0.3">
      <c r="A188" s="140" t="s">
        <v>338</v>
      </c>
      <c r="B188" s="262">
        <f>B187/$B$27</f>
        <v>0</v>
      </c>
    </row>
    <row r="189" spans="1:3" ht="16.5" thickBot="1" x14ac:dyDescent="0.3">
      <c r="A189" s="140" t="s">
        <v>339</v>
      </c>
      <c r="B189" s="258"/>
      <c r="C189" s="130">
        <v>1</v>
      </c>
    </row>
    <row r="190" spans="1:3" ht="16.5" thickBot="1" x14ac:dyDescent="0.3">
      <c r="A190" s="140" t="s">
        <v>340</v>
      </c>
      <c r="B190" s="258"/>
      <c r="C190" s="130">
        <v>2</v>
      </c>
    </row>
    <row r="191" spans="1:3" s="261" customFormat="1" ht="16.5" thickBot="1" x14ac:dyDescent="0.3">
      <c r="A191" s="259" t="s">
        <v>337</v>
      </c>
      <c r="B191" s="260"/>
      <c r="C191" s="261">
        <v>30</v>
      </c>
    </row>
    <row r="192" spans="1:3" ht="16.5" thickBot="1" x14ac:dyDescent="0.3">
      <c r="A192" s="140" t="s">
        <v>338</v>
      </c>
      <c r="B192" s="262">
        <f>B191/$B$27</f>
        <v>0</v>
      </c>
    </row>
    <row r="193" spans="1:3" ht="16.5" thickBot="1" x14ac:dyDescent="0.3">
      <c r="A193" s="140" t="s">
        <v>339</v>
      </c>
      <c r="B193" s="258"/>
      <c r="C193" s="130">
        <v>1</v>
      </c>
    </row>
    <row r="194" spans="1:3" ht="16.5" thickBot="1" x14ac:dyDescent="0.3">
      <c r="A194" s="140" t="s">
        <v>340</v>
      </c>
      <c r="B194" s="258"/>
      <c r="C194" s="130">
        <v>2</v>
      </c>
    </row>
    <row r="195" spans="1:3" ht="29.25" thickBot="1" x14ac:dyDescent="0.3">
      <c r="A195" s="139" t="s">
        <v>343</v>
      </c>
      <c r="B195" s="147"/>
    </row>
    <row r="196" spans="1:3" ht="16.5" thickBot="1" x14ac:dyDescent="0.3">
      <c r="A196" s="141" t="s">
        <v>335</v>
      </c>
      <c r="B196" s="147"/>
    </row>
    <row r="197" spans="1:3" ht="16.5" thickBot="1" x14ac:dyDescent="0.3">
      <c r="A197" s="141" t="s">
        <v>344</v>
      </c>
      <c r="B197" s="147"/>
    </row>
    <row r="198" spans="1:3" ht="16.5" thickBot="1" x14ac:dyDescent="0.3">
      <c r="A198" s="141" t="s">
        <v>345</v>
      </c>
      <c r="B198" s="147"/>
    </row>
    <row r="199" spans="1:3" ht="16.5" thickBot="1" x14ac:dyDescent="0.3">
      <c r="A199" s="141" t="s">
        <v>346</v>
      </c>
      <c r="B199" s="147"/>
    </row>
    <row r="200" spans="1:3" ht="16.5" thickBot="1" x14ac:dyDescent="0.3">
      <c r="A200" s="136" t="s">
        <v>347</v>
      </c>
      <c r="B200" s="263">
        <f>B201/$B$27</f>
        <v>0.71374871871808609</v>
      </c>
    </row>
    <row r="201" spans="1:3" ht="16.5" thickBot="1" x14ac:dyDescent="0.3">
      <c r="A201" s="136" t="s">
        <v>348</v>
      </c>
      <c r="B201" s="264">
        <f xml:space="preserve"> SUMIF(C33:C194, 1,B33:B194)</f>
        <v>146.76814903000005</v>
      </c>
    </row>
    <row r="202" spans="1:3" ht="16.5" thickBot="1" x14ac:dyDescent="0.3">
      <c r="A202" s="136" t="s">
        <v>349</v>
      </c>
      <c r="B202" s="263">
        <f>B203/$B$27</f>
        <v>0.78594082278850386</v>
      </c>
    </row>
    <row r="203" spans="1:3" ht="16.5" thickBot="1" x14ac:dyDescent="0.3">
      <c r="A203" s="137" t="s">
        <v>350</v>
      </c>
      <c r="B203" s="264">
        <f xml:space="preserve"> SUMIF(C33:C194, 2,B33:B194)</f>
        <v>161.61301139000005</v>
      </c>
    </row>
    <row r="204" spans="1:3" x14ac:dyDescent="0.25">
      <c r="A204" s="139" t="s">
        <v>351</v>
      </c>
      <c r="B204" s="451" t="s">
        <v>352</v>
      </c>
    </row>
    <row r="205" spans="1:3" x14ac:dyDescent="0.25">
      <c r="A205" s="143" t="s">
        <v>353</v>
      </c>
      <c r="B205" s="452"/>
    </row>
    <row r="206" spans="1:3" x14ac:dyDescent="0.25">
      <c r="A206" s="143" t="s">
        <v>354</v>
      </c>
      <c r="B206" s="452"/>
    </row>
    <row r="207" spans="1:3" x14ac:dyDescent="0.25">
      <c r="A207" s="143" t="s">
        <v>355</v>
      </c>
      <c r="B207" s="452"/>
    </row>
    <row r="208" spans="1:3" x14ac:dyDescent="0.25">
      <c r="A208" s="143" t="s">
        <v>356</v>
      </c>
      <c r="B208" s="452"/>
    </row>
    <row r="209" spans="1:2" ht="16.5" thickBot="1" x14ac:dyDescent="0.3">
      <c r="A209" s="144" t="s">
        <v>357</v>
      </c>
      <c r="B209" s="453"/>
    </row>
    <row r="210" spans="1:2" ht="30.75" thickBot="1" x14ac:dyDescent="0.3">
      <c r="A210" s="141" t="s">
        <v>358</v>
      </c>
      <c r="B210" s="142"/>
    </row>
    <row r="211" spans="1:2" ht="29.25" thickBot="1" x14ac:dyDescent="0.3">
      <c r="A211" s="136" t="s">
        <v>359</v>
      </c>
      <c r="B211" s="142"/>
    </row>
    <row r="212" spans="1:2" ht="16.5" thickBot="1" x14ac:dyDescent="0.3">
      <c r="A212" s="141" t="s">
        <v>335</v>
      </c>
      <c r="B212" s="149"/>
    </row>
    <row r="213" spans="1:2" ht="16.5" thickBot="1" x14ac:dyDescent="0.3">
      <c r="A213" s="141" t="s">
        <v>360</v>
      </c>
      <c r="B213" s="142"/>
    </row>
    <row r="214" spans="1:2" ht="16.5" thickBot="1" x14ac:dyDescent="0.3">
      <c r="A214" s="141" t="s">
        <v>361</v>
      </c>
      <c r="B214" s="149"/>
    </row>
    <row r="215" spans="1:2" ht="30.75" thickBot="1" x14ac:dyDescent="0.3">
      <c r="A215" s="150" t="s">
        <v>362</v>
      </c>
      <c r="B215" s="257" t="s">
        <v>363</v>
      </c>
    </row>
    <row r="216" spans="1:2" ht="16.5" thickBot="1" x14ac:dyDescent="0.3">
      <c r="A216" s="136" t="s">
        <v>364</v>
      </c>
      <c r="B216" s="148"/>
    </row>
    <row r="217" spans="1:2" ht="16.5" thickBot="1" x14ac:dyDescent="0.3">
      <c r="A217" s="143" t="s">
        <v>365</v>
      </c>
      <c r="B217" s="151"/>
    </row>
    <row r="218" spans="1:2" ht="16.5" thickBot="1" x14ac:dyDescent="0.3">
      <c r="A218" s="143" t="s">
        <v>366</v>
      </c>
      <c r="B218" s="151"/>
    </row>
    <row r="219" spans="1:2" ht="16.5" thickBot="1" x14ac:dyDescent="0.3">
      <c r="A219" s="143" t="s">
        <v>367</v>
      </c>
      <c r="B219" s="151"/>
    </row>
    <row r="220" spans="1:2" ht="45.75" thickBot="1" x14ac:dyDescent="0.3">
      <c r="A220" s="152" t="s">
        <v>368</v>
      </c>
      <c r="B220" s="149" t="s">
        <v>369</v>
      </c>
    </row>
    <row r="221" spans="1:2" ht="28.5" x14ac:dyDescent="0.25">
      <c r="A221" s="139" t="s">
        <v>370</v>
      </c>
      <c r="B221" s="451" t="s">
        <v>371</v>
      </c>
    </row>
    <row r="222" spans="1:2" x14ac:dyDescent="0.25">
      <c r="A222" s="143" t="s">
        <v>372</v>
      </c>
      <c r="B222" s="452"/>
    </row>
    <row r="223" spans="1:2" x14ac:dyDescent="0.25">
      <c r="A223" s="143" t="s">
        <v>373</v>
      </c>
      <c r="B223" s="452"/>
    </row>
    <row r="224" spans="1:2" x14ac:dyDescent="0.25">
      <c r="A224" s="143" t="s">
        <v>374</v>
      </c>
      <c r="B224" s="452"/>
    </row>
    <row r="225" spans="1:2" x14ac:dyDescent="0.25">
      <c r="A225" s="143" t="s">
        <v>375</v>
      </c>
      <c r="B225" s="452"/>
    </row>
    <row r="226" spans="1:2" ht="16.5" thickBot="1" x14ac:dyDescent="0.3">
      <c r="A226" s="153" t="s">
        <v>376</v>
      </c>
      <c r="B226" s="453"/>
    </row>
    <row r="229" spans="1:2" x14ac:dyDescent="0.25">
      <c r="A229" s="154"/>
      <c r="B229" s="155"/>
    </row>
    <row r="230" spans="1:2" x14ac:dyDescent="0.25">
      <c r="B230" s="156"/>
    </row>
    <row r="231" spans="1:2" x14ac:dyDescent="0.25">
      <c r="B231" s="157"/>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row>
    <row r="5" spans="1:28" s="12" customFormat="1" ht="15.75" x14ac:dyDescent="0.2">
      <c r="A5" s="17"/>
    </row>
    <row r="6" spans="1:28" s="12" customFormat="1" ht="18.75" x14ac:dyDescent="0.2">
      <c r="A6" s="330" t="s">
        <v>10</v>
      </c>
      <c r="B6" s="330"/>
      <c r="C6" s="330"/>
      <c r="D6" s="330"/>
      <c r="E6" s="330"/>
      <c r="F6" s="330"/>
      <c r="G6" s="330"/>
      <c r="H6" s="330"/>
      <c r="I6" s="330"/>
      <c r="J6" s="330"/>
      <c r="K6" s="330"/>
      <c r="L6" s="330"/>
      <c r="M6" s="330"/>
      <c r="N6" s="330"/>
      <c r="O6" s="330"/>
      <c r="P6" s="330"/>
      <c r="Q6" s="330"/>
      <c r="R6" s="330"/>
      <c r="S6" s="330"/>
      <c r="T6" s="13"/>
      <c r="U6" s="13"/>
      <c r="V6" s="13"/>
      <c r="W6" s="13"/>
      <c r="X6" s="13"/>
      <c r="Y6" s="13"/>
      <c r="Z6" s="13"/>
      <c r="AA6" s="13"/>
      <c r="AB6" s="13"/>
    </row>
    <row r="7" spans="1:28" s="12" customFormat="1" ht="18.75" x14ac:dyDescent="0.2">
      <c r="A7" s="330"/>
      <c r="B7" s="330"/>
      <c r="C7" s="330"/>
      <c r="D7" s="330"/>
      <c r="E7" s="330"/>
      <c r="F7" s="330"/>
      <c r="G7" s="330"/>
      <c r="H7" s="330"/>
      <c r="I7" s="330"/>
      <c r="J7" s="330"/>
      <c r="K7" s="330"/>
      <c r="L7" s="330"/>
      <c r="M7" s="330"/>
      <c r="N7" s="330"/>
      <c r="O7" s="330"/>
      <c r="P7" s="330"/>
      <c r="Q7" s="330"/>
      <c r="R7" s="330"/>
      <c r="S7" s="330"/>
      <c r="T7" s="13"/>
      <c r="U7" s="13"/>
      <c r="V7" s="13"/>
      <c r="W7" s="13"/>
      <c r="X7" s="13"/>
      <c r="Y7" s="13"/>
      <c r="Z7" s="13"/>
      <c r="AA7" s="13"/>
      <c r="AB7" s="13"/>
    </row>
    <row r="8" spans="1:28" s="12" customFormat="1" ht="18.75" x14ac:dyDescent="0.2">
      <c r="A8" s="333" t="str">
        <f>'1. паспорт местоположение'!A9:C9</f>
        <v xml:space="preserve">                         АО "Янтарьэнерго"                         </v>
      </c>
      <c r="B8" s="333"/>
      <c r="C8" s="333"/>
      <c r="D8" s="333"/>
      <c r="E8" s="333"/>
      <c r="F8" s="333"/>
      <c r="G8" s="333"/>
      <c r="H8" s="333"/>
      <c r="I8" s="333"/>
      <c r="J8" s="333"/>
      <c r="K8" s="333"/>
      <c r="L8" s="333"/>
      <c r="M8" s="333"/>
      <c r="N8" s="333"/>
      <c r="O8" s="333"/>
      <c r="P8" s="333"/>
      <c r="Q8" s="333"/>
      <c r="R8" s="333"/>
      <c r="S8" s="333"/>
      <c r="T8" s="13"/>
      <c r="U8" s="13"/>
      <c r="V8" s="13"/>
      <c r="W8" s="13"/>
      <c r="X8" s="13"/>
      <c r="Y8" s="13"/>
      <c r="Z8" s="13"/>
      <c r="AA8" s="13"/>
      <c r="AB8" s="13"/>
    </row>
    <row r="9" spans="1:28" s="12" customFormat="1" ht="18.75" x14ac:dyDescent="0.2">
      <c r="A9" s="327" t="s">
        <v>9</v>
      </c>
      <c r="B9" s="327"/>
      <c r="C9" s="327"/>
      <c r="D9" s="327"/>
      <c r="E9" s="327"/>
      <c r="F9" s="327"/>
      <c r="G9" s="327"/>
      <c r="H9" s="327"/>
      <c r="I9" s="327"/>
      <c r="J9" s="327"/>
      <c r="K9" s="327"/>
      <c r="L9" s="327"/>
      <c r="M9" s="327"/>
      <c r="N9" s="327"/>
      <c r="O9" s="327"/>
      <c r="P9" s="327"/>
      <c r="Q9" s="327"/>
      <c r="R9" s="327"/>
      <c r="S9" s="327"/>
      <c r="T9" s="13"/>
      <c r="U9" s="13"/>
      <c r="V9" s="13"/>
      <c r="W9" s="13"/>
      <c r="X9" s="13"/>
      <c r="Y9" s="13"/>
      <c r="Z9" s="13"/>
      <c r="AA9" s="13"/>
      <c r="AB9" s="13"/>
    </row>
    <row r="10" spans="1:28" s="12" customFormat="1" ht="18.75" x14ac:dyDescent="0.2">
      <c r="A10" s="330"/>
      <c r="B10" s="330"/>
      <c r="C10" s="330"/>
      <c r="D10" s="330"/>
      <c r="E10" s="330"/>
      <c r="F10" s="330"/>
      <c r="G10" s="330"/>
      <c r="H10" s="330"/>
      <c r="I10" s="330"/>
      <c r="J10" s="330"/>
      <c r="K10" s="330"/>
      <c r="L10" s="330"/>
      <c r="M10" s="330"/>
      <c r="N10" s="330"/>
      <c r="O10" s="330"/>
      <c r="P10" s="330"/>
      <c r="Q10" s="330"/>
      <c r="R10" s="330"/>
      <c r="S10" s="330"/>
      <c r="T10" s="13"/>
      <c r="U10" s="13"/>
      <c r="V10" s="13"/>
      <c r="W10" s="13"/>
      <c r="X10" s="13"/>
      <c r="Y10" s="13"/>
      <c r="Z10" s="13"/>
      <c r="AA10" s="13"/>
      <c r="AB10" s="13"/>
    </row>
    <row r="11" spans="1:28" s="12" customFormat="1" ht="18.75" x14ac:dyDescent="0.2">
      <c r="A11" s="333" t="str">
        <f>'1. паспорт местоположение'!A12:C12</f>
        <v>А_prj_111001_2484</v>
      </c>
      <c r="B11" s="333"/>
      <c r="C11" s="333"/>
      <c r="D11" s="333"/>
      <c r="E11" s="333"/>
      <c r="F11" s="333"/>
      <c r="G11" s="333"/>
      <c r="H11" s="333"/>
      <c r="I11" s="333"/>
      <c r="J11" s="333"/>
      <c r="K11" s="333"/>
      <c r="L11" s="333"/>
      <c r="M11" s="333"/>
      <c r="N11" s="333"/>
      <c r="O11" s="333"/>
      <c r="P11" s="333"/>
      <c r="Q11" s="333"/>
      <c r="R11" s="333"/>
      <c r="S11" s="333"/>
      <c r="T11" s="13"/>
      <c r="U11" s="13"/>
      <c r="V11" s="13"/>
      <c r="W11" s="13"/>
      <c r="X11" s="13"/>
      <c r="Y11" s="13"/>
      <c r="Z11" s="13"/>
      <c r="AA11" s="13"/>
      <c r="AB11" s="13"/>
    </row>
    <row r="12" spans="1:28" s="12" customFormat="1" ht="18.75" x14ac:dyDescent="0.2">
      <c r="A12" s="327" t="s">
        <v>8</v>
      </c>
      <c r="B12" s="327"/>
      <c r="C12" s="327"/>
      <c r="D12" s="327"/>
      <c r="E12" s="327"/>
      <c r="F12" s="327"/>
      <c r="G12" s="327"/>
      <c r="H12" s="327"/>
      <c r="I12" s="327"/>
      <c r="J12" s="327"/>
      <c r="K12" s="327"/>
      <c r="L12" s="327"/>
      <c r="M12" s="327"/>
      <c r="N12" s="327"/>
      <c r="O12" s="327"/>
      <c r="P12" s="327"/>
      <c r="Q12" s="327"/>
      <c r="R12" s="327"/>
      <c r="S12" s="327"/>
      <c r="T12" s="13"/>
      <c r="U12" s="13"/>
      <c r="V12" s="13"/>
      <c r="W12" s="13"/>
      <c r="X12" s="13"/>
      <c r="Y12" s="13"/>
      <c r="Z12" s="13"/>
      <c r="AA12" s="13"/>
      <c r="AB12" s="13"/>
    </row>
    <row r="13" spans="1:28" s="9"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10"/>
      <c r="U13" s="10"/>
      <c r="V13" s="10"/>
      <c r="W13" s="10"/>
      <c r="X13" s="10"/>
      <c r="Y13" s="10"/>
      <c r="Z13" s="10"/>
      <c r="AA13" s="10"/>
      <c r="AB13" s="10"/>
    </row>
    <row r="14" spans="1:28" s="3" customFormat="1" ht="15.75" x14ac:dyDescent="0.2">
      <c r="A14" s="338" t="str">
        <f>'1. паспорт местоположение'!A15:C15</f>
        <v xml:space="preserve">Расширение ПС 110/15кВ О-47 "Борисово" </v>
      </c>
      <c r="B14" s="338"/>
      <c r="C14" s="338"/>
      <c r="D14" s="338"/>
      <c r="E14" s="338"/>
      <c r="F14" s="338"/>
      <c r="G14" s="338"/>
      <c r="H14" s="338"/>
      <c r="I14" s="338"/>
      <c r="J14" s="338"/>
      <c r="K14" s="338"/>
      <c r="L14" s="338"/>
      <c r="M14" s="338"/>
      <c r="N14" s="338"/>
      <c r="O14" s="338"/>
      <c r="P14" s="338"/>
      <c r="Q14" s="338"/>
      <c r="R14" s="338"/>
      <c r="S14" s="338"/>
      <c r="T14" s="8"/>
      <c r="U14" s="8"/>
      <c r="V14" s="8"/>
      <c r="W14" s="8"/>
      <c r="X14" s="8"/>
      <c r="Y14" s="8"/>
      <c r="Z14" s="8"/>
      <c r="AA14" s="8"/>
      <c r="AB14" s="8"/>
    </row>
    <row r="15" spans="1:28" s="3" customFormat="1" ht="15" customHeight="1" x14ac:dyDescent="0.2">
      <c r="A15" s="327" t="s">
        <v>7</v>
      </c>
      <c r="B15" s="327"/>
      <c r="C15" s="327"/>
      <c r="D15" s="327"/>
      <c r="E15" s="327"/>
      <c r="F15" s="327"/>
      <c r="G15" s="327"/>
      <c r="H15" s="327"/>
      <c r="I15" s="327"/>
      <c r="J15" s="327"/>
      <c r="K15" s="327"/>
      <c r="L15" s="327"/>
      <c r="M15" s="327"/>
      <c r="N15" s="327"/>
      <c r="O15" s="327"/>
      <c r="P15" s="327"/>
      <c r="Q15" s="327"/>
      <c r="R15" s="327"/>
      <c r="S15" s="327"/>
      <c r="T15" s="6"/>
      <c r="U15" s="6"/>
      <c r="V15" s="6"/>
      <c r="W15" s="6"/>
      <c r="X15" s="6"/>
      <c r="Y15" s="6"/>
      <c r="Z15" s="6"/>
      <c r="AA15" s="6"/>
      <c r="AB15" s="6"/>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28" t="s">
        <v>410</v>
      </c>
      <c r="B17" s="328"/>
      <c r="C17" s="328"/>
      <c r="D17" s="328"/>
      <c r="E17" s="328"/>
      <c r="F17" s="328"/>
      <c r="G17" s="328"/>
      <c r="H17" s="328"/>
      <c r="I17" s="328"/>
      <c r="J17" s="328"/>
      <c r="K17" s="328"/>
      <c r="L17" s="328"/>
      <c r="M17" s="328"/>
      <c r="N17" s="328"/>
      <c r="O17" s="328"/>
      <c r="P17" s="328"/>
      <c r="Q17" s="328"/>
      <c r="R17" s="328"/>
      <c r="S17" s="328"/>
      <c r="T17" s="7"/>
      <c r="U17" s="7"/>
      <c r="V17" s="7"/>
      <c r="W17" s="7"/>
      <c r="X17" s="7"/>
      <c r="Y17" s="7"/>
      <c r="Z17" s="7"/>
      <c r="AA17" s="7"/>
      <c r="AB17" s="7"/>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31" t="s">
        <v>6</v>
      </c>
      <c r="B19" s="331" t="s">
        <v>109</v>
      </c>
      <c r="C19" s="334" t="s">
        <v>326</v>
      </c>
      <c r="D19" s="331" t="s">
        <v>325</v>
      </c>
      <c r="E19" s="331" t="s">
        <v>108</v>
      </c>
      <c r="F19" s="331" t="s">
        <v>107</v>
      </c>
      <c r="G19" s="331" t="s">
        <v>321</v>
      </c>
      <c r="H19" s="331" t="s">
        <v>106</v>
      </c>
      <c r="I19" s="331" t="s">
        <v>105</v>
      </c>
      <c r="J19" s="331" t="s">
        <v>104</v>
      </c>
      <c r="K19" s="331" t="s">
        <v>103</v>
      </c>
      <c r="L19" s="331" t="s">
        <v>102</v>
      </c>
      <c r="M19" s="331" t="s">
        <v>101</v>
      </c>
      <c r="N19" s="331" t="s">
        <v>100</v>
      </c>
      <c r="O19" s="331" t="s">
        <v>99</v>
      </c>
      <c r="P19" s="331" t="s">
        <v>98</v>
      </c>
      <c r="Q19" s="331" t="s">
        <v>324</v>
      </c>
      <c r="R19" s="331"/>
      <c r="S19" s="336" t="s">
        <v>402</v>
      </c>
      <c r="T19" s="4"/>
      <c r="U19" s="4"/>
      <c r="V19" s="4"/>
      <c r="W19" s="4"/>
      <c r="X19" s="4"/>
      <c r="Y19" s="4"/>
    </row>
    <row r="20" spans="1:28" s="3" customFormat="1" ht="180.75" customHeight="1" x14ac:dyDescent="0.2">
      <c r="A20" s="331"/>
      <c r="B20" s="331"/>
      <c r="C20" s="335"/>
      <c r="D20" s="331"/>
      <c r="E20" s="331"/>
      <c r="F20" s="331"/>
      <c r="G20" s="331"/>
      <c r="H20" s="331"/>
      <c r="I20" s="331"/>
      <c r="J20" s="331"/>
      <c r="K20" s="331"/>
      <c r="L20" s="331"/>
      <c r="M20" s="331"/>
      <c r="N20" s="331"/>
      <c r="O20" s="331"/>
      <c r="P20" s="331"/>
      <c r="Q20" s="45" t="s">
        <v>322</v>
      </c>
      <c r="R20" s="46" t="s">
        <v>323</v>
      </c>
      <c r="S20" s="336"/>
      <c r="T20" s="30"/>
      <c r="U20" s="30"/>
      <c r="V20" s="30"/>
      <c r="W20" s="30"/>
      <c r="X20" s="30"/>
      <c r="Y20" s="30"/>
      <c r="Z20" s="29"/>
      <c r="AA20" s="29"/>
      <c r="AB20" s="29"/>
    </row>
    <row r="21" spans="1:28" s="3" customFormat="1" ht="18.75" x14ac:dyDescent="0.2">
      <c r="A21" s="45">
        <v>1</v>
      </c>
      <c r="B21" s="50">
        <v>2</v>
      </c>
      <c r="C21" s="45">
        <v>3</v>
      </c>
      <c r="D21" s="50">
        <v>4</v>
      </c>
      <c r="E21" s="45">
        <v>5</v>
      </c>
      <c r="F21" s="50">
        <v>6</v>
      </c>
      <c r="G21" s="163">
        <v>7</v>
      </c>
      <c r="H21" s="164">
        <v>8</v>
      </c>
      <c r="I21" s="163">
        <v>9</v>
      </c>
      <c r="J21" s="164">
        <v>10</v>
      </c>
      <c r="K21" s="163">
        <v>11</v>
      </c>
      <c r="L21" s="164">
        <v>12</v>
      </c>
      <c r="M21" s="163">
        <v>13</v>
      </c>
      <c r="N21" s="164">
        <v>14</v>
      </c>
      <c r="O21" s="163">
        <v>15</v>
      </c>
      <c r="P21" s="164">
        <v>16</v>
      </c>
      <c r="Q21" s="163">
        <v>17</v>
      </c>
      <c r="R21" s="164">
        <v>18</v>
      </c>
      <c r="S21" s="163">
        <v>19</v>
      </c>
      <c r="T21" s="30"/>
      <c r="U21" s="30"/>
      <c r="V21" s="30"/>
      <c r="W21" s="30"/>
      <c r="X21" s="30"/>
      <c r="Y21" s="30"/>
      <c r="Z21" s="29"/>
      <c r="AA21" s="29"/>
      <c r="AB21" s="29"/>
    </row>
    <row r="22" spans="1:28" s="3" customFormat="1" ht="32.25" customHeight="1" x14ac:dyDescent="0.2">
      <c r="A22" s="45"/>
      <c r="B22" s="50" t="s">
        <v>97</v>
      </c>
      <c r="C22" s="50"/>
      <c r="D22" s="50"/>
      <c r="E22" s="50" t="s">
        <v>96</v>
      </c>
      <c r="F22" s="50" t="s">
        <v>95</v>
      </c>
      <c r="G22" s="50" t="s">
        <v>403</v>
      </c>
      <c r="H22" s="50"/>
      <c r="I22" s="50"/>
      <c r="J22" s="50"/>
      <c r="K22" s="50"/>
      <c r="L22" s="50"/>
      <c r="M22" s="50"/>
      <c r="N22" s="50"/>
      <c r="O22" s="50"/>
      <c r="P22" s="50"/>
      <c r="Q22" s="41"/>
      <c r="R22" s="5"/>
      <c r="S22" s="162"/>
      <c r="T22" s="30"/>
      <c r="U22" s="30"/>
      <c r="V22" s="30"/>
      <c r="W22" s="30"/>
      <c r="X22" s="30"/>
      <c r="Y22" s="30"/>
      <c r="Z22" s="29"/>
      <c r="AA22" s="29"/>
      <c r="AB22" s="29"/>
    </row>
    <row r="23" spans="1:28" s="3" customFormat="1" ht="18.75" x14ac:dyDescent="0.2">
      <c r="A23" s="45"/>
      <c r="B23" s="50" t="s">
        <v>97</v>
      </c>
      <c r="C23" s="50"/>
      <c r="D23" s="50"/>
      <c r="E23" s="50" t="s">
        <v>96</v>
      </c>
      <c r="F23" s="50" t="s">
        <v>95</v>
      </c>
      <c r="G23" s="50" t="s">
        <v>94</v>
      </c>
      <c r="H23" s="33"/>
      <c r="I23" s="33"/>
      <c r="J23" s="33"/>
      <c r="K23" s="33"/>
      <c r="L23" s="33"/>
      <c r="M23" s="33"/>
      <c r="N23" s="33"/>
      <c r="O23" s="33"/>
      <c r="P23" s="33"/>
      <c r="Q23" s="33"/>
      <c r="R23" s="5"/>
      <c r="S23" s="162"/>
      <c r="T23" s="30"/>
      <c r="U23" s="30"/>
      <c r="V23" s="30"/>
      <c r="W23" s="30"/>
      <c r="X23" s="29"/>
      <c r="Y23" s="29"/>
      <c r="Z23" s="29"/>
      <c r="AA23" s="29"/>
      <c r="AB23" s="29"/>
    </row>
    <row r="24" spans="1:28" s="3" customFormat="1" ht="18.75" x14ac:dyDescent="0.2">
      <c r="A24" s="45"/>
      <c r="B24" s="50" t="s">
        <v>97</v>
      </c>
      <c r="C24" s="50"/>
      <c r="D24" s="50"/>
      <c r="E24" s="50" t="s">
        <v>96</v>
      </c>
      <c r="F24" s="50" t="s">
        <v>95</v>
      </c>
      <c r="G24" s="50" t="s">
        <v>90</v>
      </c>
      <c r="H24" s="33"/>
      <c r="I24" s="33"/>
      <c r="J24" s="33"/>
      <c r="K24" s="33"/>
      <c r="L24" s="33"/>
      <c r="M24" s="33"/>
      <c r="N24" s="33"/>
      <c r="O24" s="33"/>
      <c r="P24" s="33"/>
      <c r="Q24" s="33"/>
      <c r="R24" s="5"/>
      <c r="S24" s="162"/>
      <c r="T24" s="30"/>
      <c r="U24" s="30"/>
      <c r="V24" s="30"/>
      <c r="W24" s="30"/>
      <c r="X24" s="29"/>
      <c r="Y24" s="29"/>
      <c r="Z24" s="29"/>
      <c r="AA24" s="29"/>
      <c r="AB24" s="29"/>
    </row>
    <row r="25" spans="1:28" s="3" customFormat="1" ht="31.5" x14ac:dyDescent="0.2">
      <c r="A25" s="49"/>
      <c r="B25" s="50" t="s">
        <v>93</v>
      </c>
      <c r="C25" s="50"/>
      <c r="D25" s="50"/>
      <c r="E25" s="50" t="s">
        <v>92</v>
      </c>
      <c r="F25" s="50" t="s">
        <v>91</v>
      </c>
      <c r="G25" s="50" t="s">
        <v>404</v>
      </c>
      <c r="H25" s="33"/>
      <c r="I25" s="33"/>
      <c r="J25" s="33"/>
      <c r="K25" s="33"/>
      <c r="L25" s="33"/>
      <c r="M25" s="33"/>
      <c r="N25" s="33"/>
      <c r="O25" s="33"/>
      <c r="P25" s="33"/>
      <c r="Q25" s="33"/>
      <c r="R25" s="5"/>
      <c r="S25" s="162"/>
      <c r="T25" s="30"/>
      <c r="U25" s="30"/>
      <c r="V25" s="30"/>
      <c r="W25" s="30"/>
      <c r="X25" s="29"/>
      <c r="Y25" s="29"/>
      <c r="Z25" s="29"/>
      <c r="AA25" s="29"/>
      <c r="AB25" s="29"/>
    </row>
    <row r="26" spans="1:28" s="3" customFormat="1" ht="18.75" x14ac:dyDescent="0.2">
      <c r="A26" s="49"/>
      <c r="B26" s="50" t="s">
        <v>93</v>
      </c>
      <c r="C26" s="50"/>
      <c r="D26" s="50"/>
      <c r="E26" s="50" t="s">
        <v>92</v>
      </c>
      <c r="F26" s="50" t="s">
        <v>91</v>
      </c>
      <c r="G26" s="50" t="s">
        <v>94</v>
      </c>
      <c r="H26" s="33"/>
      <c r="I26" s="33"/>
      <c r="J26" s="33"/>
      <c r="K26" s="33"/>
      <c r="L26" s="33"/>
      <c r="M26" s="33"/>
      <c r="N26" s="33"/>
      <c r="O26" s="33"/>
      <c r="P26" s="33"/>
      <c r="Q26" s="33"/>
      <c r="R26" s="5"/>
      <c r="S26" s="162"/>
      <c r="T26" s="30"/>
      <c r="U26" s="30"/>
      <c r="V26" s="30"/>
      <c r="W26" s="30"/>
      <c r="X26" s="29"/>
      <c r="Y26" s="29"/>
      <c r="Z26" s="29"/>
      <c r="AA26" s="29"/>
      <c r="AB26" s="29"/>
    </row>
    <row r="27" spans="1:28" s="3" customFormat="1" ht="18.75" x14ac:dyDescent="0.2">
      <c r="A27" s="49"/>
      <c r="B27" s="50" t="s">
        <v>93</v>
      </c>
      <c r="C27" s="50"/>
      <c r="D27" s="50"/>
      <c r="E27" s="50" t="s">
        <v>92</v>
      </c>
      <c r="F27" s="50" t="s">
        <v>91</v>
      </c>
      <c r="G27" s="50" t="s">
        <v>90</v>
      </c>
      <c r="H27" s="33"/>
      <c r="I27" s="33"/>
      <c r="J27" s="33"/>
      <c r="K27" s="33"/>
      <c r="L27" s="33"/>
      <c r="M27" s="33"/>
      <c r="N27" s="33"/>
      <c r="O27" s="33"/>
      <c r="P27" s="33"/>
      <c r="Q27" s="33"/>
      <c r="R27" s="5"/>
      <c r="S27" s="162"/>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2"/>
      <c r="T28" s="30"/>
      <c r="U28" s="30"/>
      <c r="V28" s="30"/>
      <c r="W28" s="30"/>
      <c r="X28" s="29"/>
      <c r="Y28" s="29"/>
      <c r="Z28" s="29"/>
      <c r="AA28" s="29"/>
      <c r="AB28" s="29"/>
    </row>
    <row r="29" spans="1:28" ht="20.25" customHeight="1" x14ac:dyDescent="0.25">
      <c r="A29" s="127"/>
      <c r="B29" s="50" t="s">
        <v>319</v>
      </c>
      <c r="C29" s="50"/>
      <c r="D29" s="50"/>
      <c r="E29" s="127" t="s">
        <v>320</v>
      </c>
      <c r="F29" s="127" t="s">
        <v>320</v>
      </c>
      <c r="G29" s="127" t="s">
        <v>320</v>
      </c>
      <c r="H29" s="127"/>
      <c r="I29" s="127"/>
      <c r="J29" s="127"/>
      <c r="K29" s="127"/>
      <c r="L29" s="127"/>
      <c r="M29" s="127"/>
      <c r="N29" s="127"/>
      <c r="O29" s="127"/>
      <c r="P29" s="127"/>
      <c r="Q29" s="128"/>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16" zoomScale="60" zoomScaleNormal="60" workbookViewId="0">
      <selection activeCell="A2" sqref="A2"/>
    </sheetView>
  </sheetViews>
  <sheetFormatPr defaultColWidth="10.7109375" defaultRowHeight="15.75" x14ac:dyDescent="0.25"/>
  <cols>
    <col min="1" max="1" width="9.5703125" style="55" customWidth="1"/>
    <col min="2" max="3" width="17.28515625" style="55" customWidth="1"/>
    <col min="4" max="4" width="16.140625" style="55" customWidth="1"/>
    <col min="5" max="6" width="24.7109375" style="55" customWidth="1"/>
    <col min="7" max="8" width="16.28515625" style="55" customWidth="1"/>
    <col min="9" max="11" width="15.85546875" style="55" customWidth="1"/>
    <col min="12" max="13" width="10.7109375" style="55" customWidth="1"/>
    <col min="14" max="15" width="11.855468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2" t="str">
        <f>'1. паспорт местоположение'!A5:C5</f>
        <v>Год раскрытия информации: 2016 год</v>
      </c>
      <c r="B6" s="332"/>
      <c r="C6" s="332"/>
      <c r="D6" s="332"/>
      <c r="E6" s="332"/>
      <c r="F6" s="332"/>
      <c r="G6" s="332"/>
      <c r="H6" s="332"/>
      <c r="I6" s="332"/>
      <c r="J6" s="332"/>
      <c r="K6" s="332"/>
      <c r="L6" s="332"/>
      <c r="M6" s="332"/>
      <c r="N6" s="332"/>
      <c r="O6" s="332"/>
      <c r="P6" s="332"/>
      <c r="Q6" s="332"/>
      <c r="R6" s="332"/>
      <c r="S6" s="332"/>
      <c r="T6" s="332"/>
    </row>
    <row r="7" spans="1:20" s="12" customFormat="1" x14ac:dyDescent="0.2">
      <c r="A7" s="17"/>
      <c r="H7" s="16"/>
    </row>
    <row r="8" spans="1:20" s="12" customFormat="1" ht="18.75" x14ac:dyDescent="0.2">
      <c r="A8" s="330" t="s">
        <v>10</v>
      </c>
      <c r="B8" s="330"/>
      <c r="C8" s="330"/>
      <c r="D8" s="330"/>
      <c r="E8" s="330"/>
      <c r="F8" s="330"/>
      <c r="G8" s="330"/>
      <c r="H8" s="330"/>
      <c r="I8" s="330"/>
      <c r="J8" s="330"/>
      <c r="K8" s="330"/>
      <c r="L8" s="330"/>
      <c r="M8" s="330"/>
      <c r="N8" s="330"/>
      <c r="O8" s="330"/>
      <c r="P8" s="330"/>
      <c r="Q8" s="330"/>
      <c r="R8" s="330"/>
      <c r="S8" s="330"/>
      <c r="T8" s="330"/>
    </row>
    <row r="9" spans="1:20" s="12"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12" customFormat="1" ht="18.75" customHeight="1" x14ac:dyDescent="0.2">
      <c r="A10" s="333" t="str">
        <f>'1. паспорт местоположение'!A9:C9</f>
        <v xml:space="preserve">                         АО "Янтарьэнерго"                         </v>
      </c>
      <c r="B10" s="333"/>
      <c r="C10" s="333"/>
      <c r="D10" s="333"/>
      <c r="E10" s="333"/>
      <c r="F10" s="333"/>
      <c r="G10" s="333"/>
      <c r="H10" s="333"/>
      <c r="I10" s="333"/>
      <c r="J10" s="333"/>
      <c r="K10" s="333"/>
      <c r="L10" s="333"/>
      <c r="M10" s="333"/>
      <c r="N10" s="333"/>
      <c r="O10" s="333"/>
      <c r="P10" s="333"/>
      <c r="Q10" s="333"/>
      <c r="R10" s="333"/>
      <c r="S10" s="333"/>
      <c r="T10" s="333"/>
    </row>
    <row r="11" spans="1:20" s="12" customFormat="1" ht="18.75" customHeight="1" x14ac:dyDescent="0.2">
      <c r="A11" s="327" t="s">
        <v>9</v>
      </c>
      <c r="B11" s="327"/>
      <c r="C11" s="327"/>
      <c r="D11" s="327"/>
      <c r="E11" s="327"/>
      <c r="F11" s="327"/>
      <c r="G11" s="327"/>
      <c r="H11" s="327"/>
      <c r="I11" s="327"/>
      <c r="J11" s="327"/>
      <c r="K11" s="327"/>
      <c r="L11" s="327"/>
      <c r="M11" s="327"/>
      <c r="N11" s="327"/>
      <c r="O11" s="327"/>
      <c r="P11" s="327"/>
      <c r="Q11" s="327"/>
      <c r="R11" s="327"/>
      <c r="S11" s="327"/>
      <c r="T11" s="327"/>
    </row>
    <row r="12" spans="1:20" s="12"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12" customFormat="1" ht="18.75" customHeight="1" x14ac:dyDescent="0.2">
      <c r="A13" s="333" t="str">
        <f>'1. паспорт местоположение'!A12:C12</f>
        <v>А_prj_111001_2484</v>
      </c>
      <c r="B13" s="333"/>
      <c r="C13" s="333"/>
      <c r="D13" s="333"/>
      <c r="E13" s="333"/>
      <c r="F13" s="333"/>
      <c r="G13" s="333"/>
      <c r="H13" s="333"/>
      <c r="I13" s="333"/>
      <c r="J13" s="333"/>
      <c r="K13" s="333"/>
      <c r="L13" s="333"/>
      <c r="M13" s="333"/>
      <c r="N13" s="333"/>
      <c r="O13" s="333"/>
      <c r="P13" s="333"/>
      <c r="Q13" s="333"/>
      <c r="R13" s="333"/>
      <c r="S13" s="333"/>
      <c r="T13" s="333"/>
    </row>
    <row r="14" spans="1:20" s="12" customFormat="1" ht="18.75" customHeight="1" x14ac:dyDescent="0.2">
      <c r="A14" s="327" t="s">
        <v>8</v>
      </c>
      <c r="B14" s="327"/>
      <c r="C14" s="327"/>
      <c r="D14" s="327"/>
      <c r="E14" s="327"/>
      <c r="F14" s="327"/>
      <c r="G14" s="327"/>
      <c r="H14" s="327"/>
      <c r="I14" s="327"/>
      <c r="J14" s="327"/>
      <c r="K14" s="327"/>
      <c r="L14" s="327"/>
      <c r="M14" s="327"/>
      <c r="N14" s="327"/>
      <c r="O14" s="327"/>
      <c r="P14" s="327"/>
      <c r="Q14" s="327"/>
      <c r="R14" s="327"/>
      <c r="S14" s="327"/>
      <c r="T14" s="327"/>
    </row>
    <row r="15" spans="1:20" s="9" customFormat="1" ht="15.75" customHeight="1" x14ac:dyDescent="0.2">
      <c r="A15" s="337"/>
      <c r="B15" s="337"/>
      <c r="C15" s="337"/>
      <c r="D15" s="337"/>
      <c r="E15" s="337"/>
      <c r="F15" s="337"/>
      <c r="G15" s="337"/>
      <c r="H15" s="337"/>
      <c r="I15" s="337"/>
      <c r="J15" s="337"/>
      <c r="K15" s="337"/>
      <c r="L15" s="337"/>
      <c r="M15" s="337"/>
      <c r="N15" s="337"/>
      <c r="O15" s="337"/>
      <c r="P15" s="337"/>
      <c r="Q15" s="337"/>
      <c r="R15" s="337"/>
      <c r="S15" s="337"/>
      <c r="T15" s="337"/>
    </row>
    <row r="16" spans="1:20" s="3" customFormat="1" x14ac:dyDescent="0.2">
      <c r="A16" s="338" t="str">
        <f>'1. паспорт местоположение'!A15:C15</f>
        <v xml:space="preserve">Расширение ПС 110/15кВ О-47 "Борисово" </v>
      </c>
      <c r="B16" s="338"/>
      <c r="C16" s="338"/>
      <c r="D16" s="338"/>
      <c r="E16" s="338"/>
      <c r="F16" s="338"/>
      <c r="G16" s="338"/>
      <c r="H16" s="338"/>
      <c r="I16" s="338"/>
      <c r="J16" s="338"/>
      <c r="K16" s="338"/>
      <c r="L16" s="338"/>
      <c r="M16" s="338"/>
      <c r="N16" s="338"/>
      <c r="O16" s="338"/>
      <c r="P16" s="338"/>
      <c r="Q16" s="338"/>
      <c r="R16" s="338"/>
      <c r="S16" s="338"/>
      <c r="T16" s="338"/>
    </row>
    <row r="17" spans="1:20" s="3" customFormat="1" ht="15" customHeight="1" x14ac:dyDescent="0.2">
      <c r="A17" s="327" t="s">
        <v>7</v>
      </c>
      <c r="B17" s="327"/>
      <c r="C17" s="327"/>
      <c r="D17" s="327"/>
      <c r="E17" s="327"/>
      <c r="F17" s="327"/>
      <c r="G17" s="327"/>
      <c r="H17" s="327"/>
      <c r="I17" s="327"/>
      <c r="J17" s="327"/>
      <c r="K17" s="327"/>
      <c r="L17" s="327"/>
      <c r="M17" s="327"/>
      <c r="N17" s="327"/>
      <c r="O17" s="327"/>
      <c r="P17" s="327"/>
      <c r="Q17" s="327"/>
      <c r="R17" s="327"/>
      <c r="S17" s="327"/>
      <c r="T17" s="327"/>
    </row>
    <row r="18" spans="1:20"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20" s="3" customFormat="1" ht="15" customHeight="1" x14ac:dyDescent="0.2">
      <c r="A19" s="329" t="s">
        <v>415</v>
      </c>
      <c r="B19" s="329"/>
      <c r="C19" s="329"/>
      <c r="D19" s="329"/>
      <c r="E19" s="329"/>
      <c r="F19" s="329"/>
      <c r="G19" s="329"/>
      <c r="H19" s="329"/>
      <c r="I19" s="329"/>
      <c r="J19" s="329"/>
      <c r="K19" s="329"/>
      <c r="L19" s="329"/>
      <c r="M19" s="329"/>
      <c r="N19" s="329"/>
      <c r="O19" s="329"/>
      <c r="P19" s="329"/>
      <c r="Q19" s="329"/>
      <c r="R19" s="329"/>
      <c r="S19" s="329"/>
      <c r="T19" s="329"/>
    </row>
    <row r="20" spans="1:20" s="63"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20" ht="46.5" customHeight="1" x14ac:dyDescent="0.25">
      <c r="A21" s="356" t="s">
        <v>6</v>
      </c>
      <c r="B21" s="342" t="s">
        <v>219</v>
      </c>
      <c r="C21" s="343"/>
      <c r="D21" s="346" t="s">
        <v>131</v>
      </c>
      <c r="E21" s="342" t="s">
        <v>443</v>
      </c>
      <c r="F21" s="343"/>
      <c r="G21" s="342" t="s">
        <v>240</v>
      </c>
      <c r="H21" s="343"/>
      <c r="I21" s="342" t="s">
        <v>130</v>
      </c>
      <c r="J21" s="343"/>
      <c r="K21" s="346" t="s">
        <v>129</v>
      </c>
      <c r="L21" s="342" t="s">
        <v>128</v>
      </c>
      <c r="M21" s="343"/>
      <c r="N21" s="342" t="s">
        <v>440</v>
      </c>
      <c r="O21" s="343"/>
      <c r="P21" s="346" t="s">
        <v>127</v>
      </c>
      <c r="Q21" s="359" t="s">
        <v>126</v>
      </c>
      <c r="R21" s="360"/>
      <c r="S21" s="359" t="s">
        <v>125</v>
      </c>
      <c r="T21" s="361"/>
    </row>
    <row r="22" spans="1:20" ht="204.75" customHeight="1" x14ac:dyDescent="0.25">
      <c r="A22" s="357"/>
      <c r="B22" s="344"/>
      <c r="C22" s="345"/>
      <c r="D22" s="348"/>
      <c r="E22" s="344"/>
      <c r="F22" s="345"/>
      <c r="G22" s="344"/>
      <c r="H22" s="345"/>
      <c r="I22" s="344"/>
      <c r="J22" s="345"/>
      <c r="K22" s="347"/>
      <c r="L22" s="344"/>
      <c r="M22" s="345"/>
      <c r="N22" s="344"/>
      <c r="O22" s="345"/>
      <c r="P22" s="347"/>
      <c r="Q22" s="112" t="s">
        <v>124</v>
      </c>
      <c r="R22" s="112" t="s">
        <v>414</v>
      </c>
      <c r="S22" s="112" t="s">
        <v>123</v>
      </c>
      <c r="T22" s="112" t="s">
        <v>122</v>
      </c>
    </row>
    <row r="23" spans="1:20" ht="51.75" customHeight="1" x14ac:dyDescent="0.25">
      <c r="A23" s="358"/>
      <c r="B23" s="170" t="s">
        <v>120</v>
      </c>
      <c r="C23" s="170" t="s">
        <v>121</v>
      </c>
      <c r="D23" s="347"/>
      <c r="E23" s="170" t="s">
        <v>120</v>
      </c>
      <c r="F23" s="170" t="s">
        <v>121</v>
      </c>
      <c r="G23" s="170" t="s">
        <v>120</v>
      </c>
      <c r="H23" s="170" t="s">
        <v>121</v>
      </c>
      <c r="I23" s="170" t="s">
        <v>120</v>
      </c>
      <c r="J23" s="170" t="s">
        <v>121</v>
      </c>
      <c r="K23" s="170" t="s">
        <v>120</v>
      </c>
      <c r="L23" s="170" t="s">
        <v>120</v>
      </c>
      <c r="M23" s="170" t="s">
        <v>121</v>
      </c>
      <c r="N23" s="170" t="s">
        <v>120</v>
      </c>
      <c r="O23" s="170" t="s">
        <v>121</v>
      </c>
      <c r="P23" s="171" t="s">
        <v>120</v>
      </c>
      <c r="Q23" s="112" t="s">
        <v>120</v>
      </c>
      <c r="R23" s="112" t="s">
        <v>120</v>
      </c>
      <c r="S23" s="112" t="s">
        <v>120</v>
      </c>
      <c r="T23" s="112" t="s">
        <v>120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3" customFormat="1" ht="47.25" x14ac:dyDescent="0.25">
      <c r="A25" s="238">
        <v>1</v>
      </c>
      <c r="B25" s="349" t="s">
        <v>487</v>
      </c>
      <c r="C25" s="349" t="s">
        <v>487</v>
      </c>
      <c r="D25" s="238" t="s">
        <v>543</v>
      </c>
      <c r="E25" s="238" t="s">
        <v>491</v>
      </c>
      <c r="F25" s="238" t="s">
        <v>495</v>
      </c>
      <c r="G25" s="238" t="s">
        <v>490</v>
      </c>
      <c r="H25" s="238" t="s">
        <v>490</v>
      </c>
      <c r="I25" s="238" t="s">
        <v>489</v>
      </c>
      <c r="J25" s="239" t="s">
        <v>541</v>
      </c>
      <c r="K25" s="239" t="s">
        <v>532</v>
      </c>
      <c r="L25" s="239" t="s">
        <v>488</v>
      </c>
      <c r="M25" s="239" t="s">
        <v>488</v>
      </c>
      <c r="N25" s="238" t="s">
        <v>485</v>
      </c>
      <c r="O25" s="238" t="s">
        <v>486</v>
      </c>
      <c r="P25" s="239" t="s">
        <v>320</v>
      </c>
      <c r="Q25" s="352" t="s">
        <v>584</v>
      </c>
      <c r="R25" s="349" t="s">
        <v>585</v>
      </c>
      <c r="S25" s="352" t="s">
        <v>320</v>
      </c>
      <c r="T25" s="349" t="s">
        <v>320</v>
      </c>
    </row>
    <row r="26" spans="1:20" s="63" customFormat="1" ht="47.25" x14ac:dyDescent="0.25">
      <c r="A26" s="238">
        <v>2</v>
      </c>
      <c r="B26" s="350"/>
      <c r="C26" s="350"/>
      <c r="D26" s="238" t="s">
        <v>542</v>
      </c>
      <c r="E26" s="238" t="s">
        <v>320</v>
      </c>
      <c r="F26" s="238" t="s">
        <v>544</v>
      </c>
      <c r="G26" s="238" t="s">
        <v>320</v>
      </c>
      <c r="H26" s="238" t="s">
        <v>545</v>
      </c>
      <c r="I26" s="238" t="s">
        <v>320</v>
      </c>
      <c r="J26" s="239" t="s">
        <v>546</v>
      </c>
      <c r="K26" s="239" t="s">
        <v>320</v>
      </c>
      <c r="L26" s="239" t="s">
        <v>320</v>
      </c>
      <c r="M26" s="239" t="s">
        <v>547</v>
      </c>
      <c r="N26" s="238" t="s">
        <v>320</v>
      </c>
      <c r="O26" s="238" t="s">
        <v>320</v>
      </c>
      <c r="P26" s="239" t="s">
        <v>320</v>
      </c>
      <c r="Q26" s="353"/>
      <c r="R26" s="350"/>
      <c r="S26" s="353"/>
      <c r="T26" s="350"/>
    </row>
    <row r="27" spans="1:20" s="63" customFormat="1" ht="31.5" x14ac:dyDescent="0.25">
      <c r="A27" s="238">
        <v>3</v>
      </c>
      <c r="B27" s="350"/>
      <c r="C27" s="350"/>
      <c r="D27" s="238" t="s">
        <v>548</v>
      </c>
      <c r="E27" s="238" t="s">
        <v>320</v>
      </c>
      <c r="F27" s="238" t="s">
        <v>549</v>
      </c>
      <c r="G27" s="238" t="s">
        <v>320</v>
      </c>
      <c r="H27" s="238" t="s">
        <v>551</v>
      </c>
      <c r="I27" s="238" t="s">
        <v>320</v>
      </c>
      <c r="J27" s="239" t="s">
        <v>546</v>
      </c>
      <c r="K27" s="239" t="s">
        <v>320</v>
      </c>
      <c r="L27" s="239" t="s">
        <v>320</v>
      </c>
      <c r="M27" s="239" t="s">
        <v>550</v>
      </c>
      <c r="N27" s="238" t="s">
        <v>320</v>
      </c>
      <c r="O27" s="238" t="s">
        <v>320</v>
      </c>
      <c r="P27" s="239" t="s">
        <v>320</v>
      </c>
      <c r="Q27" s="353"/>
      <c r="R27" s="350"/>
      <c r="S27" s="353"/>
      <c r="T27" s="350"/>
    </row>
    <row r="28" spans="1:20" s="63" customFormat="1" ht="47.25" x14ac:dyDescent="0.25">
      <c r="A28" s="238">
        <v>4</v>
      </c>
      <c r="B28" s="351"/>
      <c r="C28" s="351"/>
      <c r="D28" s="238" t="s">
        <v>552</v>
      </c>
      <c r="E28" s="238" t="s">
        <v>320</v>
      </c>
      <c r="F28" s="238" t="s">
        <v>553</v>
      </c>
      <c r="G28" s="238" t="s">
        <v>320</v>
      </c>
      <c r="H28" s="238" t="s">
        <v>554</v>
      </c>
      <c r="I28" s="238" t="s">
        <v>320</v>
      </c>
      <c r="J28" s="239" t="s">
        <v>555</v>
      </c>
      <c r="K28" s="239" t="s">
        <v>320</v>
      </c>
      <c r="L28" s="239" t="s">
        <v>320</v>
      </c>
      <c r="M28" s="239" t="s">
        <v>556</v>
      </c>
      <c r="N28" s="238" t="s">
        <v>320</v>
      </c>
      <c r="O28" s="238" t="s">
        <v>557</v>
      </c>
      <c r="P28" s="239" t="s">
        <v>320</v>
      </c>
      <c r="Q28" s="354"/>
      <c r="R28" s="351"/>
      <c r="S28" s="354"/>
      <c r="T28" s="351"/>
    </row>
    <row r="29" spans="1:20" s="63" customFormat="1" x14ac:dyDescent="0.25">
      <c r="A29" s="254"/>
      <c r="B29" s="254"/>
      <c r="C29" s="254"/>
      <c r="D29" s="254"/>
      <c r="E29" s="254"/>
      <c r="F29" s="254"/>
      <c r="G29" s="254"/>
      <c r="H29" s="254"/>
      <c r="I29" s="254"/>
      <c r="J29" s="255"/>
      <c r="K29" s="255"/>
      <c r="L29" s="255"/>
      <c r="M29" s="255"/>
      <c r="N29" s="254"/>
      <c r="O29" s="254"/>
      <c r="P29" s="255"/>
      <c r="Q29" s="255"/>
      <c r="R29" s="254"/>
      <c r="S29" s="255"/>
      <c r="T29" s="254"/>
    </row>
    <row r="30" spans="1:20" s="63" customFormat="1" x14ac:dyDescent="0.25">
      <c r="A30" s="254"/>
      <c r="B30" s="254"/>
      <c r="C30" s="254"/>
      <c r="D30" s="254"/>
      <c r="E30" s="254"/>
      <c r="F30" s="254"/>
      <c r="G30" s="254"/>
      <c r="H30" s="254"/>
      <c r="I30" s="254"/>
      <c r="J30" s="255"/>
      <c r="K30" s="255"/>
      <c r="L30" s="255"/>
      <c r="M30" s="255"/>
      <c r="N30" s="254"/>
      <c r="O30" s="254"/>
      <c r="P30" s="255"/>
      <c r="Q30" s="255"/>
      <c r="R30" s="254"/>
      <c r="S30" s="255"/>
      <c r="T30" s="254"/>
    </row>
    <row r="31" spans="1:20" ht="17.25" customHeight="1" x14ac:dyDescent="0.25"/>
    <row r="32" spans="1:20" s="61" customFormat="1" ht="17.25" customHeight="1" x14ac:dyDescent="0.2">
      <c r="B32" s="62"/>
      <c r="C32" s="62"/>
      <c r="K32" s="62"/>
    </row>
    <row r="33" spans="2:113" s="61" customFormat="1" x14ac:dyDescent="0.25">
      <c r="B33" s="59" t="s">
        <v>119</v>
      </c>
      <c r="C33" s="59"/>
      <c r="D33" s="59"/>
      <c r="E33" s="59"/>
      <c r="F33" s="59"/>
      <c r="G33" s="59"/>
      <c r="H33" s="59"/>
      <c r="I33" s="59"/>
      <c r="J33" s="59"/>
      <c r="K33" s="59"/>
      <c r="L33" s="59"/>
      <c r="M33" s="59"/>
      <c r="N33" s="59"/>
      <c r="O33" s="59"/>
      <c r="P33" s="59"/>
      <c r="Q33" s="59"/>
      <c r="R33" s="59"/>
    </row>
    <row r="34" spans="2:113" x14ac:dyDescent="0.25">
      <c r="B34" s="341" t="s">
        <v>449</v>
      </c>
      <c r="C34" s="341"/>
      <c r="D34" s="341"/>
      <c r="E34" s="341"/>
      <c r="F34" s="341"/>
      <c r="G34" s="341"/>
      <c r="H34" s="341"/>
      <c r="I34" s="341"/>
      <c r="J34" s="341"/>
      <c r="K34" s="341"/>
      <c r="L34" s="341"/>
      <c r="M34" s="341"/>
      <c r="N34" s="341"/>
      <c r="O34" s="341"/>
      <c r="P34" s="341"/>
      <c r="Q34" s="341"/>
      <c r="R34" s="341"/>
    </row>
    <row r="35" spans="2:113" x14ac:dyDescent="0.25">
      <c r="B35" s="59"/>
      <c r="C35" s="59"/>
      <c r="D35" s="59"/>
      <c r="E35" s="59"/>
      <c r="F35" s="59"/>
      <c r="G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x14ac:dyDescent="0.25">
      <c r="B36" s="58" t="s">
        <v>413</v>
      </c>
      <c r="C36" s="58"/>
      <c r="D36" s="58"/>
      <c r="E36" s="58"/>
      <c r="F36" s="56"/>
      <c r="G36" s="56"/>
      <c r="H36" s="58"/>
      <c r="I36" s="58"/>
      <c r="J36" s="58"/>
      <c r="K36" s="58"/>
      <c r="L36" s="58"/>
      <c r="M36" s="58"/>
      <c r="N36" s="58"/>
      <c r="O36" s="58"/>
      <c r="P36" s="58"/>
      <c r="Q36" s="58"/>
      <c r="R36" s="58"/>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60"/>
      <c r="CH36" s="60"/>
      <c r="CI36" s="60"/>
      <c r="CJ36" s="60"/>
      <c r="CK36" s="60"/>
      <c r="CL36" s="60"/>
      <c r="CM36" s="60"/>
      <c r="CN36" s="60"/>
      <c r="CO36" s="60"/>
      <c r="CP36" s="60"/>
      <c r="CQ36" s="60"/>
      <c r="CR36" s="60"/>
      <c r="CS36" s="60"/>
      <c r="CT36" s="60"/>
      <c r="CU36" s="60"/>
      <c r="CV36" s="60"/>
      <c r="CW36" s="60"/>
      <c r="CX36" s="60"/>
      <c r="CY36" s="60"/>
      <c r="CZ36" s="60"/>
      <c r="DA36" s="60"/>
      <c r="DB36" s="60"/>
      <c r="DC36" s="60"/>
      <c r="DD36" s="60"/>
      <c r="DE36" s="60"/>
      <c r="DF36" s="60"/>
      <c r="DG36" s="60"/>
      <c r="DH36" s="60"/>
      <c r="DI36" s="60"/>
    </row>
    <row r="37" spans="2:113" x14ac:dyDescent="0.25">
      <c r="B37" s="58" t="s">
        <v>118</v>
      </c>
      <c r="C37" s="58"/>
      <c r="D37" s="58"/>
      <c r="E37" s="58"/>
      <c r="F37" s="56"/>
      <c r="G37" s="56"/>
      <c r="H37" s="58"/>
      <c r="I37" s="58"/>
      <c r="J37" s="58"/>
      <c r="K37" s="58"/>
      <c r="L37" s="58"/>
      <c r="M37" s="58"/>
      <c r="N37" s="58"/>
      <c r="O37" s="58"/>
      <c r="P37" s="58"/>
      <c r="Q37" s="58"/>
      <c r="R37" s="58"/>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6" customFormat="1" x14ac:dyDescent="0.25">
      <c r="B38" s="58" t="s">
        <v>117</v>
      </c>
      <c r="C38" s="58"/>
      <c r="D38" s="58"/>
      <c r="E38" s="58"/>
      <c r="H38" s="58"/>
      <c r="I38" s="58"/>
      <c r="J38" s="58"/>
      <c r="K38" s="58"/>
      <c r="L38" s="58"/>
      <c r="M38" s="58"/>
      <c r="N38" s="58"/>
      <c r="O38" s="58"/>
      <c r="P38" s="58"/>
      <c r="Q38" s="58"/>
      <c r="R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114</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113</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112</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B44" s="58" t="s">
        <v>111</v>
      </c>
      <c r="C44" s="58"/>
      <c r="D44" s="58"/>
      <c r="E44" s="58"/>
      <c r="H44" s="58"/>
      <c r="I44" s="58"/>
      <c r="J44" s="58"/>
      <c r="K44" s="58"/>
      <c r="L44" s="58"/>
      <c r="M44" s="58"/>
      <c r="N44" s="58"/>
      <c r="O44" s="58"/>
      <c r="P44" s="58"/>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B45" s="58" t="s">
        <v>110</v>
      </c>
      <c r="C45" s="58"/>
      <c r="D45" s="58"/>
      <c r="E45" s="58"/>
      <c r="H45" s="58"/>
      <c r="I45" s="58"/>
      <c r="J45" s="58"/>
      <c r="K45" s="58"/>
      <c r="L45" s="58"/>
      <c r="M45" s="58"/>
      <c r="N45" s="58"/>
      <c r="O45" s="58"/>
      <c r="P45" s="58"/>
      <c r="Q45" s="58"/>
      <c r="R45" s="58"/>
      <c r="S45" s="58"/>
      <c r="T45" s="58"/>
      <c r="U45" s="58"/>
      <c r="V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row r="46" spans="2:113" s="56" customFormat="1" x14ac:dyDescent="0.25">
      <c r="Q46" s="58"/>
      <c r="R46" s="58"/>
      <c r="S46" s="58"/>
      <c r="T46" s="58"/>
      <c r="U46" s="58"/>
      <c r="V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row>
    <row r="47" spans="2:113" s="56" customFormat="1" x14ac:dyDescent="0.25">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row>
  </sheetData>
  <mergeCells count="33">
    <mergeCell ref="S25:S28"/>
    <mergeCell ref="T25: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4:R34"/>
    <mergeCell ref="L21:M22"/>
    <mergeCell ref="N21:O22"/>
    <mergeCell ref="P21:P22"/>
    <mergeCell ref="D21:D23"/>
    <mergeCell ref="B21:C22"/>
    <mergeCell ref="B25:B28"/>
    <mergeCell ref="C25:C28"/>
    <mergeCell ref="Q25:Q28"/>
    <mergeCell ref="R25:R2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30" t="s">
        <v>10</v>
      </c>
      <c r="F7" s="330"/>
      <c r="G7" s="330"/>
      <c r="H7" s="330"/>
      <c r="I7" s="330"/>
      <c r="J7" s="330"/>
      <c r="K7" s="330"/>
      <c r="L7" s="330"/>
      <c r="M7" s="330"/>
      <c r="N7" s="330"/>
      <c r="O7" s="330"/>
      <c r="P7" s="330"/>
      <c r="Q7" s="330"/>
      <c r="R7" s="330"/>
      <c r="S7" s="330"/>
      <c r="T7" s="330"/>
      <c r="U7" s="330"/>
      <c r="V7" s="330"/>
      <c r="W7" s="330"/>
      <c r="X7" s="330"/>
      <c r="Y7" s="3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3" t="str">
        <f>'1. паспорт местоположение'!A9</f>
        <v xml:space="preserve">                         АО "Янтарьэнерго"                         </v>
      </c>
      <c r="F9" s="333"/>
      <c r="G9" s="333"/>
      <c r="H9" s="333"/>
      <c r="I9" s="333"/>
      <c r="J9" s="333"/>
      <c r="K9" s="333"/>
      <c r="L9" s="333"/>
      <c r="M9" s="333"/>
      <c r="N9" s="333"/>
      <c r="O9" s="333"/>
      <c r="P9" s="333"/>
      <c r="Q9" s="333"/>
      <c r="R9" s="333"/>
      <c r="S9" s="333"/>
      <c r="T9" s="333"/>
      <c r="U9" s="333"/>
      <c r="V9" s="333"/>
      <c r="W9" s="333"/>
      <c r="X9" s="333"/>
      <c r="Y9" s="333"/>
    </row>
    <row r="10" spans="1:27" s="12" customFormat="1" ht="18.75" customHeight="1" x14ac:dyDescent="0.2">
      <c r="E10" s="327" t="s">
        <v>9</v>
      </c>
      <c r="F10" s="327"/>
      <c r="G10" s="327"/>
      <c r="H10" s="327"/>
      <c r="I10" s="327"/>
      <c r="J10" s="327"/>
      <c r="K10" s="327"/>
      <c r="L10" s="327"/>
      <c r="M10" s="327"/>
      <c r="N10" s="327"/>
      <c r="O10" s="327"/>
      <c r="P10" s="327"/>
      <c r="Q10" s="327"/>
      <c r="R10" s="327"/>
      <c r="S10" s="327"/>
      <c r="T10" s="327"/>
      <c r="U10" s="327"/>
      <c r="V10" s="327"/>
      <c r="W10" s="327"/>
      <c r="X10" s="327"/>
      <c r="Y10" s="3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3" t="str">
        <f>'1. паспорт местоположение'!A12</f>
        <v>А_prj_111001_2484</v>
      </c>
      <c r="F12" s="333"/>
      <c r="G12" s="333"/>
      <c r="H12" s="333"/>
      <c r="I12" s="333"/>
      <c r="J12" s="333"/>
      <c r="K12" s="333"/>
      <c r="L12" s="333"/>
      <c r="M12" s="333"/>
      <c r="N12" s="333"/>
      <c r="O12" s="333"/>
      <c r="P12" s="333"/>
      <c r="Q12" s="333"/>
      <c r="R12" s="333"/>
      <c r="S12" s="333"/>
      <c r="T12" s="333"/>
      <c r="U12" s="333"/>
      <c r="V12" s="333"/>
      <c r="W12" s="333"/>
      <c r="X12" s="333"/>
      <c r="Y12" s="333"/>
    </row>
    <row r="13" spans="1:27" s="12" customFormat="1" ht="18.75" customHeight="1" x14ac:dyDescent="0.2">
      <c r="E13" s="327" t="s">
        <v>8</v>
      </c>
      <c r="F13" s="327"/>
      <c r="G13" s="327"/>
      <c r="H13" s="327"/>
      <c r="I13" s="327"/>
      <c r="J13" s="327"/>
      <c r="K13" s="327"/>
      <c r="L13" s="327"/>
      <c r="M13" s="327"/>
      <c r="N13" s="327"/>
      <c r="O13" s="327"/>
      <c r="P13" s="327"/>
      <c r="Q13" s="327"/>
      <c r="R13" s="327"/>
      <c r="S13" s="327"/>
      <c r="T13" s="327"/>
      <c r="U13" s="327"/>
      <c r="V13" s="327"/>
      <c r="W13" s="327"/>
      <c r="X13" s="327"/>
      <c r="Y13" s="3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38" t="str">
        <f>'1. паспорт местоположение'!A15</f>
        <v xml:space="preserve">Расширение ПС 110/15кВ О-47 "Борисово" </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27" t="s">
        <v>7</v>
      </c>
      <c r="F16" s="327"/>
      <c r="G16" s="327"/>
      <c r="H16" s="327"/>
      <c r="I16" s="327"/>
      <c r="J16" s="327"/>
      <c r="K16" s="327"/>
      <c r="L16" s="327"/>
      <c r="M16" s="327"/>
      <c r="N16" s="327"/>
      <c r="O16" s="327"/>
      <c r="P16" s="327"/>
      <c r="Q16" s="327"/>
      <c r="R16" s="327"/>
      <c r="S16" s="327"/>
      <c r="T16" s="327"/>
      <c r="U16" s="327"/>
      <c r="V16" s="327"/>
      <c r="W16" s="327"/>
      <c r="X16" s="327"/>
      <c r="Y16" s="3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417</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63" customFormat="1" ht="21" customHeight="1" x14ac:dyDescent="0.25"/>
    <row r="21" spans="1:27" ht="15.75" customHeight="1" x14ac:dyDescent="0.25">
      <c r="A21" s="362" t="s">
        <v>6</v>
      </c>
      <c r="B21" s="365" t="s">
        <v>424</v>
      </c>
      <c r="C21" s="366"/>
      <c r="D21" s="365" t="s">
        <v>426</v>
      </c>
      <c r="E21" s="366"/>
      <c r="F21" s="359" t="s">
        <v>103</v>
      </c>
      <c r="G21" s="361"/>
      <c r="H21" s="361"/>
      <c r="I21" s="360"/>
      <c r="J21" s="362" t="s">
        <v>427</v>
      </c>
      <c r="K21" s="365" t="s">
        <v>428</v>
      </c>
      <c r="L21" s="366"/>
      <c r="M21" s="365" t="s">
        <v>429</v>
      </c>
      <c r="N21" s="366"/>
      <c r="O21" s="365" t="s">
        <v>416</v>
      </c>
      <c r="P21" s="366"/>
      <c r="Q21" s="365" t="s">
        <v>136</v>
      </c>
      <c r="R21" s="366"/>
      <c r="S21" s="362" t="s">
        <v>135</v>
      </c>
      <c r="T21" s="362" t="s">
        <v>430</v>
      </c>
      <c r="U21" s="362" t="s">
        <v>425</v>
      </c>
      <c r="V21" s="365" t="s">
        <v>134</v>
      </c>
      <c r="W21" s="366"/>
      <c r="X21" s="359" t="s">
        <v>126</v>
      </c>
      <c r="Y21" s="361"/>
      <c r="Z21" s="359" t="s">
        <v>125</v>
      </c>
      <c r="AA21" s="361"/>
    </row>
    <row r="22" spans="1:27" ht="216" customHeight="1" x14ac:dyDescent="0.25">
      <c r="A22" s="363"/>
      <c r="B22" s="367"/>
      <c r="C22" s="368"/>
      <c r="D22" s="367"/>
      <c r="E22" s="368"/>
      <c r="F22" s="359" t="s">
        <v>133</v>
      </c>
      <c r="G22" s="360"/>
      <c r="H22" s="359" t="s">
        <v>132</v>
      </c>
      <c r="I22" s="360"/>
      <c r="J22" s="364"/>
      <c r="K22" s="367"/>
      <c r="L22" s="368"/>
      <c r="M22" s="367"/>
      <c r="N22" s="368"/>
      <c r="O22" s="367"/>
      <c r="P22" s="368"/>
      <c r="Q22" s="367"/>
      <c r="R22" s="368"/>
      <c r="S22" s="364"/>
      <c r="T22" s="364"/>
      <c r="U22" s="364"/>
      <c r="V22" s="367"/>
      <c r="W22" s="368"/>
      <c r="X22" s="112" t="s">
        <v>124</v>
      </c>
      <c r="Y22" s="112" t="s">
        <v>414</v>
      </c>
      <c r="Z22" s="112" t="s">
        <v>123</v>
      </c>
      <c r="AA22" s="112" t="s">
        <v>122</v>
      </c>
    </row>
    <row r="23" spans="1:27" ht="60" customHeight="1" x14ac:dyDescent="0.25">
      <c r="A23" s="364"/>
      <c r="B23" s="168" t="s">
        <v>120</v>
      </c>
      <c r="C23" s="168"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32" t="str">
        <f>'1. паспорт местоположение'!A5:C5</f>
        <v>Год раскрытия информации: 2016 год</v>
      </c>
      <c r="B5" s="332"/>
      <c r="C5" s="332"/>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30" t="s">
        <v>10</v>
      </c>
      <c r="B7" s="330"/>
      <c r="C7" s="330"/>
      <c r="D7" s="13"/>
      <c r="E7" s="13"/>
      <c r="F7" s="13"/>
      <c r="G7" s="13"/>
      <c r="H7" s="13"/>
      <c r="I7" s="13"/>
      <c r="J7" s="13"/>
      <c r="K7" s="13"/>
      <c r="L7" s="13"/>
      <c r="M7" s="13"/>
      <c r="N7" s="13"/>
      <c r="O7" s="13"/>
      <c r="P7" s="13"/>
      <c r="Q7" s="13"/>
      <c r="R7" s="13"/>
      <c r="S7" s="13"/>
      <c r="T7" s="13"/>
      <c r="U7" s="13"/>
    </row>
    <row r="8" spans="1:29" s="12" customFormat="1" ht="18.75" x14ac:dyDescent="0.2">
      <c r="A8" s="330"/>
      <c r="B8" s="330"/>
      <c r="C8" s="330"/>
      <c r="D8" s="14"/>
      <c r="E8" s="14"/>
      <c r="F8" s="14"/>
      <c r="G8" s="14"/>
      <c r="H8" s="13"/>
      <c r="I8" s="13"/>
      <c r="J8" s="13"/>
      <c r="K8" s="13"/>
      <c r="L8" s="13"/>
      <c r="M8" s="13"/>
      <c r="N8" s="13"/>
      <c r="O8" s="13"/>
      <c r="P8" s="13"/>
      <c r="Q8" s="13"/>
      <c r="R8" s="13"/>
      <c r="S8" s="13"/>
      <c r="T8" s="13"/>
      <c r="U8" s="13"/>
    </row>
    <row r="9" spans="1:29" s="12" customFormat="1" ht="18.75" x14ac:dyDescent="0.2">
      <c r="A9" s="333" t="str">
        <f>'1. паспорт местоположение'!A9:C9</f>
        <v xml:space="preserve">                         АО "Янтарьэнерго"                         </v>
      </c>
      <c r="B9" s="333"/>
      <c r="C9" s="333"/>
      <c r="D9" s="8"/>
      <c r="E9" s="8"/>
      <c r="F9" s="8"/>
      <c r="G9" s="8"/>
      <c r="H9" s="13"/>
      <c r="I9" s="13"/>
      <c r="J9" s="13"/>
      <c r="K9" s="13"/>
      <c r="L9" s="13"/>
      <c r="M9" s="13"/>
      <c r="N9" s="13"/>
      <c r="O9" s="13"/>
      <c r="P9" s="13"/>
      <c r="Q9" s="13"/>
      <c r="R9" s="13"/>
      <c r="S9" s="13"/>
      <c r="T9" s="13"/>
      <c r="U9" s="13"/>
    </row>
    <row r="10" spans="1:29" s="12" customFormat="1" ht="18.75" x14ac:dyDescent="0.2">
      <c r="A10" s="327" t="s">
        <v>9</v>
      </c>
      <c r="B10" s="327"/>
      <c r="C10" s="327"/>
      <c r="D10" s="6"/>
      <c r="E10" s="6"/>
      <c r="F10" s="6"/>
      <c r="G10" s="6"/>
      <c r="H10" s="13"/>
      <c r="I10" s="13"/>
      <c r="J10" s="13"/>
      <c r="K10" s="13"/>
      <c r="L10" s="13"/>
      <c r="M10" s="13"/>
      <c r="N10" s="13"/>
      <c r="O10" s="13"/>
      <c r="P10" s="13"/>
      <c r="Q10" s="13"/>
      <c r="R10" s="13"/>
      <c r="S10" s="13"/>
      <c r="T10" s="13"/>
      <c r="U10" s="13"/>
    </row>
    <row r="11" spans="1:29" s="12" customFormat="1" ht="18.75" x14ac:dyDescent="0.2">
      <c r="A11" s="330"/>
      <c r="B11" s="330"/>
      <c r="C11" s="330"/>
      <c r="D11" s="14"/>
      <c r="E11" s="14"/>
      <c r="F11" s="14"/>
      <c r="G11" s="14"/>
      <c r="H11" s="13"/>
      <c r="I11" s="13"/>
      <c r="J11" s="13"/>
      <c r="K11" s="13"/>
      <c r="L11" s="13"/>
      <c r="M11" s="13"/>
      <c r="N11" s="13"/>
      <c r="O11" s="13"/>
      <c r="P11" s="13"/>
      <c r="Q11" s="13"/>
      <c r="R11" s="13"/>
      <c r="S11" s="13"/>
      <c r="T11" s="13"/>
      <c r="U11" s="13"/>
    </row>
    <row r="12" spans="1:29" s="12" customFormat="1" ht="18.75" x14ac:dyDescent="0.2">
      <c r="A12" s="333" t="str">
        <f>'1. паспорт местоположение'!A12:C12</f>
        <v>А_prj_111001_2484</v>
      </c>
      <c r="B12" s="333"/>
      <c r="C12" s="333"/>
      <c r="D12" s="8"/>
      <c r="E12" s="8"/>
      <c r="F12" s="8"/>
      <c r="G12" s="8"/>
      <c r="H12" s="13"/>
      <c r="I12" s="13"/>
      <c r="J12" s="13"/>
      <c r="K12" s="13"/>
      <c r="L12" s="13"/>
      <c r="M12" s="13"/>
      <c r="N12" s="13"/>
      <c r="O12" s="13"/>
      <c r="P12" s="13"/>
      <c r="Q12" s="13"/>
      <c r="R12" s="13"/>
      <c r="S12" s="13"/>
      <c r="T12" s="13"/>
      <c r="U12" s="13"/>
    </row>
    <row r="13" spans="1:29" s="12" customFormat="1" ht="18.75" x14ac:dyDescent="0.2">
      <c r="A13" s="327" t="s">
        <v>8</v>
      </c>
      <c r="B13" s="327"/>
      <c r="C13" s="3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7"/>
      <c r="B14" s="337"/>
      <c r="C14" s="33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38" t="str">
        <f>'1. паспорт местоположение'!A15:C15</f>
        <v xml:space="preserve">Расширение ПС 110/15кВ О-47 "Борисово" </v>
      </c>
      <c r="B15" s="338"/>
      <c r="C15" s="338"/>
      <c r="D15" s="8"/>
      <c r="E15" s="8"/>
      <c r="F15" s="8"/>
      <c r="G15" s="8"/>
      <c r="H15" s="8"/>
      <c r="I15" s="8"/>
      <c r="J15" s="8"/>
      <c r="K15" s="8"/>
      <c r="L15" s="8"/>
      <c r="M15" s="8"/>
      <c r="N15" s="8"/>
      <c r="O15" s="8"/>
      <c r="P15" s="8"/>
      <c r="Q15" s="8"/>
      <c r="R15" s="8"/>
      <c r="S15" s="8"/>
      <c r="T15" s="8"/>
      <c r="U15" s="8"/>
    </row>
    <row r="16" spans="1:29" s="3" customFormat="1" ht="15" customHeight="1" x14ac:dyDescent="0.2">
      <c r="A16" s="327" t="s">
        <v>7</v>
      </c>
      <c r="B16" s="327"/>
      <c r="C16" s="327"/>
      <c r="D16" s="6"/>
      <c r="E16" s="6"/>
      <c r="F16" s="6"/>
      <c r="G16" s="6"/>
      <c r="H16" s="6"/>
      <c r="I16" s="6"/>
      <c r="J16" s="6"/>
      <c r="K16" s="6"/>
      <c r="L16" s="6"/>
      <c r="M16" s="6"/>
      <c r="N16" s="6"/>
      <c r="O16" s="6"/>
      <c r="P16" s="6"/>
      <c r="Q16" s="6"/>
      <c r="R16" s="6"/>
      <c r="S16" s="6"/>
      <c r="T16" s="6"/>
      <c r="U16" s="6"/>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28" t="s">
        <v>409</v>
      </c>
      <c r="B18" s="328"/>
      <c r="C18" s="3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1" t="s">
        <v>68</v>
      </c>
      <c r="C20" s="40"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3" customFormat="1" ht="78.599999999999994" customHeight="1" x14ac:dyDescent="0.2">
      <c r="A22" s="26" t="s">
        <v>66</v>
      </c>
      <c r="B22" s="33" t="s">
        <v>422</v>
      </c>
      <c r="C22" s="32" t="s">
        <v>493</v>
      </c>
      <c r="D22" s="31"/>
      <c r="E22" s="31"/>
      <c r="F22" s="30"/>
      <c r="G22" s="30"/>
      <c r="H22" s="30"/>
      <c r="I22" s="30"/>
      <c r="J22" s="30"/>
      <c r="K22" s="30"/>
      <c r="L22" s="30"/>
      <c r="M22" s="30"/>
      <c r="N22" s="30"/>
      <c r="O22" s="30"/>
      <c r="P22" s="30"/>
      <c r="Q22" s="29"/>
      <c r="R22" s="29"/>
      <c r="S22" s="29"/>
      <c r="T22" s="29"/>
      <c r="U22" s="29"/>
    </row>
    <row r="23" spans="1:21" ht="42.75" customHeight="1" x14ac:dyDescent="0.25">
      <c r="A23" s="26" t="s">
        <v>64</v>
      </c>
      <c r="B23" s="28" t="s">
        <v>61</v>
      </c>
      <c r="C23" s="38" t="s">
        <v>540</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539</v>
      </c>
      <c r="C24" s="27" t="s">
        <v>494</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442</v>
      </c>
      <c r="C25" s="27" t="s">
        <v>588</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227</v>
      </c>
      <c r="C26" s="27" t="s">
        <v>492</v>
      </c>
      <c r="D26" s="25"/>
      <c r="E26" s="25"/>
      <c r="F26" s="25"/>
      <c r="G26" s="25"/>
      <c r="H26" s="25"/>
      <c r="I26" s="25"/>
      <c r="J26" s="25"/>
      <c r="K26" s="25"/>
      <c r="L26" s="25"/>
      <c r="M26" s="25"/>
      <c r="N26" s="25"/>
      <c r="O26" s="25"/>
      <c r="P26" s="25"/>
      <c r="Q26" s="25"/>
      <c r="R26" s="25"/>
      <c r="S26" s="25"/>
      <c r="T26" s="25"/>
      <c r="U26" s="25"/>
    </row>
    <row r="27" spans="1:21" ht="129.6" customHeight="1" x14ac:dyDescent="0.25">
      <c r="A27" s="26" t="s">
        <v>59</v>
      </c>
      <c r="B27" s="28" t="s">
        <v>423</v>
      </c>
      <c r="C27" s="245" t="s">
        <v>523</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27" t="s">
        <v>483</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27" t="s">
        <v>484</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27" t="s">
        <v>533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8.75" x14ac:dyDescent="0.25">
      <c r="A6" s="330" t="s">
        <v>10</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165"/>
      <c r="AB6" s="165"/>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165"/>
      <c r="AB7" s="165"/>
    </row>
    <row r="8" spans="1:28" ht="15.75" x14ac:dyDescent="0.25">
      <c r="A8" s="333" t="str">
        <f>'1. паспорт местоположение'!A9:C9</f>
        <v xml:space="preserve">                         АО "Янтарьэнерго"                         </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166"/>
      <c r="AB8" s="166"/>
    </row>
    <row r="9" spans="1:28" ht="15.75" x14ac:dyDescent="0.25">
      <c r="A9" s="327" t="s">
        <v>9</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167"/>
      <c r="AB9" s="167"/>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165"/>
      <c r="AB10" s="165"/>
    </row>
    <row r="11" spans="1:28" ht="15.75" x14ac:dyDescent="0.25">
      <c r="A11" s="333" t="str">
        <f>'1. паспорт местоположение'!A12:C12</f>
        <v>А_prj_111001_2484</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166"/>
      <c r="AB11" s="166"/>
    </row>
    <row r="12" spans="1:28" ht="15.75"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167"/>
      <c r="AB12" s="167"/>
    </row>
    <row r="13" spans="1:28" ht="18.75" x14ac:dyDescent="0.2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11"/>
      <c r="AB13" s="11"/>
    </row>
    <row r="14" spans="1:28" ht="15.75" x14ac:dyDescent="0.25">
      <c r="A14" s="338" t="str">
        <f>'1. паспорт местоположение'!A15:C15</f>
        <v xml:space="preserve">Расширение ПС 110/15кВ О-47 "Борисово" </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66"/>
      <c r="AB14" s="166"/>
    </row>
    <row r="15" spans="1:28" ht="15.75"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167"/>
      <c r="AB15" s="167"/>
    </row>
    <row r="16" spans="1:28"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175"/>
      <c r="AB16" s="175"/>
    </row>
    <row r="17" spans="1:2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175"/>
      <c r="AB17" s="175"/>
    </row>
    <row r="18" spans="1:28"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175"/>
      <c r="AB18" s="175"/>
    </row>
    <row r="19" spans="1:2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75"/>
      <c r="AB19" s="175"/>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76"/>
      <c r="AB20" s="176"/>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76"/>
      <c r="AB21" s="176"/>
    </row>
    <row r="22" spans="1:28" x14ac:dyDescent="0.25">
      <c r="A22" s="370" t="s">
        <v>441</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77"/>
      <c r="AB22" s="177"/>
    </row>
    <row r="23" spans="1:28" ht="32.25" customHeight="1" x14ac:dyDescent="0.25">
      <c r="A23" s="372" t="s">
        <v>317</v>
      </c>
      <c r="B23" s="373"/>
      <c r="C23" s="373"/>
      <c r="D23" s="373"/>
      <c r="E23" s="373"/>
      <c r="F23" s="373"/>
      <c r="G23" s="373"/>
      <c r="H23" s="373"/>
      <c r="I23" s="373"/>
      <c r="J23" s="373"/>
      <c r="K23" s="373"/>
      <c r="L23" s="374"/>
      <c r="M23" s="371" t="s">
        <v>318</v>
      </c>
      <c r="N23" s="371"/>
      <c r="O23" s="371"/>
      <c r="P23" s="371"/>
      <c r="Q23" s="371"/>
      <c r="R23" s="371"/>
      <c r="S23" s="371"/>
      <c r="T23" s="371"/>
      <c r="U23" s="371"/>
      <c r="V23" s="371"/>
      <c r="W23" s="371"/>
      <c r="X23" s="371"/>
      <c r="Y23" s="371"/>
      <c r="Z23" s="371"/>
    </row>
    <row r="24" spans="1:28" ht="151.5" customHeight="1" x14ac:dyDescent="0.25">
      <c r="A24" s="109" t="s">
        <v>230</v>
      </c>
      <c r="B24" s="110" t="s">
        <v>237</v>
      </c>
      <c r="C24" s="109" t="s">
        <v>312</v>
      </c>
      <c r="D24" s="109" t="s">
        <v>231</v>
      </c>
      <c r="E24" s="109" t="s">
        <v>313</v>
      </c>
      <c r="F24" s="109" t="s">
        <v>315</v>
      </c>
      <c r="G24" s="109" t="s">
        <v>314</v>
      </c>
      <c r="H24" s="109" t="s">
        <v>232</v>
      </c>
      <c r="I24" s="109" t="s">
        <v>316</v>
      </c>
      <c r="J24" s="109" t="s">
        <v>238</v>
      </c>
      <c r="K24" s="110" t="s">
        <v>236</v>
      </c>
      <c r="L24" s="110" t="s">
        <v>233</v>
      </c>
      <c r="M24" s="111" t="s">
        <v>248</v>
      </c>
      <c r="N24" s="110" t="s">
        <v>450</v>
      </c>
      <c r="O24" s="109" t="s">
        <v>245</v>
      </c>
      <c r="P24" s="109" t="s">
        <v>246</v>
      </c>
      <c r="Q24" s="109" t="s">
        <v>244</v>
      </c>
      <c r="R24" s="109" t="s">
        <v>232</v>
      </c>
      <c r="S24" s="109" t="s">
        <v>243</v>
      </c>
      <c r="T24" s="109" t="s">
        <v>242</v>
      </c>
      <c r="U24" s="109" t="s">
        <v>311</v>
      </c>
      <c r="V24" s="109" t="s">
        <v>244</v>
      </c>
      <c r="W24" s="124" t="s">
        <v>235</v>
      </c>
      <c r="X24" s="124" t="s">
        <v>251</v>
      </c>
      <c r="Y24" s="124" t="s">
        <v>252</v>
      </c>
      <c r="Z24" s="126" t="s">
        <v>249</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3" t="s">
        <v>296</v>
      </c>
      <c r="B26" s="108"/>
      <c r="C26" s="105" t="s">
        <v>298</v>
      </c>
      <c r="D26" s="105" t="s">
        <v>299</v>
      </c>
      <c r="E26" s="105" t="s">
        <v>300</v>
      </c>
      <c r="F26" s="105" t="s">
        <v>239</v>
      </c>
      <c r="G26" s="105" t="s">
        <v>301</v>
      </c>
      <c r="H26" s="105" t="s">
        <v>232</v>
      </c>
      <c r="I26" s="105" t="s">
        <v>302</v>
      </c>
      <c r="J26" s="105" t="s">
        <v>303</v>
      </c>
      <c r="K26" s="102"/>
      <c r="L26" s="106"/>
      <c r="M26" s="107" t="s">
        <v>241</v>
      </c>
      <c r="N26" s="102"/>
      <c r="O26" s="102"/>
      <c r="P26" s="102"/>
      <c r="Q26" s="102"/>
      <c r="R26" s="102"/>
      <c r="S26" s="102"/>
      <c r="T26" s="102"/>
      <c r="U26" s="102"/>
      <c r="V26" s="102"/>
      <c r="W26" s="102"/>
      <c r="X26" s="102"/>
      <c r="Y26" s="102"/>
      <c r="Z26" s="104" t="s">
        <v>250</v>
      </c>
    </row>
    <row r="27" spans="1:28" x14ac:dyDescent="0.25">
      <c r="A27" s="102">
        <v>2015</v>
      </c>
      <c r="B27" s="102" t="s">
        <v>534</v>
      </c>
      <c r="C27" s="102">
        <v>0</v>
      </c>
      <c r="D27" s="102">
        <v>0</v>
      </c>
      <c r="E27" s="102">
        <v>0</v>
      </c>
      <c r="F27" s="105">
        <v>0</v>
      </c>
      <c r="G27" s="105">
        <v>0</v>
      </c>
      <c r="H27" s="102" t="s">
        <v>232</v>
      </c>
      <c r="I27" s="105">
        <v>0</v>
      </c>
      <c r="J27" s="105">
        <v>0</v>
      </c>
      <c r="K27" s="106"/>
      <c r="L27" s="102"/>
      <c r="M27" s="106" t="s">
        <v>247</v>
      </c>
      <c r="N27" s="102"/>
      <c r="O27" s="102"/>
      <c r="P27" s="102"/>
      <c r="Q27" s="102"/>
      <c r="R27" s="102"/>
      <c r="S27" s="102"/>
      <c r="T27" s="102"/>
      <c r="U27" s="102"/>
      <c r="V27" s="102"/>
      <c r="W27" s="102"/>
      <c r="X27" s="102"/>
      <c r="Y27" s="102"/>
      <c r="Z27" s="102"/>
    </row>
    <row r="28" spans="1:28" ht="30" x14ac:dyDescent="0.25">
      <c r="A28" s="108" t="s">
        <v>297</v>
      </c>
      <c r="B28" s="108"/>
      <c r="C28" s="105" t="s">
        <v>304</v>
      </c>
      <c r="D28" s="105" t="s">
        <v>305</v>
      </c>
      <c r="E28" s="105" t="s">
        <v>306</v>
      </c>
      <c r="F28" s="105" t="s">
        <v>307</v>
      </c>
      <c r="G28" s="105" t="s">
        <v>308</v>
      </c>
      <c r="H28" s="105" t="s">
        <v>232</v>
      </c>
      <c r="I28" s="105" t="s">
        <v>309</v>
      </c>
      <c r="J28" s="105" t="s">
        <v>310</v>
      </c>
      <c r="K28" s="102"/>
      <c r="L28" s="102"/>
      <c r="M28" s="102"/>
      <c r="N28" s="102"/>
      <c r="O28" s="102"/>
      <c r="P28" s="102"/>
      <c r="Q28" s="102"/>
      <c r="R28" s="102"/>
      <c r="S28" s="102"/>
      <c r="T28" s="102"/>
      <c r="U28" s="102"/>
      <c r="V28" s="102"/>
      <c r="W28" s="102"/>
      <c r="X28" s="102"/>
      <c r="Y28" s="102"/>
      <c r="Z28" s="102"/>
    </row>
    <row r="29" spans="1:28" x14ac:dyDescent="0.25">
      <c r="A29" s="102">
        <v>2014</v>
      </c>
      <c r="B29" s="102" t="s">
        <v>534</v>
      </c>
      <c r="C29" s="102">
        <v>0</v>
      </c>
      <c r="D29" s="102">
        <v>0</v>
      </c>
      <c r="E29" s="102">
        <v>0</v>
      </c>
      <c r="F29" s="102">
        <v>0</v>
      </c>
      <c r="G29" s="102">
        <v>0</v>
      </c>
      <c r="H29" s="102" t="s">
        <v>0</v>
      </c>
      <c r="I29" s="102">
        <v>0</v>
      </c>
      <c r="J29" s="102">
        <v>0</v>
      </c>
      <c r="K29" s="102"/>
      <c r="L29" s="102"/>
      <c r="M29" s="102"/>
      <c r="N29" s="102"/>
      <c r="O29" s="102"/>
      <c r="P29" s="102"/>
      <c r="Q29" s="102"/>
      <c r="R29" s="102"/>
      <c r="S29" s="102"/>
      <c r="T29" s="102"/>
      <c r="U29" s="102"/>
      <c r="V29" s="102"/>
      <c r="W29" s="102"/>
      <c r="X29" s="102"/>
      <c r="Y29" s="102"/>
      <c r="Z29" s="102"/>
    </row>
    <row r="33" spans="1:1" x14ac:dyDescent="0.25">
      <c r="A33"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30" t="s">
        <v>10</v>
      </c>
      <c r="B7" s="330"/>
      <c r="C7" s="330"/>
      <c r="D7" s="330"/>
      <c r="E7" s="330"/>
      <c r="F7" s="330"/>
      <c r="G7" s="330"/>
      <c r="H7" s="330"/>
      <c r="I7" s="330"/>
      <c r="J7" s="330"/>
      <c r="K7" s="330"/>
      <c r="L7" s="330"/>
      <c r="M7" s="330"/>
      <c r="N7" s="330"/>
      <c r="O7" s="330"/>
      <c r="P7" s="13"/>
      <c r="Q7" s="13"/>
      <c r="R7" s="13"/>
      <c r="S7" s="13"/>
      <c r="T7" s="13"/>
      <c r="U7" s="13"/>
      <c r="V7" s="13"/>
      <c r="W7" s="13"/>
      <c r="X7" s="13"/>
      <c r="Y7" s="13"/>
      <c r="Z7" s="13"/>
    </row>
    <row r="8" spans="1:28" s="12" customFormat="1" ht="18.75" x14ac:dyDescent="0.2">
      <c r="A8" s="330"/>
      <c r="B8" s="330"/>
      <c r="C8" s="330"/>
      <c r="D8" s="330"/>
      <c r="E8" s="330"/>
      <c r="F8" s="330"/>
      <c r="G8" s="330"/>
      <c r="H8" s="330"/>
      <c r="I8" s="330"/>
      <c r="J8" s="330"/>
      <c r="K8" s="330"/>
      <c r="L8" s="330"/>
      <c r="M8" s="330"/>
      <c r="N8" s="330"/>
      <c r="O8" s="330"/>
      <c r="P8" s="13"/>
      <c r="Q8" s="13"/>
      <c r="R8" s="13"/>
      <c r="S8" s="13"/>
      <c r="T8" s="13"/>
      <c r="U8" s="13"/>
      <c r="V8" s="13"/>
      <c r="W8" s="13"/>
      <c r="X8" s="13"/>
      <c r="Y8" s="13"/>
      <c r="Z8" s="13"/>
    </row>
    <row r="9" spans="1:28" s="12" customFormat="1" ht="18.75" x14ac:dyDescent="0.2">
      <c r="A9" s="333" t="str">
        <f>'1. паспорт местоположение'!A9:C9</f>
        <v xml:space="preserve">                         АО "Янтарьэнерго"                         </v>
      </c>
      <c r="B9" s="333"/>
      <c r="C9" s="333"/>
      <c r="D9" s="333"/>
      <c r="E9" s="333"/>
      <c r="F9" s="333"/>
      <c r="G9" s="333"/>
      <c r="H9" s="333"/>
      <c r="I9" s="333"/>
      <c r="J9" s="333"/>
      <c r="K9" s="333"/>
      <c r="L9" s="333"/>
      <c r="M9" s="333"/>
      <c r="N9" s="333"/>
      <c r="O9" s="333"/>
      <c r="P9" s="13"/>
      <c r="Q9" s="13"/>
      <c r="R9" s="13"/>
      <c r="S9" s="13"/>
      <c r="T9" s="13"/>
      <c r="U9" s="13"/>
      <c r="V9" s="13"/>
      <c r="W9" s="13"/>
      <c r="X9" s="13"/>
      <c r="Y9" s="13"/>
      <c r="Z9" s="13"/>
    </row>
    <row r="10" spans="1:28" s="12" customFormat="1" ht="18.75" x14ac:dyDescent="0.2">
      <c r="A10" s="327" t="s">
        <v>9</v>
      </c>
      <c r="B10" s="327"/>
      <c r="C10" s="327"/>
      <c r="D10" s="327"/>
      <c r="E10" s="327"/>
      <c r="F10" s="327"/>
      <c r="G10" s="327"/>
      <c r="H10" s="327"/>
      <c r="I10" s="327"/>
      <c r="J10" s="327"/>
      <c r="K10" s="327"/>
      <c r="L10" s="327"/>
      <c r="M10" s="327"/>
      <c r="N10" s="327"/>
      <c r="O10" s="327"/>
      <c r="P10" s="13"/>
      <c r="Q10" s="13"/>
      <c r="R10" s="13"/>
      <c r="S10" s="13"/>
      <c r="T10" s="13"/>
      <c r="U10" s="13"/>
      <c r="V10" s="13"/>
      <c r="W10" s="13"/>
      <c r="X10" s="13"/>
      <c r="Y10" s="13"/>
      <c r="Z10" s="13"/>
    </row>
    <row r="11" spans="1:28" s="12" customFormat="1" ht="18.75" x14ac:dyDescent="0.2">
      <c r="A11" s="330"/>
      <c r="B11" s="330"/>
      <c r="C11" s="330"/>
      <c r="D11" s="330"/>
      <c r="E11" s="330"/>
      <c r="F11" s="330"/>
      <c r="G11" s="330"/>
      <c r="H11" s="330"/>
      <c r="I11" s="330"/>
      <c r="J11" s="330"/>
      <c r="K11" s="330"/>
      <c r="L11" s="330"/>
      <c r="M11" s="330"/>
      <c r="N11" s="330"/>
      <c r="O11" s="330"/>
      <c r="P11" s="13"/>
      <c r="Q11" s="13"/>
      <c r="R11" s="13"/>
      <c r="S11" s="13"/>
      <c r="T11" s="13"/>
      <c r="U11" s="13"/>
      <c r="V11" s="13"/>
      <c r="W11" s="13"/>
      <c r="X11" s="13"/>
      <c r="Y11" s="13"/>
      <c r="Z11" s="13"/>
    </row>
    <row r="12" spans="1:28" s="12" customFormat="1" ht="18.75" x14ac:dyDescent="0.2">
      <c r="A12" s="333" t="str">
        <f>'1. паспорт местоположение'!A12:C12</f>
        <v>А_prj_111001_2484</v>
      </c>
      <c r="B12" s="333"/>
      <c r="C12" s="333"/>
      <c r="D12" s="333"/>
      <c r="E12" s="333"/>
      <c r="F12" s="333"/>
      <c r="G12" s="333"/>
      <c r="H12" s="333"/>
      <c r="I12" s="333"/>
      <c r="J12" s="333"/>
      <c r="K12" s="333"/>
      <c r="L12" s="333"/>
      <c r="M12" s="333"/>
      <c r="N12" s="333"/>
      <c r="O12" s="333"/>
      <c r="P12" s="13"/>
      <c r="Q12" s="13"/>
      <c r="R12" s="13"/>
      <c r="S12" s="13"/>
      <c r="T12" s="13"/>
      <c r="U12" s="13"/>
      <c r="V12" s="13"/>
      <c r="W12" s="13"/>
      <c r="X12" s="13"/>
      <c r="Y12" s="13"/>
      <c r="Z12" s="13"/>
    </row>
    <row r="13" spans="1:28" s="12" customFormat="1" ht="18.75" x14ac:dyDescent="0.2">
      <c r="A13" s="327" t="s">
        <v>8</v>
      </c>
      <c r="B13" s="327"/>
      <c r="C13" s="327"/>
      <c r="D13" s="327"/>
      <c r="E13" s="327"/>
      <c r="F13" s="327"/>
      <c r="G13" s="327"/>
      <c r="H13" s="327"/>
      <c r="I13" s="327"/>
      <c r="J13" s="327"/>
      <c r="K13" s="327"/>
      <c r="L13" s="327"/>
      <c r="M13" s="327"/>
      <c r="N13" s="327"/>
      <c r="O13" s="327"/>
      <c r="P13" s="13"/>
      <c r="Q13" s="13"/>
      <c r="R13" s="13"/>
      <c r="S13" s="13"/>
      <c r="T13" s="13"/>
      <c r="U13" s="13"/>
      <c r="V13" s="13"/>
      <c r="W13" s="13"/>
      <c r="X13" s="13"/>
      <c r="Y13" s="13"/>
      <c r="Z13" s="13"/>
    </row>
    <row r="14" spans="1:28" s="9" customFormat="1" ht="15.75" customHeight="1" x14ac:dyDescent="0.2">
      <c r="A14" s="337"/>
      <c r="B14" s="337"/>
      <c r="C14" s="337"/>
      <c r="D14" s="337"/>
      <c r="E14" s="337"/>
      <c r="F14" s="337"/>
      <c r="G14" s="337"/>
      <c r="H14" s="337"/>
      <c r="I14" s="337"/>
      <c r="J14" s="337"/>
      <c r="K14" s="337"/>
      <c r="L14" s="337"/>
      <c r="M14" s="337"/>
      <c r="N14" s="337"/>
      <c r="O14" s="337"/>
      <c r="P14" s="10"/>
      <c r="Q14" s="10"/>
      <c r="R14" s="10"/>
      <c r="S14" s="10"/>
      <c r="T14" s="10"/>
      <c r="U14" s="10"/>
      <c r="V14" s="10"/>
      <c r="W14" s="10"/>
      <c r="X14" s="10"/>
      <c r="Y14" s="10"/>
      <c r="Z14" s="10"/>
    </row>
    <row r="15" spans="1:28" s="3" customFormat="1" ht="15.75" x14ac:dyDescent="0.2">
      <c r="A15" s="333" t="str">
        <f>'1. паспорт местоположение'!A15:C15</f>
        <v xml:space="preserve">Расширение ПС 110/15кВ О-47 "Борисово" </v>
      </c>
      <c r="B15" s="333"/>
      <c r="C15" s="333"/>
      <c r="D15" s="333"/>
      <c r="E15" s="333"/>
      <c r="F15" s="333"/>
      <c r="G15" s="333"/>
      <c r="H15" s="333"/>
      <c r="I15" s="333"/>
      <c r="J15" s="333"/>
      <c r="K15" s="333"/>
      <c r="L15" s="333"/>
      <c r="M15" s="333"/>
      <c r="N15" s="333"/>
      <c r="O15" s="333"/>
      <c r="P15" s="8"/>
      <c r="Q15" s="8"/>
      <c r="R15" s="8"/>
      <c r="S15" s="8"/>
      <c r="T15" s="8"/>
      <c r="U15" s="8"/>
      <c r="V15" s="8"/>
      <c r="W15" s="8"/>
      <c r="X15" s="8"/>
      <c r="Y15" s="8"/>
      <c r="Z15" s="8"/>
    </row>
    <row r="16" spans="1:28" s="3" customFormat="1" ht="15" customHeight="1" x14ac:dyDescent="0.2">
      <c r="A16" s="327" t="s">
        <v>7</v>
      </c>
      <c r="B16" s="327"/>
      <c r="C16" s="327"/>
      <c r="D16" s="327"/>
      <c r="E16" s="327"/>
      <c r="F16" s="327"/>
      <c r="G16" s="327"/>
      <c r="H16" s="327"/>
      <c r="I16" s="327"/>
      <c r="J16" s="327"/>
      <c r="K16" s="327"/>
      <c r="L16" s="327"/>
      <c r="M16" s="327"/>
      <c r="N16" s="327"/>
      <c r="O16" s="327"/>
      <c r="P16" s="6"/>
      <c r="Q16" s="6"/>
      <c r="R16" s="6"/>
      <c r="S16" s="6"/>
      <c r="T16" s="6"/>
      <c r="U16" s="6"/>
      <c r="V16" s="6"/>
      <c r="W16" s="6"/>
      <c r="X16" s="6"/>
      <c r="Y16" s="6"/>
      <c r="Z16" s="6"/>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76" t="s">
        <v>418</v>
      </c>
      <c r="B18" s="376"/>
      <c r="C18" s="376"/>
      <c r="D18" s="376"/>
      <c r="E18" s="376"/>
      <c r="F18" s="376"/>
      <c r="G18" s="376"/>
      <c r="H18" s="376"/>
      <c r="I18" s="376"/>
      <c r="J18" s="376"/>
      <c r="K18" s="376"/>
      <c r="L18" s="376"/>
      <c r="M18" s="376"/>
      <c r="N18" s="376"/>
      <c r="O18" s="376"/>
      <c r="P18" s="7"/>
      <c r="Q18" s="7"/>
      <c r="R18" s="7"/>
      <c r="S18" s="7"/>
      <c r="T18" s="7"/>
      <c r="U18" s="7"/>
      <c r="V18" s="7"/>
      <c r="W18" s="7"/>
      <c r="X18" s="7"/>
      <c r="Y18" s="7"/>
      <c r="Z18" s="7"/>
    </row>
    <row r="19" spans="1:26" s="3" customFormat="1" ht="78" customHeight="1" x14ac:dyDescent="0.2">
      <c r="A19" s="331" t="s">
        <v>6</v>
      </c>
      <c r="B19" s="331" t="s">
        <v>89</v>
      </c>
      <c r="C19" s="331" t="s">
        <v>88</v>
      </c>
      <c r="D19" s="331" t="s">
        <v>77</v>
      </c>
      <c r="E19" s="377" t="s">
        <v>87</v>
      </c>
      <c r="F19" s="378"/>
      <c r="G19" s="378"/>
      <c r="H19" s="378"/>
      <c r="I19" s="379"/>
      <c r="J19" s="331" t="s">
        <v>86</v>
      </c>
      <c r="K19" s="331"/>
      <c r="L19" s="331"/>
      <c r="M19" s="331"/>
      <c r="N19" s="331"/>
      <c r="O19" s="331"/>
      <c r="P19" s="4"/>
      <c r="Q19" s="4"/>
      <c r="R19" s="4"/>
      <c r="S19" s="4"/>
      <c r="T19" s="4"/>
      <c r="U19" s="4"/>
      <c r="V19" s="4"/>
      <c r="W19" s="4"/>
    </row>
    <row r="20" spans="1:26" s="3" customFormat="1" ht="51" customHeight="1" x14ac:dyDescent="0.2">
      <c r="A20" s="331"/>
      <c r="B20" s="331"/>
      <c r="C20" s="331"/>
      <c r="D20" s="331"/>
      <c r="E20" s="45" t="s">
        <v>85</v>
      </c>
      <c r="F20" s="45" t="s">
        <v>84</v>
      </c>
      <c r="G20" s="45" t="s">
        <v>83</v>
      </c>
      <c r="H20" s="45" t="s">
        <v>82</v>
      </c>
      <c r="I20" s="45" t="s">
        <v>81</v>
      </c>
      <c r="J20" s="45" t="s">
        <v>80</v>
      </c>
      <c r="K20" s="45" t="s">
        <v>5</v>
      </c>
      <c r="L20" s="53" t="s">
        <v>4</v>
      </c>
      <c r="M20" s="52" t="s">
        <v>228</v>
      </c>
      <c r="N20" s="52" t="s">
        <v>79</v>
      </c>
      <c r="O20" s="52" t="s">
        <v>78</v>
      </c>
      <c r="P20" s="30"/>
      <c r="Q20" s="30"/>
      <c r="R20" s="30"/>
      <c r="S20" s="30"/>
      <c r="T20" s="30"/>
      <c r="U20" s="30"/>
      <c r="V20" s="30"/>
      <c r="W20" s="30"/>
      <c r="X20" s="29"/>
      <c r="Y20" s="29"/>
      <c r="Z20" s="29"/>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3" customFormat="1" ht="33" customHeight="1" x14ac:dyDescent="0.2">
      <c r="A22" s="49"/>
      <c r="B22" s="51"/>
      <c r="C22" s="33"/>
      <c r="D22" s="33"/>
      <c r="E22" s="33"/>
      <c r="F22" s="33"/>
      <c r="G22" s="33"/>
      <c r="H22" s="33"/>
      <c r="I22" s="33"/>
      <c r="J22" s="48"/>
      <c r="K22" s="48"/>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N101"/>
  <sheetViews>
    <sheetView topLeftCell="A13" zoomScale="90" zoomScaleNormal="90" workbookViewId="0">
      <selection activeCell="B25" sqref="B25"/>
    </sheetView>
  </sheetViews>
  <sheetFormatPr defaultColWidth="9.140625" defaultRowHeight="15" x14ac:dyDescent="0.25"/>
  <cols>
    <col min="1" max="1" width="61.7109375" customWidth="1"/>
    <col min="2" max="2" width="18.5703125" customWidth="1"/>
    <col min="3" max="26" width="16.85546875" customWidth="1"/>
    <col min="27" max="32" width="19.7109375" customWidth="1"/>
    <col min="33" max="36" width="20.85546875" customWidth="1"/>
    <col min="37" max="37" width="20.140625" customWidth="1"/>
    <col min="257" max="257" width="61.7109375" customWidth="1"/>
    <col min="258" max="258" width="18.5703125" customWidth="1"/>
    <col min="259" max="282" width="16.85546875" customWidth="1"/>
    <col min="283" max="288" width="19.7109375" customWidth="1"/>
    <col min="289" max="292" width="20.85546875" customWidth="1"/>
    <col min="293" max="293" width="20.140625" customWidth="1"/>
    <col min="513" max="513" width="61.7109375" customWidth="1"/>
    <col min="514" max="514" width="18.5703125" customWidth="1"/>
    <col min="515" max="538" width="16.85546875" customWidth="1"/>
    <col min="539" max="544" width="19.7109375" customWidth="1"/>
    <col min="545" max="548" width="20.85546875" customWidth="1"/>
    <col min="549" max="549" width="20.140625" customWidth="1"/>
    <col min="769" max="769" width="61.7109375" customWidth="1"/>
    <col min="770" max="770" width="18.5703125" customWidth="1"/>
    <col min="771" max="794" width="16.85546875" customWidth="1"/>
    <col min="795" max="800" width="19.7109375" customWidth="1"/>
    <col min="801" max="804" width="20.85546875" customWidth="1"/>
    <col min="805" max="805" width="20.140625" customWidth="1"/>
    <col min="1025" max="1025" width="61.7109375" customWidth="1"/>
    <col min="1026" max="1026" width="18.5703125" customWidth="1"/>
    <col min="1027" max="1050" width="16.85546875" customWidth="1"/>
    <col min="1051" max="1056" width="19.7109375" customWidth="1"/>
    <col min="1057" max="1060" width="20.85546875" customWidth="1"/>
    <col min="1061" max="1061" width="20.140625" customWidth="1"/>
    <col min="1281" max="1281" width="61.7109375" customWidth="1"/>
    <col min="1282" max="1282" width="18.5703125" customWidth="1"/>
    <col min="1283" max="1306" width="16.85546875" customWidth="1"/>
    <col min="1307" max="1312" width="19.7109375" customWidth="1"/>
    <col min="1313" max="1316" width="20.85546875" customWidth="1"/>
    <col min="1317" max="1317" width="20.140625" customWidth="1"/>
    <col min="1537" max="1537" width="61.7109375" customWidth="1"/>
    <col min="1538" max="1538" width="18.5703125" customWidth="1"/>
    <col min="1539" max="1562" width="16.85546875" customWidth="1"/>
    <col min="1563" max="1568" width="19.7109375" customWidth="1"/>
    <col min="1569" max="1572" width="20.85546875" customWidth="1"/>
    <col min="1573" max="1573" width="20.140625" customWidth="1"/>
    <col min="1793" max="1793" width="61.7109375" customWidth="1"/>
    <col min="1794" max="1794" width="18.5703125" customWidth="1"/>
    <col min="1795" max="1818" width="16.85546875" customWidth="1"/>
    <col min="1819" max="1824" width="19.7109375" customWidth="1"/>
    <col min="1825" max="1828" width="20.85546875" customWidth="1"/>
    <col min="1829" max="1829" width="20.140625" customWidth="1"/>
    <col min="2049" max="2049" width="61.7109375" customWidth="1"/>
    <col min="2050" max="2050" width="18.5703125" customWidth="1"/>
    <col min="2051" max="2074" width="16.85546875" customWidth="1"/>
    <col min="2075" max="2080" width="19.7109375" customWidth="1"/>
    <col min="2081" max="2084" width="20.85546875" customWidth="1"/>
    <col min="2085" max="2085" width="20.140625" customWidth="1"/>
    <col min="2305" max="2305" width="61.7109375" customWidth="1"/>
    <col min="2306" max="2306" width="18.5703125" customWidth="1"/>
    <col min="2307" max="2330" width="16.85546875" customWidth="1"/>
    <col min="2331" max="2336" width="19.7109375" customWidth="1"/>
    <col min="2337" max="2340" width="20.85546875" customWidth="1"/>
    <col min="2341" max="2341" width="20.140625" customWidth="1"/>
    <col min="2561" max="2561" width="61.7109375" customWidth="1"/>
    <col min="2562" max="2562" width="18.5703125" customWidth="1"/>
    <col min="2563" max="2586" width="16.85546875" customWidth="1"/>
    <col min="2587" max="2592" width="19.7109375" customWidth="1"/>
    <col min="2593" max="2596" width="20.85546875" customWidth="1"/>
    <col min="2597" max="2597" width="20.140625" customWidth="1"/>
    <col min="2817" max="2817" width="61.7109375" customWidth="1"/>
    <col min="2818" max="2818" width="18.5703125" customWidth="1"/>
    <col min="2819" max="2842" width="16.85546875" customWidth="1"/>
    <col min="2843" max="2848" width="19.7109375" customWidth="1"/>
    <col min="2849" max="2852" width="20.85546875" customWidth="1"/>
    <col min="2853" max="2853" width="20.140625" customWidth="1"/>
    <col min="3073" max="3073" width="61.7109375" customWidth="1"/>
    <col min="3074" max="3074" width="18.5703125" customWidth="1"/>
    <col min="3075" max="3098" width="16.85546875" customWidth="1"/>
    <col min="3099" max="3104" width="19.7109375" customWidth="1"/>
    <col min="3105" max="3108" width="20.85546875" customWidth="1"/>
    <col min="3109" max="3109" width="20.140625" customWidth="1"/>
    <col min="3329" max="3329" width="61.7109375" customWidth="1"/>
    <col min="3330" max="3330" width="18.5703125" customWidth="1"/>
    <col min="3331" max="3354" width="16.85546875" customWidth="1"/>
    <col min="3355" max="3360" width="19.7109375" customWidth="1"/>
    <col min="3361" max="3364" width="20.85546875" customWidth="1"/>
    <col min="3365" max="3365" width="20.140625" customWidth="1"/>
    <col min="3585" max="3585" width="61.7109375" customWidth="1"/>
    <col min="3586" max="3586" width="18.5703125" customWidth="1"/>
    <col min="3587" max="3610" width="16.85546875" customWidth="1"/>
    <col min="3611" max="3616" width="19.7109375" customWidth="1"/>
    <col min="3617" max="3620" width="20.85546875" customWidth="1"/>
    <col min="3621" max="3621" width="20.140625" customWidth="1"/>
    <col min="3841" max="3841" width="61.7109375" customWidth="1"/>
    <col min="3842" max="3842" width="18.5703125" customWidth="1"/>
    <col min="3843" max="3866" width="16.85546875" customWidth="1"/>
    <col min="3867" max="3872" width="19.7109375" customWidth="1"/>
    <col min="3873" max="3876" width="20.85546875" customWidth="1"/>
    <col min="3877" max="3877" width="20.140625" customWidth="1"/>
    <col min="4097" max="4097" width="61.7109375" customWidth="1"/>
    <col min="4098" max="4098" width="18.5703125" customWidth="1"/>
    <col min="4099" max="4122" width="16.85546875" customWidth="1"/>
    <col min="4123" max="4128" width="19.7109375" customWidth="1"/>
    <col min="4129" max="4132" width="20.85546875" customWidth="1"/>
    <col min="4133" max="4133" width="20.140625" customWidth="1"/>
    <col min="4353" max="4353" width="61.7109375" customWidth="1"/>
    <col min="4354" max="4354" width="18.5703125" customWidth="1"/>
    <col min="4355" max="4378" width="16.85546875" customWidth="1"/>
    <col min="4379" max="4384" width="19.7109375" customWidth="1"/>
    <col min="4385" max="4388" width="20.85546875" customWidth="1"/>
    <col min="4389" max="4389" width="20.140625" customWidth="1"/>
    <col min="4609" max="4609" width="61.7109375" customWidth="1"/>
    <col min="4610" max="4610" width="18.5703125" customWidth="1"/>
    <col min="4611" max="4634" width="16.85546875" customWidth="1"/>
    <col min="4635" max="4640" width="19.7109375" customWidth="1"/>
    <col min="4641" max="4644" width="20.85546875" customWidth="1"/>
    <col min="4645" max="4645" width="20.140625" customWidth="1"/>
    <col min="4865" max="4865" width="61.7109375" customWidth="1"/>
    <col min="4866" max="4866" width="18.5703125" customWidth="1"/>
    <col min="4867" max="4890" width="16.85546875" customWidth="1"/>
    <col min="4891" max="4896" width="19.7109375" customWidth="1"/>
    <col min="4897" max="4900" width="20.85546875" customWidth="1"/>
    <col min="4901" max="4901" width="20.140625" customWidth="1"/>
    <col min="5121" max="5121" width="61.7109375" customWidth="1"/>
    <col min="5122" max="5122" width="18.5703125" customWidth="1"/>
    <col min="5123" max="5146" width="16.85546875" customWidth="1"/>
    <col min="5147" max="5152" width="19.7109375" customWidth="1"/>
    <col min="5153" max="5156" width="20.85546875" customWidth="1"/>
    <col min="5157" max="5157" width="20.140625" customWidth="1"/>
    <col min="5377" max="5377" width="61.7109375" customWidth="1"/>
    <col min="5378" max="5378" width="18.5703125" customWidth="1"/>
    <col min="5379" max="5402" width="16.85546875" customWidth="1"/>
    <col min="5403" max="5408" width="19.7109375" customWidth="1"/>
    <col min="5409" max="5412" width="20.85546875" customWidth="1"/>
    <col min="5413" max="5413" width="20.140625" customWidth="1"/>
    <col min="5633" max="5633" width="61.7109375" customWidth="1"/>
    <col min="5634" max="5634" width="18.5703125" customWidth="1"/>
    <col min="5635" max="5658" width="16.85546875" customWidth="1"/>
    <col min="5659" max="5664" width="19.7109375" customWidth="1"/>
    <col min="5665" max="5668" width="20.85546875" customWidth="1"/>
    <col min="5669" max="5669" width="20.140625" customWidth="1"/>
    <col min="5889" max="5889" width="61.7109375" customWidth="1"/>
    <col min="5890" max="5890" width="18.5703125" customWidth="1"/>
    <col min="5891" max="5914" width="16.85546875" customWidth="1"/>
    <col min="5915" max="5920" width="19.7109375" customWidth="1"/>
    <col min="5921" max="5924" width="20.85546875" customWidth="1"/>
    <col min="5925" max="5925" width="20.140625" customWidth="1"/>
    <col min="6145" max="6145" width="61.7109375" customWidth="1"/>
    <col min="6146" max="6146" width="18.5703125" customWidth="1"/>
    <col min="6147" max="6170" width="16.85546875" customWidth="1"/>
    <col min="6171" max="6176" width="19.7109375" customWidth="1"/>
    <col min="6177" max="6180" width="20.85546875" customWidth="1"/>
    <col min="6181" max="6181" width="20.140625" customWidth="1"/>
    <col min="6401" max="6401" width="61.7109375" customWidth="1"/>
    <col min="6402" max="6402" width="18.5703125" customWidth="1"/>
    <col min="6403" max="6426" width="16.85546875" customWidth="1"/>
    <col min="6427" max="6432" width="19.7109375" customWidth="1"/>
    <col min="6433" max="6436" width="20.85546875" customWidth="1"/>
    <col min="6437" max="6437" width="20.140625" customWidth="1"/>
    <col min="6657" max="6657" width="61.7109375" customWidth="1"/>
    <col min="6658" max="6658" width="18.5703125" customWidth="1"/>
    <col min="6659" max="6682" width="16.85546875" customWidth="1"/>
    <col min="6683" max="6688" width="19.7109375" customWidth="1"/>
    <col min="6689" max="6692" width="20.85546875" customWidth="1"/>
    <col min="6693" max="6693" width="20.140625" customWidth="1"/>
    <col min="6913" max="6913" width="61.7109375" customWidth="1"/>
    <col min="6914" max="6914" width="18.5703125" customWidth="1"/>
    <col min="6915" max="6938" width="16.85546875" customWidth="1"/>
    <col min="6939" max="6944" width="19.7109375" customWidth="1"/>
    <col min="6945" max="6948" width="20.85546875" customWidth="1"/>
    <col min="6949" max="6949" width="20.140625" customWidth="1"/>
    <col min="7169" max="7169" width="61.7109375" customWidth="1"/>
    <col min="7170" max="7170" width="18.5703125" customWidth="1"/>
    <col min="7171" max="7194" width="16.85546875" customWidth="1"/>
    <col min="7195" max="7200" width="19.7109375" customWidth="1"/>
    <col min="7201" max="7204" width="20.85546875" customWidth="1"/>
    <col min="7205" max="7205" width="20.140625" customWidth="1"/>
    <col min="7425" max="7425" width="61.7109375" customWidth="1"/>
    <col min="7426" max="7426" width="18.5703125" customWidth="1"/>
    <col min="7427" max="7450" width="16.85546875" customWidth="1"/>
    <col min="7451" max="7456" width="19.7109375" customWidth="1"/>
    <col min="7457" max="7460" width="20.85546875" customWidth="1"/>
    <col min="7461" max="7461" width="20.140625" customWidth="1"/>
    <col min="7681" max="7681" width="61.7109375" customWidth="1"/>
    <col min="7682" max="7682" width="18.5703125" customWidth="1"/>
    <col min="7683" max="7706" width="16.85546875" customWidth="1"/>
    <col min="7707" max="7712" width="19.7109375" customWidth="1"/>
    <col min="7713" max="7716" width="20.85546875" customWidth="1"/>
    <col min="7717" max="7717" width="20.140625" customWidth="1"/>
    <col min="7937" max="7937" width="61.7109375" customWidth="1"/>
    <col min="7938" max="7938" width="18.5703125" customWidth="1"/>
    <col min="7939" max="7962" width="16.85546875" customWidth="1"/>
    <col min="7963" max="7968" width="19.7109375" customWidth="1"/>
    <col min="7969" max="7972" width="20.85546875" customWidth="1"/>
    <col min="7973" max="7973" width="20.140625" customWidth="1"/>
    <col min="8193" max="8193" width="61.7109375" customWidth="1"/>
    <col min="8194" max="8194" width="18.5703125" customWidth="1"/>
    <col min="8195" max="8218" width="16.85546875" customWidth="1"/>
    <col min="8219" max="8224" width="19.7109375" customWidth="1"/>
    <col min="8225" max="8228" width="20.85546875" customWidth="1"/>
    <col min="8229" max="8229" width="20.140625" customWidth="1"/>
    <col min="8449" max="8449" width="61.7109375" customWidth="1"/>
    <col min="8450" max="8450" width="18.5703125" customWidth="1"/>
    <col min="8451" max="8474" width="16.85546875" customWidth="1"/>
    <col min="8475" max="8480" width="19.7109375" customWidth="1"/>
    <col min="8481" max="8484" width="20.85546875" customWidth="1"/>
    <col min="8485" max="8485" width="20.140625" customWidth="1"/>
    <col min="8705" max="8705" width="61.7109375" customWidth="1"/>
    <col min="8706" max="8706" width="18.5703125" customWidth="1"/>
    <col min="8707" max="8730" width="16.85546875" customWidth="1"/>
    <col min="8731" max="8736" width="19.7109375" customWidth="1"/>
    <col min="8737" max="8740" width="20.85546875" customWidth="1"/>
    <col min="8741" max="8741" width="20.140625" customWidth="1"/>
    <col min="8961" max="8961" width="61.7109375" customWidth="1"/>
    <col min="8962" max="8962" width="18.5703125" customWidth="1"/>
    <col min="8963" max="8986" width="16.85546875" customWidth="1"/>
    <col min="8987" max="8992" width="19.7109375" customWidth="1"/>
    <col min="8993" max="8996" width="20.85546875" customWidth="1"/>
    <col min="8997" max="8997" width="20.140625" customWidth="1"/>
    <col min="9217" max="9217" width="61.7109375" customWidth="1"/>
    <col min="9218" max="9218" width="18.5703125" customWidth="1"/>
    <col min="9219" max="9242" width="16.85546875" customWidth="1"/>
    <col min="9243" max="9248" width="19.7109375" customWidth="1"/>
    <col min="9249" max="9252" width="20.85546875" customWidth="1"/>
    <col min="9253" max="9253" width="20.140625" customWidth="1"/>
    <col min="9473" max="9473" width="61.7109375" customWidth="1"/>
    <col min="9474" max="9474" width="18.5703125" customWidth="1"/>
    <col min="9475" max="9498" width="16.85546875" customWidth="1"/>
    <col min="9499" max="9504" width="19.7109375" customWidth="1"/>
    <col min="9505" max="9508" width="20.85546875" customWidth="1"/>
    <col min="9509" max="9509" width="20.140625" customWidth="1"/>
    <col min="9729" max="9729" width="61.7109375" customWidth="1"/>
    <col min="9730" max="9730" width="18.5703125" customWidth="1"/>
    <col min="9731" max="9754" width="16.85546875" customWidth="1"/>
    <col min="9755" max="9760" width="19.7109375" customWidth="1"/>
    <col min="9761" max="9764" width="20.85546875" customWidth="1"/>
    <col min="9765" max="9765" width="20.140625" customWidth="1"/>
    <col min="9985" max="9985" width="61.7109375" customWidth="1"/>
    <col min="9986" max="9986" width="18.5703125" customWidth="1"/>
    <col min="9987" max="10010" width="16.85546875" customWidth="1"/>
    <col min="10011" max="10016" width="19.7109375" customWidth="1"/>
    <col min="10017" max="10020" width="20.85546875" customWidth="1"/>
    <col min="10021" max="10021" width="20.140625" customWidth="1"/>
    <col min="10241" max="10241" width="61.7109375" customWidth="1"/>
    <col min="10242" max="10242" width="18.5703125" customWidth="1"/>
    <col min="10243" max="10266" width="16.85546875" customWidth="1"/>
    <col min="10267" max="10272" width="19.7109375" customWidth="1"/>
    <col min="10273" max="10276" width="20.85546875" customWidth="1"/>
    <col min="10277" max="10277" width="20.140625" customWidth="1"/>
    <col min="10497" max="10497" width="61.7109375" customWidth="1"/>
    <col min="10498" max="10498" width="18.5703125" customWidth="1"/>
    <col min="10499" max="10522" width="16.85546875" customWidth="1"/>
    <col min="10523" max="10528" width="19.7109375" customWidth="1"/>
    <col min="10529" max="10532" width="20.85546875" customWidth="1"/>
    <col min="10533" max="10533" width="20.140625" customWidth="1"/>
    <col min="10753" max="10753" width="61.7109375" customWidth="1"/>
    <col min="10754" max="10754" width="18.5703125" customWidth="1"/>
    <col min="10755" max="10778" width="16.85546875" customWidth="1"/>
    <col min="10779" max="10784" width="19.7109375" customWidth="1"/>
    <col min="10785" max="10788" width="20.85546875" customWidth="1"/>
    <col min="10789" max="10789" width="20.140625" customWidth="1"/>
    <col min="11009" max="11009" width="61.7109375" customWidth="1"/>
    <col min="11010" max="11010" width="18.5703125" customWidth="1"/>
    <col min="11011" max="11034" width="16.85546875" customWidth="1"/>
    <col min="11035" max="11040" width="19.7109375" customWidth="1"/>
    <col min="11041" max="11044" width="20.85546875" customWidth="1"/>
    <col min="11045" max="11045" width="20.140625" customWidth="1"/>
    <col min="11265" max="11265" width="61.7109375" customWidth="1"/>
    <col min="11266" max="11266" width="18.5703125" customWidth="1"/>
    <col min="11267" max="11290" width="16.85546875" customWidth="1"/>
    <col min="11291" max="11296" width="19.7109375" customWidth="1"/>
    <col min="11297" max="11300" width="20.85546875" customWidth="1"/>
    <col min="11301" max="11301" width="20.140625" customWidth="1"/>
    <col min="11521" max="11521" width="61.7109375" customWidth="1"/>
    <col min="11522" max="11522" width="18.5703125" customWidth="1"/>
    <col min="11523" max="11546" width="16.85546875" customWidth="1"/>
    <col min="11547" max="11552" width="19.7109375" customWidth="1"/>
    <col min="11553" max="11556" width="20.85546875" customWidth="1"/>
    <col min="11557" max="11557" width="20.140625" customWidth="1"/>
    <col min="11777" max="11777" width="61.7109375" customWidth="1"/>
    <col min="11778" max="11778" width="18.5703125" customWidth="1"/>
    <col min="11779" max="11802" width="16.85546875" customWidth="1"/>
    <col min="11803" max="11808" width="19.7109375" customWidth="1"/>
    <col min="11809" max="11812" width="20.85546875" customWidth="1"/>
    <col min="11813" max="11813" width="20.140625" customWidth="1"/>
    <col min="12033" max="12033" width="61.7109375" customWidth="1"/>
    <col min="12034" max="12034" width="18.5703125" customWidth="1"/>
    <col min="12035" max="12058" width="16.85546875" customWidth="1"/>
    <col min="12059" max="12064" width="19.7109375" customWidth="1"/>
    <col min="12065" max="12068" width="20.85546875" customWidth="1"/>
    <col min="12069" max="12069" width="20.140625" customWidth="1"/>
    <col min="12289" max="12289" width="61.7109375" customWidth="1"/>
    <col min="12290" max="12290" width="18.5703125" customWidth="1"/>
    <col min="12291" max="12314" width="16.85546875" customWidth="1"/>
    <col min="12315" max="12320" width="19.7109375" customWidth="1"/>
    <col min="12321" max="12324" width="20.85546875" customWidth="1"/>
    <col min="12325" max="12325" width="20.140625" customWidth="1"/>
    <col min="12545" max="12545" width="61.7109375" customWidth="1"/>
    <col min="12546" max="12546" width="18.5703125" customWidth="1"/>
    <col min="12547" max="12570" width="16.85546875" customWidth="1"/>
    <col min="12571" max="12576" width="19.7109375" customWidth="1"/>
    <col min="12577" max="12580" width="20.85546875" customWidth="1"/>
    <col min="12581" max="12581" width="20.140625" customWidth="1"/>
    <col min="12801" max="12801" width="61.7109375" customWidth="1"/>
    <col min="12802" max="12802" width="18.5703125" customWidth="1"/>
    <col min="12803" max="12826" width="16.85546875" customWidth="1"/>
    <col min="12827" max="12832" width="19.7109375" customWidth="1"/>
    <col min="12833" max="12836" width="20.85546875" customWidth="1"/>
    <col min="12837" max="12837" width="20.140625" customWidth="1"/>
    <col min="13057" max="13057" width="61.7109375" customWidth="1"/>
    <col min="13058" max="13058" width="18.5703125" customWidth="1"/>
    <col min="13059" max="13082" width="16.85546875" customWidth="1"/>
    <col min="13083" max="13088" width="19.7109375" customWidth="1"/>
    <col min="13089" max="13092" width="20.85546875" customWidth="1"/>
    <col min="13093" max="13093" width="20.140625" customWidth="1"/>
    <col min="13313" max="13313" width="61.7109375" customWidth="1"/>
    <col min="13314" max="13314" width="18.5703125" customWidth="1"/>
    <col min="13315" max="13338" width="16.85546875" customWidth="1"/>
    <col min="13339" max="13344" width="19.7109375" customWidth="1"/>
    <col min="13345" max="13348" width="20.85546875" customWidth="1"/>
    <col min="13349" max="13349" width="20.140625" customWidth="1"/>
    <col min="13569" max="13569" width="61.7109375" customWidth="1"/>
    <col min="13570" max="13570" width="18.5703125" customWidth="1"/>
    <col min="13571" max="13594" width="16.85546875" customWidth="1"/>
    <col min="13595" max="13600" width="19.7109375" customWidth="1"/>
    <col min="13601" max="13604" width="20.85546875" customWidth="1"/>
    <col min="13605" max="13605" width="20.140625" customWidth="1"/>
    <col min="13825" max="13825" width="61.7109375" customWidth="1"/>
    <col min="13826" max="13826" width="18.5703125" customWidth="1"/>
    <col min="13827" max="13850" width="16.85546875" customWidth="1"/>
    <col min="13851" max="13856" width="19.7109375" customWidth="1"/>
    <col min="13857" max="13860" width="20.85546875" customWidth="1"/>
    <col min="13861" max="13861" width="20.140625" customWidth="1"/>
    <col min="14081" max="14081" width="61.7109375" customWidth="1"/>
    <col min="14082" max="14082" width="18.5703125" customWidth="1"/>
    <col min="14083" max="14106" width="16.85546875" customWidth="1"/>
    <col min="14107" max="14112" width="19.7109375" customWidth="1"/>
    <col min="14113" max="14116" width="20.85546875" customWidth="1"/>
    <col min="14117" max="14117" width="20.140625" customWidth="1"/>
    <col min="14337" max="14337" width="61.7109375" customWidth="1"/>
    <col min="14338" max="14338" width="18.5703125" customWidth="1"/>
    <col min="14339" max="14362" width="16.85546875" customWidth="1"/>
    <col min="14363" max="14368" width="19.7109375" customWidth="1"/>
    <col min="14369" max="14372" width="20.85546875" customWidth="1"/>
    <col min="14373" max="14373" width="20.140625" customWidth="1"/>
    <col min="14593" max="14593" width="61.7109375" customWidth="1"/>
    <col min="14594" max="14594" width="18.5703125" customWidth="1"/>
    <col min="14595" max="14618" width="16.85546875" customWidth="1"/>
    <col min="14619" max="14624" width="19.7109375" customWidth="1"/>
    <col min="14625" max="14628" width="20.85546875" customWidth="1"/>
    <col min="14629" max="14629" width="20.140625" customWidth="1"/>
    <col min="14849" max="14849" width="61.7109375" customWidth="1"/>
    <col min="14850" max="14850" width="18.5703125" customWidth="1"/>
    <col min="14851" max="14874" width="16.85546875" customWidth="1"/>
    <col min="14875" max="14880" width="19.7109375" customWidth="1"/>
    <col min="14881" max="14884" width="20.85546875" customWidth="1"/>
    <col min="14885" max="14885" width="20.140625" customWidth="1"/>
    <col min="15105" max="15105" width="61.7109375" customWidth="1"/>
    <col min="15106" max="15106" width="18.5703125" customWidth="1"/>
    <col min="15107" max="15130" width="16.85546875" customWidth="1"/>
    <col min="15131" max="15136" width="19.7109375" customWidth="1"/>
    <col min="15137" max="15140" width="20.85546875" customWidth="1"/>
    <col min="15141" max="15141" width="20.140625" customWidth="1"/>
    <col min="15361" max="15361" width="61.7109375" customWidth="1"/>
    <col min="15362" max="15362" width="18.5703125" customWidth="1"/>
    <col min="15363" max="15386" width="16.85546875" customWidth="1"/>
    <col min="15387" max="15392" width="19.7109375" customWidth="1"/>
    <col min="15393" max="15396" width="20.85546875" customWidth="1"/>
    <col min="15397" max="15397" width="20.140625" customWidth="1"/>
    <col min="15617" max="15617" width="61.7109375" customWidth="1"/>
    <col min="15618" max="15618" width="18.5703125" customWidth="1"/>
    <col min="15619" max="15642" width="16.85546875" customWidth="1"/>
    <col min="15643" max="15648" width="19.7109375" customWidth="1"/>
    <col min="15649" max="15652" width="20.85546875" customWidth="1"/>
    <col min="15653" max="15653" width="20.140625" customWidth="1"/>
    <col min="15873" max="15873" width="61.7109375" customWidth="1"/>
    <col min="15874" max="15874" width="18.5703125" customWidth="1"/>
    <col min="15875" max="15898" width="16.85546875" customWidth="1"/>
    <col min="15899" max="15904" width="19.7109375" customWidth="1"/>
    <col min="15905" max="15908" width="20.85546875" customWidth="1"/>
    <col min="15909" max="15909" width="20.140625" customWidth="1"/>
    <col min="16129" max="16129" width="61.7109375" customWidth="1"/>
    <col min="16130" max="16130" width="18.5703125" customWidth="1"/>
    <col min="16131" max="16154" width="16.85546875" customWidth="1"/>
    <col min="16155" max="16160" width="19.7109375" customWidth="1"/>
    <col min="16161" max="16164" width="20.85546875" customWidth="1"/>
    <col min="16165" max="16165" width="20.140625" customWidth="1"/>
  </cols>
  <sheetData>
    <row r="1" spans="1:40" s="195" customFormat="1" ht="18.75" x14ac:dyDescent="0.25">
      <c r="A1" s="18"/>
      <c r="B1" s="12"/>
      <c r="C1" s="12"/>
      <c r="D1" s="12"/>
      <c r="E1" s="179"/>
      <c r="F1" s="179"/>
      <c r="G1" s="12"/>
      <c r="H1" s="42" t="s">
        <v>70</v>
      </c>
      <c r="I1" s="188"/>
      <c r="J1" s="188"/>
      <c r="K1" s="188"/>
      <c r="L1" s="188"/>
      <c r="M1" s="188"/>
      <c r="N1" s="188"/>
      <c r="O1" s="188"/>
      <c r="P1" s="188"/>
      <c r="Q1" s="194"/>
      <c r="R1" s="188"/>
      <c r="S1" s="188"/>
      <c r="T1" s="188"/>
      <c r="U1" s="188"/>
      <c r="V1" s="188"/>
      <c r="W1" s="188"/>
      <c r="X1" s="188"/>
      <c r="Y1" s="188"/>
      <c r="Z1" s="188"/>
      <c r="AA1" s="188"/>
      <c r="AB1" s="188"/>
      <c r="AC1" s="188"/>
      <c r="AD1" s="188"/>
      <c r="AE1" s="188"/>
      <c r="AF1" s="188"/>
      <c r="AG1" s="188"/>
      <c r="AH1" s="188"/>
      <c r="AI1" s="188"/>
      <c r="AJ1" s="188"/>
      <c r="AK1"/>
      <c r="AL1"/>
      <c r="AM1"/>
      <c r="AN1"/>
    </row>
    <row r="2" spans="1:40" s="195" customFormat="1" ht="18.75" x14ac:dyDescent="0.3">
      <c r="A2" s="18"/>
      <c r="B2" s="12"/>
      <c r="C2" s="12"/>
      <c r="D2" s="12"/>
      <c r="E2" s="180"/>
      <c r="F2" s="180"/>
      <c r="G2" s="12"/>
      <c r="H2" s="15" t="s">
        <v>11</v>
      </c>
      <c r="I2" s="188"/>
      <c r="J2" s="188"/>
      <c r="K2" s="188"/>
      <c r="L2" s="188"/>
      <c r="M2" s="188"/>
      <c r="N2" s="188"/>
      <c r="O2" s="188"/>
      <c r="P2" s="188"/>
      <c r="Q2" s="194"/>
      <c r="R2" s="188"/>
      <c r="S2" s="188"/>
      <c r="T2" s="188"/>
      <c r="U2" s="188"/>
      <c r="V2" s="188"/>
      <c r="W2" s="188"/>
      <c r="X2" s="188"/>
      <c r="Y2" s="188"/>
      <c r="Z2" s="188"/>
      <c r="AA2" s="188"/>
      <c r="AB2" s="188"/>
      <c r="AC2" s="188"/>
      <c r="AD2" s="188"/>
      <c r="AE2" s="188"/>
      <c r="AF2" s="188"/>
      <c r="AG2" s="188"/>
      <c r="AH2" s="188"/>
      <c r="AI2" s="188"/>
      <c r="AJ2" s="188"/>
      <c r="AK2"/>
      <c r="AL2"/>
      <c r="AM2"/>
      <c r="AN2"/>
    </row>
    <row r="3" spans="1:40" s="195" customFormat="1" ht="18.75" x14ac:dyDescent="0.3">
      <c r="A3" s="17"/>
      <c r="B3" s="12"/>
      <c r="C3" s="12"/>
      <c r="D3" s="12"/>
      <c r="E3" s="180"/>
      <c r="F3" s="180"/>
      <c r="G3" s="12"/>
      <c r="H3" s="15" t="s">
        <v>293</v>
      </c>
      <c r="I3" s="188"/>
      <c r="J3" s="188"/>
      <c r="K3" s="188"/>
      <c r="L3" s="188"/>
      <c r="M3" s="188"/>
      <c r="N3" s="188"/>
      <c r="O3" s="188"/>
      <c r="P3" s="188"/>
      <c r="Q3" s="194"/>
      <c r="R3" s="188"/>
      <c r="S3" s="188"/>
      <c r="T3" s="188"/>
      <c r="U3" s="188"/>
      <c r="V3" s="188"/>
      <c r="W3" s="188"/>
      <c r="X3" s="188"/>
      <c r="Y3" s="188"/>
      <c r="Z3" s="188"/>
      <c r="AA3" s="188"/>
      <c r="AB3" s="188"/>
      <c r="AC3" s="188"/>
      <c r="AD3" s="188"/>
      <c r="AE3" s="188"/>
      <c r="AF3" s="188"/>
      <c r="AG3" s="188"/>
      <c r="AH3" s="188"/>
      <c r="AI3" s="188"/>
      <c r="AJ3" s="188"/>
      <c r="AK3"/>
      <c r="AL3"/>
      <c r="AM3"/>
      <c r="AN3"/>
    </row>
    <row r="4" spans="1:40" s="195" customFormat="1" ht="15.75" x14ac:dyDescent="0.25">
      <c r="A4" s="17"/>
      <c r="B4" s="12"/>
      <c r="C4" s="12"/>
      <c r="D4" s="12"/>
      <c r="E4" s="12"/>
      <c r="F4" s="12"/>
      <c r="G4" s="12"/>
      <c r="H4" s="12"/>
      <c r="I4" s="188"/>
      <c r="J4" s="188"/>
      <c r="K4" s="188"/>
      <c r="L4" s="188"/>
      <c r="M4" s="188"/>
      <c r="N4" s="188"/>
      <c r="O4" s="188"/>
      <c r="P4" s="188"/>
      <c r="Q4" s="194"/>
      <c r="R4" s="188"/>
      <c r="S4" s="188"/>
      <c r="T4" s="188"/>
      <c r="U4" s="188"/>
      <c r="V4" s="188"/>
      <c r="W4" s="188"/>
      <c r="X4" s="188"/>
      <c r="Y4" s="188"/>
      <c r="Z4" s="188"/>
      <c r="AA4" s="188"/>
      <c r="AB4" s="188"/>
      <c r="AC4" s="188"/>
      <c r="AD4" s="188"/>
      <c r="AE4" s="188"/>
      <c r="AF4" s="188"/>
      <c r="AG4" s="188"/>
      <c r="AH4" s="188"/>
      <c r="AI4" s="188"/>
      <c r="AJ4" s="188"/>
      <c r="AK4"/>
      <c r="AL4"/>
      <c r="AM4"/>
      <c r="AN4"/>
    </row>
    <row r="5" spans="1:40" s="195" customFormat="1" ht="15.75" x14ac:dyDescent="0.25">
      <c r="A5" s="386" t="str">
        <f>'1. паспорт местоположение'!A5:C5</f>
        <v>Год раскрытия информации: 2016 год</v>
      </c>
      <c r="B5" s="386"/>
      <c r="C5" s="386"/>
      <c r="D5" s="386"/>
      <c r="E5" s="386"/>
      <c r="F5" s="386"/>
      <c r="G5" s="386"/>
      <c r="H5" s="386"/>
      <c r="I5" s="188"/>
      <c r="J5" s="188"/>
      <c r="K5" s="188"/>
      <c r="L5" s="188"/>
      <c r="M5" s="188"/>
      <c r="N5" s="188"/>
      <c r="O5" s="188"/>
      <c r="P5" s="188"/>
      <c r="Q5" s="194"/>
      <c r="R5" s="188"/>
      <c r="S5" s="188"/>
      <c r="T5" s="188"/>
      <c r="U5" s="188"/>
      <c r="V5" s="188"/>
      <c r="W5" s="188"/>
      <c r="X5" s="188"/>
      <c r="Y5" s="188"/>
      <c r="Z5" s="188"/>
      <c r="AA5" s="188"/>
      <c r="AB5" s="188"/>
      <c r="AC5" s="188"/>
      <c r="AD5" s="188"/>
      <c r="AE5" s="188"/>
      <c r="AF5" s="188"/>
      <c r="AG5" s="188"/>
      <c r="AH5" s="188"/>
      <c r="AI5" s="188"/>
      <c r="AJ5" s="188"/>
      <c r="AK5"/>
      <c r="AL5"/>
      <c r="AM5"/>
      <c r="AN5"/>
    </row>
    <row r="6" spans="1:40" s="195" customFormat="1" ht="15.75" x14ac:dyDescent="0.25">
      <c r="A6" s="17"/>
      <c r="B6" s="12"/>
      <c r="C6" s="12"/>
      <c r="D6" s="12"/>
      <c r="E6" s="12"/>
      <c r="F6" s="12"/>
      <c r="G6" s="12"/>
      <c r="H6" s="12"/>
      <c r="I6" s="188"/>
      <c r="J6" s="188"/>
      <c r="K6" s="188"/>
      <c r="L6" s="188"/>
      <c r="M6" s="188"/>
      <c r="N6" s="188"/>
      <c r="O6" s="188"/>
      <c r="P6" s="188"/>
      <c r="Q6" s="194"/>
      <c r="R6" s="188"/>
      <c r="S6" s="188"/>
      <c r="T6" s="188"/>
      <c r="U6" s="188"/>
      <c r="V6" s="188"/>
      <c r="W6" s="188"/>
      <c r="X6" s="188"/>
      <c r="Y6" s="188"/>
      <c r="Z6" s="188"/>
      <c r="AA6" s="188"/>
      <c r="AB6" s="188"/>
      <c r="AC6" s="188"/>
      <c r="AD6" s="188"/>
      <c r="AE6" s="188"/>
      <c r="AF6" s="188"/>
      <c r="AG6" s="188"/>
      <c r="AH6" s="188"/>
      <c r="AI6" s="188"/>
      <c r="AJ6" s="188"/>
      <c r="AK6"/>
      <c r="AL6"/>
      <c r="AM6"/>
      <c r="AN6"/>
    </row>
    <row r="7" spans="1:40" s="195" customFormat="1" ht="18.75" x14ac:dyDescent="0.25">
      <c r="A7" s="330" t="str">
        <f>'1. паспорт местоположение'!A7:C7</f>
        <v xml:space="preserve">Паспорт инвестиционного проекта </v>
      </c>
      <c r="B7" s="330"/>
      <c r="C7" s="330"/>
      <c r="D7" s="330"/>
      <c r="E7" s="330"/>
      <c r="F7" s="330"/>
      <c r="G7" s="330"/>
      <c r="H7" s="330"/>
      <c r="I7" s="188"/>
      <c r="J7" s="188"/>
      <c r="K7" s="188"/>
      <c r="L7" s="188"/>
      <c r="M7" s="188"/>
      <c r="N7" s="188"/>
      <c r="O7" s="188"/>
      <c r="P7" s="188"/>
      <c r="Q7" s="194"/>
      <c r="R7" s="188"/>
      <c r="S7" s="188"/>
      <c r="T7" s="188"/>
      <c r="U7" s="188"/>
      <c r="V7" s="188"/>
      <c r="W7" s="188"/>
      <c r="X7" s="188"/>
      <c r="Y7" s="188"/>
      <c r="Z7" s="188"/>
      <c r="AA7" s="188"/>
      <c r="AB7" s="188"/>
      <c r="AC7" s="188"/>
      <c r="AD7" s="188"/>
      <c r="AE7" s="188"/>
      <c r="AF7" s="188"/>
      <c r="AG7" s="188"/>
      <c r="AH7" s="188"/>
      <c r="AI7" s="188"/>
      <c r="AJ7" s="188"/>
      <c r="AK7"/>
      <c r="AL7"/>
      <c r="AM7"/>
      <c r="AN7"/>
    </row>
    <row r="8" spans="1:40" s="195" customFormat="1" ht="18.75" x14ac:dyDescent="0.25">
      <c r="A8" s="280"/>
      <c r="B8" s="280"/>
      <c r="C8" s="280"/>
      <c r="D8" s="280"/>
      <c r="E8" s="280"/>
      <c r="F8" s="280"/>
      <c r="G8" s="280"/>
      <c r="H8" s="280"/>
      <c r="I8" s="188"/>
      <c r="J8" s="188"/>
      <c r="K8" s="188"/>
      <c r="L8" s="188"/>
      <c r="M8" s="188"/>
      <c r="N8" s="188"/>
      <c r="O8" s="188"/>
      <c r="P8" s="188"/>
      <c r="Q8" s="194"/>
      <c r="R8" s="188"/>
      <c r="S8" s="188"/>
      <c r="T8" s="188"/>
      <c r="U8" s="188"/>
      <c r="V8" s="188"/>
      <c r="W8" s="188"/>
      <c r="X8" s="188"/>
      <c r="Y8" s="188"/>
      <c r="Z8" s="188"/>
      <c r="AA8" s="188"/>
      <c r="AB8" s="188"/>
      <c r="AC8" s="188"/>
      <c r="AD8" s="188"/>
      <c r="AE8" s="188"/>
      <c r="AF8" s="188"/>
      <c r="AG8" s="188"/>
      <c r="AH8" s="188"/>
      <c r="AI8" s="188"/>
      <c r="AJ8" s="188"/>
      <c r="AK8"/>
      <c r="AL8"/>
      <c r="AM8"/>
      <c r="AN8"/>
    </row>
    <row r="9" spans="1:40" ht="18.75" x14ac:dyDescent="0.25">
      <c r="A9" s="385" t="str">
        <f>'1. паспорт местоположение'!A9:C9</f>
        <v xml:space="preserve">                         АО "Янтарьэнерго"                         </v>
      </c>
      <c r="B9" s="385"/>
      <c r="C9" s="385"/>
      <c r="D9" s="385"/>
      <c r="E9" s="385"/>
      <c r="F9" s="385"/>
      <c r="G9" s="385"/>
      <c r="H9" s="385"/>
    </row>
    <row r="10" spans="1:40" s="195" customFormat="1" ht="15.75" x14ac:dyDescent="0.25">
      <c r="A10" s="327" t="s">
        <v>9</v>
      </c>
      <c r="B10" s="327"/>
      <c r="C10" s="327"/>
      <c r="D10" s="327"/>
      <c r="E10" s="327"/>
      <c r="F10" s="327"/>
      <c r="G10" s="327"/>
      <c r="H10" s="327"/>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c r="AL10"/>
      <c r="AM10"/>
      <c r="AN10"/>
    </row>
    <row r="11" spans="1:40" s="195" customFormat="1" ht="18.75" x14ac:dyDescent="0.25">
      <c r="A11" s="280"/>
      <c r="B11" s="280"/>
      <c r="C11" s="280"/>
      <c r="D11" s="280"/>
      <c r="E11" s="280"/>
      <c r="F11" s="280"/>
      <c r="G11" s="280"/>
      <c r="H11" s="280"/>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c r="AL11"/>
      <c r="AM11"/>
      <c r="AN11"/>
    </row>
    <row r="12" spans="1:40" s="195" customFormat="1" ht="18.75" x14ac:dyDescent="0.25">
      <c r="A12" s="385" t="str">
        <f>'1. паспорт местоположение'!A12:C12</f>
        <v>А_prj_111001_2484</v>
      </c>
      <c r="B12" s="385"/>
      <c r="C12" s="385"/>
      <c r="D12" s="385"/>
      <c r="E12" s="385"/>
      <c r="F12" s="385"/>
      <c r="G12" s="385"/>
      <c r="H12" s="385"/>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c r="AL12"/>
      <c r="AM12"/>
      <c r="AN12"/>
    </row>
    <row r="13" spans="1:40" s="195" customFormat="1" ht="15.75" x14ac:dyDescent="0.25">
      <c r="A13" s="327" t="s">
        <v>8</v>
      </c>
      <c r="B13" s="327"/>
      <c r="C13" s="327"/>
      <c r="D13" s="327"/>
      <c r="E13" s="327"/>
      <c r="F13" s="327"/>
      <c r="G13" s="327"/>
      <c r="H13" s="327"/>
      <c r="I13" s="188"/>
      <c r="J13" s="188"/>
      <c r="K13" s="188"/>
      <c r="L13" s="188"/>
      <c r="M13" s="188"/>
      <c r="N13" s="188"/>
      <c r="O13" s="188"/>
      <c r="P13" s="188"/>
      <c r="Q13" s="197"/>
      <c r="R13" s="188"/>
      <c r="S13" s="188"/>
      <c r="T13" s="188"/>
      <c r="U13" s="188"/>
      <c r="V13" s="188"/>
      <c r="W13" s="188"/>
      <c r="X13" s="188"/>
      <c r="Y13" s="188"/>
      <c r="Z13" s="188"/>
      <c r="AA13" s="188"/>
      <c r="AB13" s="188"/>
      <c r="AC13" s="188"/>
      <c r="AD13" s="188"/>
      <c r="AE13" s="188"/>
      <c r="AF13" s="188"/>
      <c r="AG13" s="188"/>
      <c r="AH13" s="188"/>
      <c r="AI13" s="188"/>
      <c r="AJ13" s="188"/>
      <c r="AK13"/>
      <c r="AL13"/>
      <c r="AM13"/>
      <c r="AN13"/>
    </row>
    <row r="14" spans="1:40" s="195" customFormat="1" ht="18.75" x14ac:dyDescent="0.25">
      <c r="A14" s="282"/>
      <c r="B14" s="282"/>
      <c r="C14" s="282"/>
      <c r="D14" s="282"/>
      <c r="E14" s="282"/>
      <c r="F14" s="282"/>
      <c r="G14" s="282"/>
      <c r="H14" s="282"/>
      <c r="I14" s="188"/>
      <c r="J14" s="188"/>
      <c r="K14" s="188"/>
      <c r="L14" s="188"/>
      <c r="M14" s="188"/>
      <c r="N14" s="188"/>
      <c r="O14" s="188"/>
      <c r="P14" s="188"/>
      <c r="Q14" s="197"/>
      <c r="R14" s="188"/>
      <c r="S14" s="188"/>
      <c r="T14" s="188"/>
      <c r="U14" s="188"/>
      <c r="V14" s="188"/>
      <c r="W14" s="188"/>
      <c r="X14" s="188"/>
      <c r="Y14" s="188"/>
      <c r="Z14" s="188"/>
      <c r="AA14" s="188"/>
      <c r="AB14" s="188"/>
      <c r="AC14" s="188"/>
      <c r="AD14" s="188"/>
      <c r="AE14" s="188"/>
      <c r="AF14" s="188"/>
      <c r="AG14" s="188"/>
      <c r="AH14" s="188"/>
      <c r="AI14" s="188"/>
      <c r="AJ14" s="188"/>
      <c r="AK14"/>
      <c r="AL14"/>
      <c r="AM14"/>
      <c r="AN14"/>
    </row>
    <row r="15" spans="1:40" s="195" customFormat="1" ht="18.75" x14ac:dyDescent="0.25">
      <c r="A15" s="385" t="str">
        <f>'1. паспорт местоположение'!A15:C15</f>
        <v xml:space="preserve">Расширение ПС 110/15кВ О-47 "Борисово" </v>
      </c>
      <c r="B15" s="385"/>
      <c r="C15" s="385"/>
      <c r="D15" s="385"/>
      <c r="E15" s="385"/>
      <c r="F15" s="385"/>
      <c r="G15" s="385"/>
      <c r="H15" s="385"/>
      <c r="I15" s="188"/>
      <c r="J15" s="188"/>
      <c r="K15" s="188"/>
      <c r="L15" s="188"/>
      <c r="M15" s="188"/>
      <c r="N15" s="188"/>
      <c r="O15" s="188"/>
      <c r="P15" s="188"/>
      <c r="Q15" s="197"/>
      <c r="R15" s="188"/>
      <c r="S15" s="188"/>
      <c r="T15" s="188"/>
      <c r="U15" s="188"/>
      <c r="V15" s="188"/>
      <c r="W15" s="188"/>
      <c r="X15" s="188"/>
      <c r="Y15" s="188"/>
      <c r="Z15" s="188"/>
      <c r="AA15" s="188"/>
      <c r="AB15" s="188"/>
      <c r="AC15" s="188"/>
      <c r="AD15" s="188"/>
      <c r="AE15" s="188"/>
      <c r="AF15" s="188"/>
      <c r="AG15" s="188"/>
      <c r="AH15" s="188"/>
      <c r="AI15" s="188"/>
      <c r="AJ15" s="188"/>
      <c r="AK15"/>
      <c r="AL15"/>
      <c r="AM15"/>
      <c r="AN15"/>
    </row>
    <row r="16" spans="1:40" s="195" customFormat="1" ht="15.75" x14ac:dyDescent="0.25">
      <c r="A16" s="327" t="s">
        <v>7</v>
      </c>
      <c r="B16" s="327"/>
      <c r="C16" s="327"/>
      <c r="D16" s="327"/>
      <c r="E16" s="327"/>
      <c r="F16" s="327"/>
      <c r="G16" s="327"/>
      <c r="H16" s="327"/>
      <c r="I16" s="188"/>
      <c r="J16" s="188"/>
      <c r="K16" s="188"/>
      <c r="L16" s="188"/>
      <c r="M16" s="188"/>
      <c r="N16" s="188"/>
      <c r="O16" s="188"/>
      <c r="P16" s="188"/>
      <c r="Q16" s="197"/>
      <c r="R16" s="188"/>
      <c r="S16" s="188"/>
      <c r="T16" s="188"/>
      <c r="U16" s="188"/>
      <c r="V16" s="188"/>
      <c r="W16" s="188"/>
      <c r="X16" s="188"/>
      <c r="Y16" s="188"/>
      <c r="Z16" s="188"/>
      <c r="AA16" s="188"/>
      <c r="AB16" s="188"/>
      <c r="AC16" s="188"/>
      <c r="AD16" s="188"/>
      <c r="AE16" s="188"/>
      <c r="AF16" s="188"/>
      <c r="AG16" s="188"/>
      <c r="AH16" s="188"/>
      <c r="AI16" s="188"/>
      <c r="AJ16" s="188"/>
      <c r="AK16"/>
      <c r="AL16"/>
      <c r="AM16"/>
      <c r="AN16"/>
    </row>
    <row r="17" spans="1:40" s="195" customFormat="1" ht="18.75" x14ac:dyDescent="0.25">
      <c r="A17" s="281"/>
      <c r="B17" s="281"/>
      <c r="C17" s="281"/>
      <c r="D17" s="281"/>
      <c r="E17" s="281"/>
      <c r="F17" s="281"/>
      <c r="G17" s="281"/>
      <c r="H17" s="281"/>
      <c r="I17" s="188"/>
      <c r="J17" s="188"/>
      <c r="K17" s="188"/>
      <c r="L17" s="188"/>
      <c r="M17" s="188"/>
      <c r="N17" s="188"/>
      <c r="O17" s="188"/>
      <c r="P17" s="188"/>
      <c r="Q17" s="197"/>
      <c r="R17" s="188"/>
      <c r="S17" s="188"/>
      <c r="T17" s="188"/>
      <c r="U17" s="188"/>
      <c r="V17" s="188"/>
      <c r="W17" s="188"/>
      <c r="X17" s="188"/>
      <c r="Y17" s="188"/>
      <c r="Z17" s="188"/>
      <c r="AA17" s="188"/>
      <c r="AB17" s="188"/>
      <c r="AC17" s="188"/>
      <c r="AD17" s="188"/>
      <c r="AE17" s="188"/>
      <c r="AF17" s="188"/>
      <c r="AG17" s="188"/>
      <c r="AH17" s="188"/>
      <c r="AI17" s="188"/>
      <c r="AJ17" s="188"/>
      <c r="AK17"/>
      <c r="AL17"/>
      <c r="AM17"/>
      <c r="AN17"/>
    </row>
    <row r="18" spans="1:40" s="195" customFormat="1" ht="18.75" x14ac:dyDescent="0.25">
      <c r="A18" s="329" t="s">
        <v>419</v>
      </c>
      <c r="B18" s="329"/>
      <c r="C18" s="329"/>
      <c r="D18" s="329"/>
      <c r="E18" s="329"/>
      <c r="F18" s="329"/>
      <c r="G18" s="329"/>
      <c r="H18" s="329"/>
      <c r="I18" s="188"/>
      <c r="J18" s="188"/>
      <c r="K18" s="188"/>
      <c r="L18" s="188"/>
      <c r="M18" s="188"/>
      <c r="N18" s="188"/>
      <c r="O18" s="188"/>
      <c r="P18" s="188"/>
      <c r="Q18" s="198"/>
      <c r="R18" s="188"/>
      <c r="S18" s="188"/>
      <c r="T18" s="188"/>
      <c r="U18" s="188"/>
      <c r="V18" s="188"/>
      <c r="W18" s="188"/>
      <c r="X18" s="188"/>
      <c r="Y18" s="188"/>
      <c r="Z18" s="188"/>
      <c r="AA18" s="188"/>
      <c r="AB18" s="188"/>
      <c r="AC18" s="188"/>
      <c r="AD18" s="188"/>
      <c r="AE18" s="188"/>
      <c r="AF18" s="188"/>
      <c r="AG18" s="188"/>
      <c r="AH18" s="188"/>
      <c r="AI18" s="188"/>
      <c r="AJ18" s="188"/>
      <c r="AK18"/>
      <c r="AL18"/>
      <c r="AM18"/>
      <c r="AN18"/>
    </row>
    <row r="19" spans="1:40" s="195" customFormat="1" ht="15.75" x14ac:dyDescent="0.25">
      <c r="A19" s="196"/>
      <c r="B19" s="188"/>
      <c r="C19" s="188"/>
      <c r="D19" s="188"/>
      <c r="E19" s="188"/>
      <c r="F19" s="188"/>
      <c r="G19" s="188"/>
      <c r="H19" s="188"/>
      <c r="I19" s="188"/>
      <c r="J19" s="188"/>
      <c r="K19" s="188"/>
      <c r="L19" s="188"/>
      <c r="M19" s="188"/>
      <c r="N19" s="188"/>
      <c r="O19" s="188"/>
      <c r="P19" s="188"/>
      <c r="Q19" s="197"/>
      <c r="R19" s="188"/>
      <c r="S19" s="188"/>
      <c r="T19" s="188"/>
      <c r="U19" s="188"/>
      <c r="V19" s="188"/>
      <c r="W19" s="188"/>
      <c r="X19" s="188"/>
      <c r="Y19" s="188"/>
      <c r="Z19" s="188"/>
      <c r="AA19" s="188"/>
      <c r="AB19" s="188"/>
      <c r="AC19" s="188"/>
      <c r="AD19" s="188"/>
      <c r="AE19" s="188"/>
      <c r="AF19" s="188"/>
      <c r="AG19" s="188"/>
      <c r="AH19" s="188"/>
      <c r="AI19" s="188"/>
      <c r="AJ19" s="188"/>
      <c r="AK19"/>
      <c r="AL19"/>
      <c r="AM19"/>
      <c r="AN19"/>
    </row>
    <row r="20" spans="1:40" s="195" customFormat="1" ht="15.75" x14ac:dyDescent="0.25">
      <c r="A20" s="196"/>
      <c r="B20" s="188"/>
      <c r="C20" s="188"/>
      <c r="D20" s="188"/>
      <c r="E20" s="188"/>
      <c r="F20" s="188"/>
      <c r="G20" s="188"/>
      <c r="H20" s="188"/>
      <c r="I20" s="188"/>
      <c r="J20" s="188"/>
      <c r="K20" s="188"/>
      <c r="L20" s="188"/>
      <c r="M20" s="188"/>
      <c r="N20" s="188"/>
      <c r="O20" s="188"/>
      <c r="P20" s="188"/>
      <c r="Q20" s="197"/>
      <c r="R20" s="188"/>
      <c r="S20" s="188"/>
      <c r="T20" s="188"/>
      <c r="U20" s="188"/>
      <c r="V20" s="188"/>
      <c r="W20" s="188"/>
      <c r="X20" s="188"/>
      <c r="Y20" s="188"/>
      <c r="Z20" s="188"/>
      <c r="AA20" s="188"/>
      <c r="AB20" s="188"/>
      <c r="AC20" s="188"/>
      <c r="AD20" s="188"/>
      <c r="AE20" s="188"/>
      <c r="AF20" s="188"/>
      <c r="AG20" s="188"/>
      <c r="AH20" s="188"/>
      <c r="AI20" s="188"/>
      <c r="AJ20" s="188"/>
      <c r="AK20"/>
      <c r="AL20"/>
      <c r="AM20"/>
      <c r="AN20"/>
    </row>
    <row r="21" spans="1:40" s="195" customFormat="1" ht="15.75" x14ac:dyDescent="0.25">
      <c r="A21" s="196"/>
      <c r="B21" s="188"/>
      <c r="C21" s="188"/>
      <c r="D21" s="188"/>
      <c r="E21" s="188"/>
      <c r="F21" s="188"/>
      <c r="G21" s="188"/>
      <c r="H21" s="188"/>
      <c r="I21" s="188"/>
      <c r="J21" s="188"/>
      <c r="K21" s="188"/>
      <c r="L21" s="188"/>
      <c r="M21" s="188"/>
      <c r="N21" s="188"/>
      <c r="O21" s="188"/>
      <c r="P21" s="188"/>
      <c r="Q21" s="197"/>
      <c r="R21" s="188"/>
      <c r="S21" s="188"/>
      <c r="T21" s="188"/>
      <c r="U21" s="188"/>
      <c r="V21" s="188"/>
      <c r="W21" s="188"/>
      <c r="X21" s="188"/>
      <c r="Y21" s="188"/>
      <c r="Z21" s="188"/>
      <c r="AA21" s="188"/>
      <c r="AB21" s="188"/>
      <c r="AC21" s="188"/>
      <c r="AD21" s="188"/>
      <c r="AE21" s="188"/>
      <c r="AF21" s="188"/>
      <c r="AG21" s="188"/>
      <c r="AH21" s="188"/>
      <c r="AI21" s="188"/>
      <c r="AJ21" s="188"/>
      <c r="AK21"/>
      <c r="AL21"/>
      <c r="AM21"/>
      <c r="AN21"/>
    </row>
    <row r="22" spans="1:40" s="195" customFormat="1" ht="15.75" x14ac:dyDescent="0.25">
      <c r="A22" s="196"/>
      <c r="B22" s="188"/>
      <c r="C22" s="188"/>
      <c r="D22" s="188"/>
      <c r="E22" s="188"/>
      <c r="F22" s="188"/>
      <c r="G22" s="188"/>
      <c r="H22" s="188"/>
      <c r="I22" s="188"/>
      <c r="J22" s="188"/>
      <c r="K22" s="188"/>
      <c r="L22" s="188"/>
      <c r="M22" s="188"/>
      <c r="N22" s="188"/>
      <c r="O22" s="188"/>
      <c r="P22" s="188"/>
      <c r="Q22" s="197"/>
      <c r="R22" s="188"/>
      <c r="S22" s="188"/>
      <c r="T22" s="188"/>
      <c r="U22" s="188"/>
      <c r="V22" s="188"/>
      <c r="W22" s="188"/>
      <c r="X22" s="188"/>
      <c r="Y22" s="188"/>
      <c r="Z22" s="188"/>
      <c r="AA22" s="188"/>
      <c r="AB22" s="188"/>
      <c r="AC22" s="188"/>
      <c r="AD22" s="188"/>
      <c r="AE22" s="188"/>
      <c r="AF22" s="188"/>
      <c r="AG22" s="188"/>
      <c r="AH22" s="188"/>
      <c r="AI22" s="188"/>
      <c r="AJ22" s="188"/>
      <c r="AK22"/>
      <c r="AL22"/>
      <c r="AM22"/>
      <c r="AN22"/>
    </row>
    <row r="23" spans="1:40" s="195" customFormat="1" ht="15.75" x14ac:dyDescent="0.25">
      <c r="A23" s="188"/>
      <c r="B23" s="188"/>
      <c r="C23" s="188"/>
      <c r="D23" s="196" t="s">
        <v>456</v>
      </c>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c r="AL23"/>
      <c r="AM23"/>
      <c r="AN23"/>
    </row>
    <row r="24" spans="1:40" s="188" customFormat="1" ht="16.5" thickBot="1" x14ac:dyDescent="0.3">
      <c r="A24" s="199" t="s">
        <v>292</v>
      </c>
      <c r="B24" s="199" t="s">
        <v>1</v>
      </c>
      <c r="D24" s="200"/>
      <c r="E24" s="201"/>
      <c r="F24" s="201"/>
      <c r="G24" s="201"/>
      <c r="H24" s="201"/>
      <c r="I24"/>
      <c r="J24"/>
      <c r="K24"/>
      <c r="L24"/>
      <c r="M24"/>
      <c r="N24"/>
      <c r="O24"/>
      <c r="P24"/>
      <c r="Q24"/>
      <c r="R24"/>
      <c r="S24"/>
      <c r="T24"/>
      <c r="U24"/>
      <c r="V24"/>
      <c r="W24"/>
      <c r="X24"/>
      <c r="Y24"/>
      <c r="Z24"/>
      <c r="AA24"/>
      <c r="AB24"/>
      <c r="AC24"/>
      <c r="AD24"/>
      <c r="AE24"/>
      <c r="AF24"/>
      <c r="AG24"/>
      <c r="AH24"/>
      <c r="AI24"/>
      <c r="AJ24"/>
      <c r="AK24"/>
      <c r="AL24"/>
      <c r="AM24"/>
      <c r="AN24"/>
    </row>
    <row r="25" spans="1:40" s="188" customFormat="1" ht="15.75" x14ac:dyDescent="0.25">
      <c r="A25" s="202" t="s">
        <v>454</v>
      </c>
      <c r="B25" s="203">
        <v>154972033.898305</v>
      </c>
      <c r="I25"/>
      <c r="J25"/>
      <c r="K25"/>
      <c r="L25"/>
      <c r="M25"/>
      <c r="N25"/>
      <c r="O25"/>
      <c r="P25"/>
      <c r="Q25"/>
      <c r="R25"/>
      <c r="S25"/>
      <c r="T25"/>
      <c r="U25"/>
      <c r="V25"/>
      <c r="W25"/>
      <c r="X25"/>
      <c r="Y25"/>
      <c r="Z25"/>
      <c r="AA25"/>
      <c r="AB25"/>
      <c r="AC25"/>
      <c r="AD25"/>
      <c r="AE25"/>
      <c r="AF25"/>
      <c r="AG25"/>
      <c r="AH25"/>
      <c r="AI25"/>
      <c r="AJ25"/>
      <c r="AK25"/>
      <c r="AL25"/>
      <c r="AM25"/>
      <c r="AN25"/>
    </row>
    <row r="26" spans="1:40" s="188" customFormat="1" ht="15.75" x14ac:dyDescent="0.25">
      <c r="A26" s="204" t="s">
        <v>290</v>
      </c>
      <c r="B26" s="205">
        <v>0</v>
      </c>
      <c r="I26"/>
      <c r="J26"/>
      <c r="K26"/>
      <c r="L26"/>
      <c r="M26"/>
      <c r="N26"/>
      <c r="O26"/>
      <c r="P26"/>
      <c r="Q26"/>
      <c r="R26"/>
      <c r="S26"/>
      <c r="T26"/>
      <c r="U26"/>
      <c r="V26"/>
      <c r="W26"/>
      <c r="X26"/>
      <c r="Y26"/>
      <c r="Z26"/>
      <c r="AA26"/>
      <c r="AB26"/>
      <c r="AC26"/>
      <c r="AD26"/>
      <c r="AE26"/>
      <c r="AF26"/>
      <c r="AG26"/>
      <c r="AH26"/>
      <c r="AI26"/>
      <c r="AJ26"/>
      <c r="AK26"/>
      <c r="AL26"/>
      <c r="AM26"/>
      <c r="AN26"/>
    </row>
    <row r="27" spans="1:40" s="188" customFormat="1" ht="15.75" x14ac:dyDescent="0.25">
      <c r="A27" s="204" t="s">
        <v>288</v>
      </c>
      <c r="B27" s="205">
        <v>25</v>
      </c>
      <c r="D27" s="196" t="s">
        <v>291</v>
      </c>
      <c r="I27"/>
      <c r="J27"/>
      <c r="K27"/>
      <c r="L27"/>
      <c r="M27"/>
      <c r="N27"/>
      <c r="O27"/>
      <c r="P27"/>
      <c r="Q27"/>
      <c r="R27"/>
      <c r="S27"/>
      <c r="T27"/>
      <c r="U27"/>
      <c r="V27"/>
      <c r="W27"/>
      <c r="X27"/>
      <c r="Y27"/>
      <c r="Z27"/>
      <c r="AA27"/>
      <c r="AB27"/>
      <c r="AC27"/>
      <c r="AD27"/>
      <c r="AE27"/>
      <c r="AF27"/>
      <c r="AG27"/>
      <c r="AH27"/>
      <c r="AI27"/>
      <c r="AJ27"/>
      <c r="AK27"/>
      <c r="AL27"/>
      <c r="AM27"/>
      <c r="AN27"/>
    </row>
    <row r="28" spans="1:40" s="188" customFormat="1" ht="16.5" thickBot="1" x14ac:dyDescent="0.3">
      <c r="A28" s="206" t="s">
        <v>286</v>
      </c>
      <c r="B28" s="207">
        <v>1</v>
      </c>
      <c r="D28" s="381" t="s">
        <v>289</v>
      </c>
      <c r="E28" s="382"/>
      <c r="F28" s="383"/>
      <c r="G28" s="274">
        <f>SUM(B90:AJ90)</f>
        <v>11.360764456495497</v>
      </c>
      <c r="H28" s="275"/>
      <c r="I28"/>
      <c r="J28"/>
      <c r="K28"/>
      <c r="L28"/>
      <c r="M28"/>
      <c r="N28"/>
      <c r="O28"/>
      <c r="P28"/>
      <c r="Q28"/>
      <c r="R28"/>
      <c r="S28"/>
      <c r="T28"/>
      <c r="U28"/>
      <c r="V28"/>
      <c r="W28"/>
      <c r="X28"/>
      <c r="Y28"/>
      <c r="Z28"/>
      <c r="AA28"/>
      <c r="AB28"/>
      <c r="AC28"/>
      <c r="AD28"/>
      <c r="AE28"/>
      <c r="AF28"/>
      <c r="AG28"/>
      <c r="AH28"/>
      <c r="AI28"/>
      <c r="AJ28"/>
      <c r="AK28"/>
      <c r="AL28"/>
      <c r="AM28"/>
      <c r="AN28"/>
    </row>
    <row r="29" spans="1:40" s="188" customFormat="1" ht="15.75" x14ac:dyDescent="0.25">
      <c r="A29" s="202" t="s">
        <v>285</v>
      </c>
      <c r="B29" s="203">
        <v>600000</v>
      </c>
      <c r="D29" s="381" t="s">
        <v>287</v>
      </c>
      <c r="E29" s="382"/>
      <c r="F29" s="383"/>
      <c r="G29" s="274">
        <f>IF(SUM(B91:AJ91)=0,"не окупается",SUM(B91:AJ91))</f>
        <v>12.859918813838508</v>
      </c>
      <c r="H29" s="275"/>
      <c r="I29"/>
      <c r="J29"/>
      <c r="K29"/>
      <c r="L29"/>
      <c r="M29"/>
      <c r="N29"/>
      <c r="O29"/>
      <c r="P29"/>
      <c r="Q29"/>
      <c r="R29"/>
      <c r="S29"/>
      <c r="T29"/>
      <c r="U29"/>
      <c r="V29"/>
      <c r="W29"/>
      <c r="X29"/>
      <c r="Y29"/>
      <c r="Z29"/>
      <c r="AA29"/>
      <c r="AB29"/>
      <c r="AC29"/>
      <c r="AD29"/>
      <c r="AE29"/>
      <c r="AF29"/>
      <c r="AG29"/>
      <c r="AH29"/>
      <c r="AI29"/>
      <c r="AJ29"/>
      <c r="AK29"/>
      <c r="AL29"/>
      <c r="AM29"/>
      <c r="AN29"/>
    </row>
    <row r="30" spans="1:40" s="188" customFormat="1" ht="15.75" x14ac:dyDescent="0.25">
      <c r="A30" s="204" t="s">
        <v>455</v>
      </c>
      <c r="B30" s="205">
        <v>3</v>
      </c>
      <c r="D30" s="381" t="s">
        <v>464</v>
      </c>
      <c r="E30" s="382"/>
      <c r="F30" s="383"/>
      <c r="G30" s="276">
        <f>AJ88</f>
        <v>197193942.29916394</v>
      </c>
      <c r="H30" s="277"/>
      <c r="I30"/>
      <c r="J30"/>
      <c r="K30"/>
      <c r="L30"/>
      <c r="M30"/>
      <c r="N30"/>
      <c r="O30"/>
      <c r="P30"/>
      <c r="Q30"/>
      <c r="R30"/>
      <c r="S30"/>
      <c r="T30"/>
      <c r="U30"/>
      <c r="V30"/>
      <c r="W30"/>
      <c r="X30"/>
      <c r="Y30"/>
      <c r="Z30"/>
      <c r="AA30"/>
      <c r="AB30"/>
      <c r="AC30"/>
      <c r="AD30"/>
      <c r="AE30"/>
      <c r="AF30"/>
      <c r="AG30"/>
      <c r="AH30"/>
      <c r="AI30"/>
      <c r="AJ30"/>
      <c r="AK30"/>
      <c r="AL30"/>
      <c r="AM30"/>
      <c r="AN30"/>
    </row>
    <row r="31" spans="1:40" s="188" customFormat="1" ht="15.75" x14ac:dyDescent="0.25">
      <c r="A31" s="204" t="s">
        <v>284</v>
      </c>
      <c r="B31" s="205">
        <v>3</v>
      </c>
      <c r="D31" s="381" t="s">
        <v>465</v>
      </c>
      <c r="E31" s="382"/>
      <c r="F31" s="383"/>
      <c r="G31" s="278" t="str">
        <f>IF(G30&gt;0,"да","нет")</f>
        <v>да</v>
      </c>
      <c r="H31" s="279"/>
      <c r="I31"/>
      <c r="J31"/>
      <c r="K31"/>
      <c r="L31"/>
      <c r="M31"/>
      <c r="N31"/>
      <c r="O31"/>
      <c r="P31"/>
      <c r="Q31"/>
      <c r="R31"/>
      <c r="S31"/>
      <c r="T31"/>
      <c r="U31"/>
      <c r="V31"/>
      <c r="W31"/>
      <c r="X31"/>
      <c r="Y31"/>
      <c r="Z31"/>
      <c r="AA31"/>
      <c r="AB31"/>
      <c r="AC31"/>
      <c r="AD31"/>
      <c r="AE31"/>
      <c r="AF31"/>
      <c r="AG31"/>
      <c r="AH31"/>
      <c r="AI31"/>
      <c r="AJ31"/>
      <c r="AK31"/>
      <c r="AL31"/>
      <c r="AM31"/>
      <c r="AN31"/>
    </row>
    <row r="32" spans="1:40" s="188" customFormat="1" ht="15.75" x14ac:dyDescent="0.25">
      <c r="A32" s="204" t="s">
        <v>263</v>
      </c>
      <c r="B32" s="205">
        <v>100000</v>
      </c>
      <c r="I32"/>
      <c r="J32"/>
      <c r="K32"/>
      <c r="L32"/>
      <c r="M32"/>
      <c r="N32"/>
      <c r="O32"/>
      <c r="P32"/>
      <c r="Q32"/>
      <c r="R32"/>
      <c r="S32"/>
      <c r="T32"/>
      <c r="U32"/>
      <c r="V32"/>
      <c r="W32"/>
      <c r="X32"/>
      <c r="Y32"/>
      <c r="Z32"/>
      <c r="AA32"/>
      <c r="AB32"/>
      <c r="AC32"/>
      <c r="AD32"/>
      <c r="AE32"/>
      <c r="AF32"/>
      <c r="AG32"/>
      <c r="AH32"/>
      <c r="AI32"/>
      <c r="AJ32"/>
      <c r="AK32"/>
      <c r="AL32"/>
      <c r="AM32"/>
      <c r="AN32"/>
    </row>
    <row r="33" spans="1:40" s="188" customFormat="1" ht="15.75" x14ac:dyDescent="0.25">
      <c r="A33" s="204" t="s">
        <v>283</v>
      </c>
      <c r="B33" s="205">
        <v>1</v>
      </c>
      <c r="I33"/>
      <c r="J33"/>
      <c r="K33"/>
      <c r="L33"/>
      <c r="M33"/>
      <c r="N33"/>
      <c r="O33"/>
      <c r="P33"/>
      <c r="Q33"/>
      <c r="R33"/>
      <c r="S33"/>
      <c r="T33"/>
      <c r="U33"/>
      <c r="V33"/>
      <c r="W33"/>
      <c r="X33"/>
      <c r="Y33"/>
      <c r="Z33"/>
      <c r="AA33"/>
      <c r="AB33"/>
      <c r="AC33"/>
      <c r="AD33"/>
      <c r="AE33"/>
      <c r="AF33"/>
      <c r="AG33"/>
      <c r="AH33"/>
      <c r="AI33"/>
      <c r="AJ33"/>
      <c r="AK33"/>
      <c r="AL33"/>
      <c r="AM33"/>
      <c r="AN33"/>
    </row>
    <row r="34" spans="1:40" s="188" customFormat="1" ht="15.75" x14ac:dyDescent="0.25">
      <c r="A34" s="204" t="s">
        <v>282</v>
      </c>
      <c r="B34" s="205">
        <v>1</v>
      </c>
      <c r="I34"/>
      <c r="J34"/>
      <c r="K34"/>
      <c r="L34"/>
      <c r="M34"/>
      <c r="N34"/>
      <c r="O34"/>
      <c r="P34"/>
      <c r="Q34"/>
      <c r="R34"/>
      <c r="S34"/>
      <c r="T34"/>
      <c r="U34"/>
      <c r="V34"/>
      <c r="W34"/>
      <c r="X34"/>
      <c r="Y34"/>
      <c r="Z34"/>
      <c r="AA34"/>
      <c r="AB34"/>
      <c r="AC34"/>
      <c r="AD34"/>
      <c r="AE34"/>
      <c r="AF34"/>
      <c r="AG34"/>
      <c r="AH34"/>
      <c r="AI34"/>
      <c r="AJ34"/>
      <c r="AK34"/>
      <c r="AL34"/>
      <c r="AM34"/>
      <c r="AN34"/>
    </row>
    <row r="35" spans="1:40" s="188" customFormat="1" ht="15.75" x14ac:dyDescent="0.25">
      <c r="A35" s="208" t="s">
        <v>466</v>
      </c>
      <c r="B35" s="209">
        <v>2000000</v>
      </c>
      <c r="I35"/>
      <c r="J35"/>
      <c r="K35"/>
      <c r="L35"/>
      <c r="M35"/>
      <c r="N35"/>
      <c r="O35"/>
      <c r="P35"/>
      <c r="Q35"/>
      <c r="R35"/>
      <c r="S35"/>
      <c r="T35"/>
      <c r="U35"/>
      <c r="V35"/>
      <c r="W35"/>
      <c r="X35"/>
      <c r="Y35"/>
      <c r="Z35"/>
      <c r="AA35"/>
      <c r="AB35"/>
      <c r="AC35"/>
      <c r="AD35"/>
      <c r="AE35"/>
      <c r="AF35"/>
      <c r="AG35"/>
      <c r="AH35"/>
      <c r="AI35"/>
      <c r="AJ35"/>
      <c r="AK35"/>
      <c r="AL35"/>
      <c r="AM35"/>
      <c r="AN35"/>
    </row>
    <row r="36" spans="1:40" s="188" customFormat="1" ht="16.5" thickBot="1" x14ac:dyDescent="0.3">
      <c r="A36" s="206" t="s">
        <v>257</v>
      </c>
      <c r="B36" s="210">
        <v>0.2</v>
      </c>
      <c r="I36"/>
      <c r="J36"/>
      <c r="K36"/>
      <c r="L36"/>
      <c r="M36"/>
      <c r="N36"/>
      <c r="O36"/>
      <c r="P36"/>
      <c r="Q36"/>
      <c r="R36"/>
      <c r="S36"/>
      <c r="T36"/>
      <c r="U36"/>
      <c r="V36"/>
      <c r="W36"/>
      <c r="X36"/>
      <c r="Y36"/>
      <c r="Z36"/>
      <c r="AA36"/>
      <c r="AB36"/>
      <c r="AC36"/>
      <c r="AD36"/>
      <c r="AE36"/>
      <c r="AF36"/>
      <c r="AG36"/>
      <c r="AH36"/>
      <c r="AI36"/>
      <c r="AJ36"/>
      <c r="AK36"/>
      <c r="AL36"/>
      <c r="AM36"/>
      <c r="AN36"/>
    </row>
    <row r="37" spans="1:40" s="188" customFormat="1" ht="15.75" x14ac:dyDescent="0.25">
      <c r="A37" s="202" t="s">
        <v>456</v>
      </c>
      <c r="B37" s="203">
        <v>0</v>
      </c>
      <c r="I37"/>
      <c r="J37"/>
      <c r="K37"/>
      <c r="L37"/>
      <c r="M37"/>
      <c r="N37"/>
      <c r="O37"/>
      <c r="P37"/>
      <c r="Q37"/>
      <c r="R37"/>
      <c r="S37"/>
      <c r="T37"/>
      <c r="U37"/>
      <c r="V37"/>
      <c r="W37"/>
      <c r="X37"/>
      <c r="Y37"/>
      <c r="Z37"/>
      <c r="AA37"/>
      <c r="AB37"/>
      <c r="AC37"/>
      <c r="AD37"/>
      <c r="AE37"/>
      <c r="AF37"/>
      <c r="AG37"/>
      <c r="AH37"/>
      <c r="AI37"/>
      <c r="AJ37"/>
      <c r="AK37"/>
      <c r="AL37"/>
      <c r="AM37"/>
      <c r="AN37"/>
    </row>
    <row r="38" spans="1:40" s="188" customFormat="1" ht="15.75" x14ac:dyDescent="0.25">
      <c r="A38" s="204" t="s">
        <v>281</v>
      </c>
      <c r="B38" s="205"/>
      <c r="I38"/>
      <c r="J38"/>
      <c r="K38"/>
      <c r="L38"/>
      <c r="M38"/>
      <c r="N38"/>
      <c r="O38"/>
      <c r="P38"/>
      <c r="Q38"/>
      <c r="R38"/>
      <c r="S38"/>
      <c r="T38"/>
      <c r="U38"/>
      <c r="V38"/>
      <c r="W38"/>
      <c r="X38"/>
      <c r="Y38"/>
      <c r="Z38"/>
      <c r="AA38"/>
      <c r="AB38"/>
      <c r="AC38"/>
      <c r="AD38"/>
      <c r="AE38"/>
      <c r="AF38"/>
      <c r="AG38"/>
      <c r="AH38"/>
      <c r="AI38"/>
      <c r="AJ38"/>
      <c r="AK38"/>
      <c r="AL38"/>
      <c r="AM38"/>
      <c r="AN38"/>
    </row>
    <row r="39" spans="1:40" s="188" customFormat="1" ht="16.5" thickBot="1" x14ac:dyDescent="0.3">
      <c r="A39" s="208" t="s">
        <v>280</v>
      </c>
      <c r="B39" s="211"/>
      <c r="I39"/>
      <c r="J39"/>
      <c r="K39"/>
      <c r="L39"/>
      <c r="M39"/>
      <c r="N39"/>
      <c r="O39"/>
      <c r="P39"/>
      <c r="Q39"/>
      <c r="R39"/>
      <c r="S39"/>
      <c r="T39"/>
      <c r="U39"/>
      <c r="V39"/>
      <c r="W39"/>
      <c r="X39"/>
      <c r="Y39"/>
      <c r="Z39"/>
      <c r="AA39"/>
      <c r="AB39"/>
      <c r="AC39"/>
      <c r="AD39"/>
      <c r="AE39"/>
      <c r="AF39"/>
      <c r="AG39"/>
      <c r="AH39"/>
      <c r="AI39"/>
      <c r="AJ39"/>
      <c r="AK39"/>
      <c r="AL39"/>
      <c r="AM39"/>
      <c r="AN39"/>
    </row>
    <row r="40" spans="1:40" s="285" customFormat="1" ht="15.75" x14ac:dyDescent="0.25">
      <c r="A40" s="212" t="s">
        <v>457</v>
      </c>
      <c r="B40" s="213">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c r="AL40"/>
      <c r="AM40"/>
      <c r="AN40"/>
    </row>
    <row r="41" spans="1:40" s="285" customFormat="1" ht="15.75" x14ac:dyDescent="0.25">
      <c r="A41" s="214" t="s">
        <v>279</v>
      </c>
      <c r="B41" s="215"/>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c r="AL41"/>
      <c r="AM41"/>
      <c r="AN41"/>
    </row>
    <row r="42" spans="1:40" s="285" customFormat="1" ht="15.75" x14ac:dyDescent="0.25">
      <c r="A42" s="214" t="s">
        <v>278</v>
      </c>
      <c r="B42" s="216"/>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c r="AL42"/>
      <c r="AM42"/>
      <c r="AN42"/>
    </row>
    <row r="43" spans="1:40" s="285" customFormat="1" ht="15.75" x14ac:dyDescent="0.25">
      <c r="A43" s="214" t="s">
        <v>277</v>
      </c>
      <c r="B43" s="216">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c r="AL43"/>
      <c r="AM43"/>
      <c r="AN43"/>
    </row>
    <row r="44" spans="1:40" s="285" customFormat="1" ht="15.75" x14ac:dyDescent="0.25">
      <c r="A44" s="214" t="s">
        <v>276</v>
      </c>
      <c r="B44" s="216">
        <v>0.20499999999999999</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c r="AL44"/>
      <c r="AM44"/>
      <c r="AN44"/>
    </row>
    <row r="45" spans="1:40" s="285" customFormat="1" ht="15.75" x14ac:dyDescent="0.25">
      <c r="A45" s="214" t="s">
        <v>275</v>
      </c>
      <c r="B45" s="216">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c r="AL45"/>
      <c r="AM45"/>
      <c r="AN45"/>
    </row>
    <row r="46" spans="1:40" s="285" customFormat="1" ht="16.5" thickBot="1" x14ac:dyDescent="0.3">
      <c r="A46" s="217" t="s">
        <v>467</v>
      </c>
      <c r="B46" s="218">
        <f>B45*B44+B43*B42*(1-B36)</f>
        <v>0.20499999999999999</v>
      </c>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c r="AL46"/>
      <c r="AM46"/>
      <c r="AN46"/>
    </row>
    <row r="47" spans="1:40" s="285" customFormat="1" ht="15.75" x14ac:dyDescent="0.25">
      <c r="A47" s="219" t="s">
        <v>274</v>
      </c>
      <c r="B47" s="183">
        <f>B58</f>
        <v>1</v>
      </c>
      <c r="C47" s="183">
        <f t="shared" ref="C47:AG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AH58</f>
        <v>33</v>
      </c>
      <c r="AI47" s="183">
        <f>AI58</f>
        <v>34</v>
      </c>
      <c r="AJ47" s="183">
        <f>AJ58</f>
        <v>35</v>
      </c>
      <c r="AK47"/>
      <c r="AL47"/>
      <c r="AM47"/>
      <c r="AN47"/>
    </row>
    <row r="48" spans="1:40" s="285" customFormat="1" ht="15.75" x14ac:dyDescent="0.25">
      <c r="A48" s="220" t="s">
        <v>273</v>
      </c>
      <c r="B48" s="221"/>
      <c r="C48" s="221"/>
      <c r="D48" s="221"/>
      <c r="E48" s="221"/>
      <c r="F48" s="221"/>
      <c r="G48" s="221"/>
      <c r="H48" s="221"/>
      <c r="I48" s="221"/>
      <c r="J48" s="221">
        <v>0</v>
      </c>
      <c r="K48" s="221">
        <v>5.8000000000000003E-2</v>
      </c>
      <c r="L48" s="221">
        <v>5.5E-2</v>
      </c>
      <c r="M48" s="221">
        <v>5.5E-2</v>
      </c>
      <c r="N48" s="221">
        <v>5.5E-2</v>
      </c>
      <c r="O48" s="221">
        <v>5.5E-2</v>
      </c>
      <c r="P48" s="221">
        <v>5.5E-2</v>
      </c>
      <c r="Q48" s="221">
        <v>5.5E-2</v>
      </c>
      <c r="R48" s="221">
        <v>5.5E-2</v>
      </c>
      <c r="S48" s="221">
        <v>5.5E-2</v>
      </c>
      <c r="T48" s="221">
        <v>5.5E-2</v>
      </c>
      <c r="U48" s="221">
        <v>5.5E-2</v>
      </c>
      <c r="V48" s="221">
        <v>5.5E-2</v>
      </c>
      <c r="W48" s="221">
        <v>5.5E-2</v>
      </c>
      <c r="X48" s="221">
        <v>5.5E-2</v>
      </c>
      <c r="Y48" s="221">
        <v>5.5E-2</v>
      </c>
      <c r="Z48" s="221">
        <v>5.5E-2</v>
      </c>
      <c r="AA48" s="221">
        <v>5.5E-2</v>
      </c>
      <c r="AB48" s="221">
        <v>5.5E-2</v>
      </c>
      <c r="AC48" s="221">
        <v>5.5E-2</v>
      </c>
      <c r="AD48" s="221">
        <v>5.5E-2</v>
      </c>
      <c r="AE48" s="221">
        <v>5.5E-2</v>
      </c>
      <c r="AF48" s="221">
        <v>5.5E-2</v>
      </c>
      <c r="AG48" s="221">
        <v>5.5E-2</v>
      </c>
      <c r="AH48" s="221">
        <v>5.5E-2</v>
      </c>
      <c r="AI48" s="221">
        <v>5.5E-2</v>
      </c>
      <c r="AJ48" s="221">
        <v>5.5E-2</v>
      </c>
      <c r="AK48"/>
      <c r="AL48"/>
      <c r="AM48"/>
      <c r="AN48"/>
    </row>
    <row r="49" spans="1:40" s="285" customFormat="1" ht="15.75" x14ac:dyDescent="0.25">
      <c r="A49" s="220" t="s">
        <v>272</v>
      </c>
      <c r="B49" s="221"/>
      <c r="C49" s="221"/>
      <c r="D49" s="221"/>
      <c r="E49" s="221"/>
      <c r="F49" s="221"/>
      <c r="G49" s="221"/>
      <c r="H49" s="221"/>
      <c r="I49" s="221"/>
      <c r="J49" s="221">
        <v>0</v>
      </c>
      <c r="K49" s="221">
        <v>5.8000000000000052E-2</v>
      </c>
      <c r="L49" s="221">
        <v>0.11619000000000002</v>
      </c>
      <c r="M49" s="221">
        <v>0.17758045</v>
      </c>
      <c r="N49" s="221">
        <v>0.24234737475000001</v>
      </c>
      <c r="O49" s="221">
        <v>0.31067648036124984</v>
      </c>
      <c r="P49" s="221">
        <v>0.38276368678111861</v>
      </c>
      <c r="Q49" s="221">
        <v>0.45881568955408003</v>
      </c>
      <c r="R49" s="221">
        <v>0.53905055247955436</v>
      </c>
      <c r="S49" s="221">
        <v>0.62369833286592979</v>
      </c>
      <c r="T49" s="221">
        <v>0.71300174117355586</v>
      </c>
      <c r="U49" s="221">
        <v>0.80721683693810142</v>
      </c>
      <c r="V49" s="221">
        <v>0.90661376296969687</v>
      </c>
      <c r="W49" s="221">
        <v>1.0114775199330301</v>
      </c>
      <c r="X49" s="221">
        <v>1.1221087835293466</v>
      </c>
      <c r="Y49" s="221">
        <v>1.2388247666234604</v>
      </c>
      <c r="Z49" s="221">
        <v>1.3619601287877505</v>
      </c>
      <c r="AA49" s="221">
        <v>1.4918679358710767</v>
      </c>
      <c r="AB49" s="221">
        <v>1.6289206723439857</v>
      </c>
      <c r="AC49" s="221">
        <v>1.7735113093229047</v>
      </c>
      <c r="AD49" s="221">
        <v>1.9260544313356642</v>
      </c>
      <c r="AE49" s="221">
        <v>2.0869874250591254</v>
      </c>
      <c r="AF49" s="221">
        <v>2.2567717334373771</v>
      </c>
      <c r="AG49" s="221">
        <v>2.4358941787764326</v>
      </c>
      <c r="AH49" s="221">
        <v>2.6248683586091359</v>
      </c>
      <c r="AI49" s="221">
        <v>2.8242361183326383</v>
      </c>
      <c r="AJ49" s="221">
        <v>3.0345691048409336</v>
      </c>
      <c r="AK49"/>
      <c r="AL49"/>
      <c r="AM49"/>
      <c r="AN49"/>
    </row>
    <row r="50" spans="1:40" s="285" customFormat="1" ht="16.5" thickBot="1" x14ac:dyDescent="0.3">
      <c r="A50" s="222" t="s">
        <v>458</v>
      </c>
      <c r="B50" s="185">
        <v>6905359.9500000002</v>
      </c>
      <c r="C50" s="185">
        <v>2417819.9499999997</v>
      </c>
      <c r="D50" s="185"/>
      <c r="E50" s="185"/>
      <c r="F50" s="185"/>
      <c r="G50" s="185"/>
      <c r="H50" s="185"/>
      <c r="I50" s="185">
        <v>17147700</v>
      </c>
      <c r="J50" s="185">
        <v>40429151.999999993</v>
      </c>
      <c r="K50" s="185">
        <v>59883659.942400001</v>
      </c>
      <c r="L50" s="185">
        <v>74729674.722977281</v>
      </c>
      <c r="M50" s="189">
        <v>78839806.832741022</v>
      </c>
      <c r="N50" s="185">
        <v>83175996.208541781</v>
      </c>
      <c r="O50" s="185">
        <v>87750676.000011578</v>
      </c>
      <c r="P50" s="185">
        <v>92576963.180012211</v>
      </c>
      <c r="Q50" s="185">
        <v>97668696.154912874</v>
      </c>
      <c r="R50" s="185">
        <v>103040474.44343308</v>
      </c>
      <c r="S50" s="185">
        <v>108707700.53782189</v>
      </c>
      <c r="T50" s="185">
        <v>114686624.06740208</v>
      </c>
      <c r="U50" s="185">
        <v>120994388.39110918</v>
      </c>
      <c r="V50" s="185">
        <v>127649079.75262018</v>
      </c>
      <c r="W50" s="185">
        <v>134669779.13901427</v>
      </c>
      <c r="X50" s="185">
        <v>142076616.99166006</v>
      </c>
      <c r="Y50" s="185">
        <v>149890830.92620134</v>
      </c>
      <c r="Z50" s="185">
        <v>158134826.6271424</v>
      </c>
      <c r="AA50" s="185">
        <v>166832242.09163523</v>
      </c>
      <c r="AB50" s="185">
        <v>176008015.40667516</v>
      </c>
      <c r="AC50" s="185">
        <v>185688456.2540423</v>
      </c>
      <c r="AD50" s="185">
        <v>195901321.34801462</v>
      </c>
      <c r="AE50" s="185">
        <v>206675894.0221554</v>
      </c>
      <c r="AF50" s="185">
        <v>218043068.19337395</v>
      </c>
      <c r="AG50" s="185">
        <v>230035436.94400951</v>
      </c>
      <c r="AH50" s="185">
        <v>242687385.97593004</v>
      </c>
      <c r="AI50" s="185">
        <v>256035192.20460618</v>
      </c>
      <c r="AJ50" s="185">
        <v>270117127.77585948</v>
      </c>
      <c r="AK50"/>
      <c r="AL50"/>
      <c r="AM50"/>
      <c r="AN50"/>
    </row>
    <row r="51" spans="1:40" s="285" customFormat="1" ht="16.5" thickBot="1"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c r="AL51"/>
      <c r="AM51"/>
      <c r="AN51"/>
    </row>
    <row r="52" spans="1:40" s="285" customFormat="1" ht="15.75" x14ac:dyDescent="0.25">
      <c r="A52" s="223" t="s">
        <v>271</v>
      </c>
      <c r="B52" s="183">
        <f>B58</f>
        <v>1</v>
      </c>
      <c r="C52" s="183">
        <f t="shared" ref="C52:AG52" si="1">C58</f>
        <v>2</v>
      </c>
      <c r="D52" s="183">
        <f t="shared" si="1"/>
        <v>3</v>
      </c>
      <c r="E52" s="183">
        <f t="shared" si="1"/>
        <v>4</v>
      </c>
      <c r="F52" s="183">
        <f t="shared" si="1"/>
        <v>5</v>
      </c>
      <c r="G52" s="183">
        <f t="shared" si="1"/>
        <v>6</v>
      </c>
      <c r="H52" s="183">
        <f t="shared" si="1"/>
        <v>7</v>
      </c>
      <c r="I52" s="183">
        <f t="shared" si="1"/>
        <v>8</v>
      </c>
      <c r="J52" s="183">
        <f t="shared" si="1"/>
        <v>9</v>
      </c>
      <c r="K52" s="183">
        <f t="shared" si="1"/>
        <v>10</v>
      </c>
      <c r="L52" s="183">
        <f t="shared" si="1"/>
        <v>11</v>
      </c>
      <c r="M52" s="183">
        <f t="shared" si="1"/>
        <v>12</v>
      </c>
      <c r="N52" s="183">
        <f t="shared" si="1"/>
        <v>13</v>
      </c>
      <c r="O52" s="183">
        <f t="shared" si="1"/>
        <v>14</v>
      </c>
      <c r="P52" s="183">
        <f t="shared" si="1"/>
        <v>15</v>
      </c>
      <c r="Q52" s="183">
        <f t="shared" si="1"/>
        <v>16</v>
      </c>
      <c r="R52" s="183">
        <f t="shared" si="1"/>
        <v>17</v>
      </c>
      <c r="S52" s="183">
        <f t="shared" si="1"/>
        <v>18</v>
      </c>
      <c r="T52" s="183">
        <f t="shared" si="1"/>
        <v>19</v>
      </c>
      <c r="U52" s="183">
        <f t="shared" si="1"/>
        <v>20</v>
      </c>
      <c r="V52" s="183">
        <f t="shared" si="1"/>
        <v>21</v>
      </c>
      <c r="W52" s="183">
        <f t="shared" si="1"/>
        <v>22</v>
      </c>
      <c r="X52" s="183">
        <f t="shared" si="1"/>
        <v>23</v>
      </c>
      <c r="Y52" s="183">
        <f t="shared" si="1"/>
        <v>24</v>
      </c>
      <c r="Z52" s="183">
        <f t="shared" si="1"/>
        <v>25</v>
      </c>
      <c r="AA52" s="183">
        <f t="shared" si="1"/>
        <v>26</v>
      </c>
      <c r="AB52" s="183">
        <f t="shared" si="1"/>
        <v>27</v>
      </c>
      <c r="AC52" s="183">
        <f t="shared" si="1"/>
        <v>28</v>
      </c>
      <c r="AD52" s="183">
        <f t="shared" si="1"/>
        <v>29</v>
      </c>
      <c r="AE52" s="183">
        <f t="shared" si="1"/>
        <v>30</v>
      </c>
      <c r="AF52" s="183">
        <f t="shared" si="1"/>
        <v>31</v>
      </c>
      <c r="AG52" s="183">
        <f t="shared" si="1"/>
        <v>32</v>
      </c>
      <c r="AH52" s="183">
        <f>AH58</f>
        <v>33</v>
      </c>
      <c r="AI52" s="183">
        <f>AI58</f>
        <v>34</v>
      </c>
      <c r="AJ52" s="183">
        <f>AJ58</f>
        <v>35</v>
      </c>
      <c r="AK52"/>
      <c r="AL52"/>
      <c r="AM52"/>
      <c r="AN52"/>
    </row>
    <row r="53" spans="1:40" s="285" customFormat="1" ht="15.75" x14ac:dyDescent="0.25">
      <c r="A53" s="220" t="s">
        <v>270</v>
      </c>
      <c r="B53" s="184">
        <v>0</v>
      </c>
      <c r="C53" s="184">
        <f t="shared" ref="C53:AG53" si="2">B53+B54-B55</f>
        <v>0</v>
      </c>
      <c r="D53" s="184">
        <f t="shared" si="2"/>
        <v>0</v>
      </c>
      <c r="E53" s="184">
        <f t="shared" si="2"/>
        <v>0</v>
      </c>
      <c r="F53" s="184">
        <f t="shared" si="2"/>
        <v>0</v>
      </c>
      <c r="G53" s="184">
        <f t="shared" si="2"/>
        <v>0</v>
      </c>
      <c r="H53" s="184">
        <f t="shared" si="2"/>
        <v>0</v>
      </c>
      <c r="I53" s="184">
        <f t="shared" si="2"/>
        <v>0</v>
      </c>
      <c r="J53" s="184">
        <f t="shared" si="2"/>
        <v>0</v>
      </c>
      <c r="K53" s="184">
        <f t="shared" si="2"/>
        <v>0</v>
      </c>
      <c r="L53" s="184">
        <f t="shared" si="2"/>
        <v>0</v>
      </c>
      <c r="M53" s="184">
        <f t="shared" si="2"/>
        <v>0</v>
      </c>
      <c r="N53" s="184">
        <f t="shared" si="2"/>
        <v>0</v>
      </c>
      <c r="O53" s="184">
        <f t="shared" si="2"/>
        <v>0</v>
      </c>
      <c r="P53" s="184">
        <f t="shared" si="2"/>
        <v>0</v>
      </c>
      <c r="Q53" s="184">
        <f t="shared" si="2"/>
        <v>0</v>
      </c>
      <c r="R53" s="184">
        <f t="shared" si="2"/>
        <v>0</v>
      </c>
      <c r="S53" s="184">
        <f t="shared" si="2"/>
        <v>0</v>
      </c>
      <c r="T53" s="184">
        <f t="shared" si="2"/>
        <v>0</v>
      </c>
      <c r="U53" s="184">
        <f t="shared" si="2"/>
        <v>0</v>
      </c>
      <c r="V53" s="184">
        <f t="shared" si="2"/>
        <v>0</v>
      </c>
      <c r="W53" s="184">
        <f t="shared" si="2"/>
        <v>0</v>
      </c>
      <c r="X53" s="184">
        <f t="shared" si="2"/>
        <v>0</v>
      </c>
      <c r="Y53" s="184">
        <f t="shared" si="2"/>
        <v>0</v>
      </c>
      <c r="Z53" s="184">
        <f t="shared" si="2"/>
        <v>0</v>
      </c>
      <c r="AA53" s="184">
        <f t="shared" si="2"/>
        <v>0</v>
      </c>
      <c r="AB53" s="184">
        <f t="shared" si="2"/>
        <v>0</v>
      </c>
      <c r="AC53" s="184">
        <f t="shared" si="2"/>
        <v>0</v>
      </c>
      <c r="AD53" s="184">
        <f t="shared" si="2"/>
        <v>0</v>
      </c>
      <c r="AE53" s="184">
        <f t="shared" si="2"/>
        <v>0</v>
      </c>
      <c r="AF53" s="184">
        <f t="shared" si="2"/>
        <v>0</v>
      </c>
      <c r="AG53" s="184">
        <f t="shared" si="2"/>
        <v>0</v>
      </c>
      <c r="AH53" s="184">
        <f>AG53+AG54-AG55</f>
        <v>0</v>
      </c>
      <c r="AI53" s="184">
        <f>AH53+AH54-AH55</f>
        <v>0</v>
      </c>
      <c r="AJ53" s="184">
        <f>AI53+AI54-AI55</f>
        <v>0</v>
      </c>
      <c r="AK53"/>
      <c r="AL53"/>
      <c r="AM53"/>
      <c r="AN53"/>
    </row>
    <row r="54" spans="1:40" s="285" customFormat="1" ht="15.75" x14ac:dyDescent="0.25">
      <c r="A54" s="220" t="s">
        <v>269</v>
      </c>
      <c r="B54" s="184">
        <f>B25*B28*B43*1.18</f>
        <v>0</v>
      </c>
      <c r="C54" s="184">
        <v>0</v>
      </c>
      <c r="D54" s="184">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c r="AL54"/>
      <c r="AM54"/>
      <c r="AN54"/>
    </row>
    <row r="55" spans="1:40" s="285" customFormat="1" ht="15.75" x14ac:dyDescent="0.25">
      <c r="A55" s="220" t="s">
        <v>268</v>
      </c>
      <c r="B55" s="184">
        <f>$B$54/$B$40</f>
        <v>0</v>
      </c>
      <c r="C55" s="184">
        <f t="shared" ref="C55:AG55" si="3">IF(ROUND(C53,1)=0,0,B55+C54/$B$40)</f>
        <v>0</v>
      </c>
      <c r="D55" s="184">
        <f t="shared" si="3"/>
        <v>0</v>
      </c>
      <c r="E55" s="184">
        <f t="shared" si="3"/>
        <v>0</v>
      </c>
      <c r="F55" s="184">
        <f t="shared" si="3"/>
        <v>0</v>
      </c>
      <c r="G55" s="184">
        <f t="shared" si="3"/>
        <v>0</v>
      </c>
      <c r="H55" s="184">
        <f t="shared" si="3"/>
        <v>0</v>
      </c>
      <c r="I55" s="184">
        <f t="shared" si="3"/>
        <v>0</v>
      </c>
      <c r="J55" s="184">
        <f t="shared" si="3"/>
        <v>0</v>
      </c>
      <c r="K55" s="184">
        <f t="shared" si="3"/>
        <v>0</v>
      </c>
      <c r="L55" s="184">
        <f t="shared" si="3"/>
        <v>0</v>
      </c>
      <c r="M55" s="184">
        <f t="shared" si="3"/>
        <v>0</v>
      </c>
      <c r="N55" s="184">
        <f t="shared" si="3"/>
        <v>0</v>
      </c>
      <c r="O55" s="184">
        <f t="shared" si="3"/>
        <v>0</v>
      </c>
      <c r="P55" s="184">
        <f t="shared" si="3"/>
        <v>0</v>
      </c>
      <c r="Q55" s="184">
        <f t="shared" si="3"/>
        <v>0</v>
      </c>
      <c r="R55" s="184">
        <f t="shared" si="3"/>
        <v>0</v>
      </c>
      <c r="S55" s="184">
        <f t="shared" si="3"/>
        <v>0</v>
      </c>
      <c r="T55" s="184">
        <f t="shared" si="3"/>
        <v>0</v>
      </c>
      <c r="U55" s="184">
        <f t="shared" si="3"/>
        <v>0</v>
      </c>
      <c r="V55" s="184">
        <f t="shared" si="3"/>
        <v>0</v>
      </c>
      <c r="W55" s="184">
        <f t="shared" si="3"/>
        <v>0</v>
      </c>
      <c r="X55" s="184">
        <f t="shared" si="3"/>
        <v>0</v>
      </c>
      <c r="Y55" s="184">
        <f t="shared" si="3"/>
        <v>0</v>
      </c>
      <c r="Z55" s="184">
        <f t="shared" si="3"/>
        <v>0</v>
      </c>
      <c r="AA55" s="184">
        <f t="shared" si="3"/>
        <v>0</v>
      </c>
      <c r="AB55" s="184">
        <f t="shared" si="3"/>
        <v>0</v>
      </c>
      <c r="AC55" s="184">
        <f t="shared" si="3"/>
        <v>0</v>
      </c>
      <c r="AD55" s="184">
        <f t="shared" si="3"/>
        <v>0</v>
      </c>
      <c r="AE55" s="184">
        <f t="shared" si="3"/>
        <v>0</v>
      </c>
      <c r="AF55" s="184">
        <f t="shared" si="3"/>
        <v>0</v>
      </c>
      <c r="AG55" s="184">
        <f t="shared" si="3"/>
        <v>0</v>
      </c>
      <c r="AH55" s="184">
        <f>IF(ROUND(AH53,1)=0,0,AG55+AH54/$B$40)</f>
        <v>0</v>
      </c>
      <c r="AI55" s="184">
        <f>IF(ROUND(AI53,1)=0,0,AH55+AI54/$B$40)</f>
        <v>0</v>
      </c>
      <c r="AJ55" s="184">
        <f>IF(ROUND(AJ53,1)=0,0,AI55+AJ54/$B$40)</f>
        <v>0</v>
      </c>
      <c r="AK55"/>
      <c r="AL55"/>
      <c r="AM55"/>
      <c r="AN55"/>
    </row>
    <row r="56" spans="1:40" s="224" customFormat="1" ht="16.5" thickBot="1" x14ac:dyDescent="0.3">
      <c r="A56" s="222" t="s">
        <v>267</v>
      </c>
      <c r="B56" s="185">
        <f t="shared" ref="B56:AG56" si="4">AVERAGE(SUM(B53:B54),(SUM(B53:B54)-B55))*$B$42</f>
        <v>0</v>
      </c>
      <c r="C56" s="185">
        <f t="shared" si="4"/>
        <v>0</v>
      </c>
      <c r="D56" s="185">
        <f t="shared" si="4"/>
        <v>0</v>
      </c>
      <c r="E56" s="185">
        <f t="shared" si="4"/>
        <v>0</v>
      </c>
      <c r="F56" s="185">
        <f t="shared" si="4"/>
        <v>0</v>
      </c>
      <c r="G56" s="185">
        <f t="shared" si="4"/>
        <v>0</v>
      </c>
      <c r="H56" s="185">
        <f t="shared" si="4"/>
        <v>0</v>
      </c>
      <c r="I56" s="185">
        <f t="shared" si="4"/>
        <v>0</v>
      </c>
      <c r="J56" s="185">
        <f t="shared" si="4"/>
        <v>0</v>
      </c>
      <c r="K56" s="185">
        <f t="shared" si="4"/>
        <v>0</v>
      </c>
      <c r="L56" s="185">
        <f t="shared" si="4"/>
        <v>0</v>
      </c>
      <c r="M56" s="185">
        <f t="shared" si="4"/>
        <v>0</v>
      </c>
      <c r="N56" s="185">
        <f t="shared" si="4"/>
        <v>0</v>
      </c>
      <c r="O56" s="185">
        <f t="shared" si="4"/>
        <v>0</v>
      </c>
      <c r="P56" s="185">
        <f t="shared" si="4"/>
        <v>0</v>
      </c>
      <c r="Q56" s="185">
        <f t="shared" si="4"/>
        <v>0</v>
      </c>
      <c r="R56" s="185">
        <f t="shared" si="4"/>
        <v>0</v>
      </c>
      <c r="S56" s="185">
        <f t="shared" si="4"/>
        <v>0</v>
      </c>
      <c r="T56" s="185">
        <f t="shared" si="4"/>
        <v>0</v>
      </c>
      <c r="U56" s="185">
        <f t="shared" si="4"/>
        <v>0</v>
      </c>
      <c r="V56" s="185">
        <f t="shared" si="4"/>
        <v>0</v>
      </c>
      <c r="W56" s="185">
        <f t="shared" si="4"/>
        <v>0</v>
      </c>
      <c r="X56" s="185">
        <f t="shared" si="4"/>
        <v>0</v>
      </c>
      <c r="Y56" s="185">
        <f t="shared" si="4"/>
        <v>0</v>
      </c>
      <c r="Z56" s="185">
        <f t="shared" si="4"/>
        <v>0</v>
      </c>
      <c r="AA56" s="185">
        <f t="shared" si="4"/>
        <v>0</v>
      </c>
      <c r="AB56" s="185">
        <f t="shared" si="4"/>
        <v>0</v>
      </c>
      <c r="AC56" s="185">
        <f t="shared" si="4"/>
        <v>0</v>
      </c>
      <c r="AD56" s="185">
        <f t="shared" si="4"/>
        <v>0</v>
      </c>
      <c r="AE56" s="185">
        <f t="shared" si="4"/>
        <v>0</v>
      </c>
      <c r="AF56" s="185">
        <f t="shared" si="4"/>
        <v>0</v>
      </c>
      <c r="AG56" s="185">
        <f t="shared" si="4"/>
        <v>0</v>
      </c>
      <c r="AH56" s="185">
        <f>AVERAGE(SUM(AH53:AH54),(SUM(AH53:AH54)-AH55))*$B$42</f>
        <v>0</v>
      </c>
      <c r="AI56" s="185">
        <f>AVERAGE(SUM(AI53:AI54),(SUM(AI53:AI54)-AI55))*$B$42</f>
        <v>0</v>
      </c>
      <c r="AJ56" s="185">
        <f>AVERAGE(SUM(AJ53:AJ54),(SUM(AJ53:AJ54)-AJ55))*$B$42</f>
        <v>0</v>
      </c>
      <c r="AK56" s="285"/>
      <c r="AL56"/>
      <c r="AM56"/>
      <c r="AN56"/>
    </row>
    <row r="57" spans="1:40" s="224" customFormat="1" ht="16.5" thickBot="1" x14ac:dyDescent="0.3">
      <c r="A57" s="225"/>
      <c r="B57" s="226"/>
      <c r="C57" s="226"/>
      <c r="D57" s="226"/>
      <c r="E57" s="226"/>
      <c r="F57" s="226"/>
      <c r="G57" s="226"/>
      <c r="H57" s="226"/>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85"/>
      <c r="AL57"/>
      <c r="AM57"/>
      <c r="AN57"/>
    </row>
    <row r="58" spans="1:40" s="224" customFormat="1" ht="15.75" x14ac:dyDescent="0.25">
      <c r="A58" s="223" t="s">
        <v>459</v>
      </c>
      <c r="B58" s="183">
        <v>1</v>
      </c>
      <c r="C58" s="183">
        <f>B58+1</f>
        <v>2</v>
      </c>
      <c r="D58" s="183">
        <f t="shared" ref="D58:AG58" si="5">C58+1</f>
        <v>3</v>
      </c>
      <c r="E58" s="183">
        <f t="shared" si="5"/>
        <v>4</v>
      </c>
      <c r="F58" s="183">
        <f t="shared" si="5"/>
        <v>5</v>
      </c>
      <c r="G58" s="183">
        <f t="shared" si="5"/>
        <v>6</v>
      </c>
      <c r="H58" s="183">
        <f t="shared" si="5"/>
        <v>7</v>
      </c>
      <c r="I58" s="183">
        <f t="shared" si="5"/>
        <v>8</v>
      </c>
      <c r="J58" s="183">
        <f t="shared" si="5"/>
        <v>9</v>
      </c>
      <c r="K58" s="183">
        <f t="shared" si="5"/>
        <v>10</v>
      </c>
      <c r="L58" s="183">
        <f t="shared" si="5"/>
        <v>11</v>
      </c>
      <c r="M58" s="183">
        <f t="shared" si="5"/>
        <v>12</v>
      </c>
      <c r="N58" s="183">
        <f t="shared" si="5"/>
        <v>13</v>
      </c>
      <c r="O58" s="183">
        <f t="shared" si="5"/>
        <v>14</v>
      </c>
      <c r="P58" s="183">
        <f t="shared" si="5"/>
        <v>15</v>
      </c>
      <c r="Q58" s="183">
        <f t="shared" si="5"/>
        <v>16</v>
      </c>
      <c r="R58" s="183">
        <f t="shared" si="5"/>
        <v>17</v>
      </c>
      <c r="S58" s="183">
        <f t="shared" si="5"/>
        <v>18</v>
      </c>
      <c r="T58" s="183">
        <f t="shared" si="5"/>
        <v>19</v>
      </c>
      <c r="U58" s="183">
        <f t="shared" si="5"/>
        <v>20</v>
      </c>
      <c r="V58" s="183">
        <f t="shared" si="5"/>
        <v>21</v>
      </c>
      <c r="W58" s="183">
        <f t="shared" si="5"/>
        <v>22</v>
      </c>
      <c r="X58" s="183">
        <f t="shared" si="5"/>
        <v>23</v>
      </c>
      <c r="Y58" s="183">
        <f t="shared" si="5"/>
        <v>24</v>
      </c>
      <c r="Z58" s="183">
        <f t="shared" si="5"/>
        <v>25</v>
      </c>
      <c r="AA58" s="183">
        <f t="shared" si="5"/>
        <v>26</v>
      </c>
      <c r="AB58" s="183">
        <f t="shared" si="5"/>
        <v>27</v>
      </c>
      <c r="AC58" s="183">
        <f t="shared" si="5"/>
        <v>28</v>
      </c>
      <c r="AD58" s="183">
        <f t="shared" si="5"/>
        <v>29</v>
      </c>
      <c r="AE58" s="183">
        <f t="shared" si="5"/>
        <v>30</v>
      </c>
      <c r="AF58" s="183">
        <f t="shared" si="5"/>
        <v>31</v>
      </c>
      <c r="AG58" s="183">
        <f t="shared" si="5"/>
        <v>32</v>
      </c>
      <c r="AH58" s="183">
        <f>AG58+1</f>
        <v>33</v>
      </c>
      <c r="AI58" s="183">
        <f>AH58+1</f>
        <v>34</v>
      </c>
      <c r="AJ58" s="183">
        <f>AI58+1</f>
        <v>35</v>
      </c>
      <c r="AK58" s="285"/>
      <c r="AL58"/>
      <c r="AM58"/>
      <c r="AN58"/>
    </row>
    <row r="59" spans="1:40" s="224" customFormat="1" x14ac:dyDescent="0.25">
      <c r="A59" s="228" t="s">
        <v>266</v>
      </c>
      <c r="B59" s="186">
        <f t="shared" ref="B59:AG59" si="6">B50*$B$28</f>
        <v>6905359.9500000002</v>
      </c>
      <c r="C59" s="186">
        <f t="shared" si="6"/>
        <v>2417819.9499999997</v>
      </c>
      <c r="D59" s="186">
        <f t="shared" si="6"/>
        <v>0</v>
      </c>
      <c r="E59" s="186">
        <f t="shared" si="6"/>
        <v>0</v>
      </c>
      <c r="F59" s="186">
        <f t="shared" si="6"/>
        <v>0</v>
      </c>
      <c r="G59" s="186">
        <f t="shared" si="6"/>
        <v>0</v>
      </c>
      <c r="H59" s="186">
        <f t="shared" si="6"/>
        <v>0</v>
      </c>
      <c r="I59" s="186">
        <f t="shared" si="6"/>
        <v>17147700</v>
      </c>
      <c r="J59" s="186">
        <f t="shared" si="6"/>
        <v>40429151.999999993</v>
      </c>
      <c r="K59" s="186">
        <f t="shared" si="6"/>
        <v>59883659.942400001</v>
      </c>
      <c r="L59" s="186">
        <f t="shared" si="6"/>
        <v>74729674.722977281</v>
      </c>
      <c r="M59" s="186">
        <f t="shared" si="6"/>
        <v>78839806.832741022</v>
      </c>
      <c r="N59" s="186">
        <f t="shared" si="6"/>
        <v>83175996.208541781</v>
      </c>
      <c r="O59" s="186">
        <f t="shared" si="6"/>
        <v>87750676.000011578</v>
      </c>
      <c r="P59" s="186">
        <f t="shared" si="6"/>
        <v>92576963.180012211</v>
      </c>
      <c r="Q59" s="186">
        <f t="shared" si="6"/>
        <v>97668696.154912874</v>
      </c>
      <c r="R59" s="186">
        <f t="shared" si="6"/>
        <v>103040474.44343308</v>
      </c>
      <c r="S59" s="186">
        <f t="shared" si="6"/>
        <v>108707700.53782189</v>
      </c>
      <c r="T59" s="186">
        <f t="shared" si="6"/>
        <v>114686624.06740208</v>
      </c>
      <c r="U59" s="186">
        <f t="shared" si="6"/>
        <v>120994388.39110918</v>
      </c>
      <c r="V59" s="186">
        <f t="shared" si="6"/>
        <v>127649079.75262018</v>
      </c>
      <c r="W59" s="186">
        <f t="shared" si="6"/>
        <v>134669779.13901427</v>
      </c>
      <c r="X59" s="186">
        <f t="shared" si="6"/>
        <v>142076616.99166006</v>
      </c>
      <c r="Y59" s="186">
        <f t="shared" si="6"/>
        <v>149890830.92620134</v>
      </c>
      <c r="Z59" s="186">
        <f t="shared" si="6"/>
        <v>158134826.6271424</v>
      </c>
      <c r="AA59" s="186">
        <f t="shared" si="6"/>
        <v>166832242.09163523</v>
      </c>
      <c r="AB59" s="186">
        <f t="shared" si="6"/>
        <v>176008015.40667516</v>
      </c>
      <c r="AC59" s="186">
        <f t="shared" si="6"/>
        <v>185688456.2540423</v>
      </c>
      <c r="AD59" s="186">
        <f t="shared" si="6"/>
        <v>195901321.34801462</v>
      </c>
      <c r="AE59" s="186">
        <f t="shared" si="6"/>
        <v>206675894.0221554</v>
      </c>
      <c r="AF59" s="186">
        <f t="shared" si="6"/>
        <v>218043068.19337395</v>
      </c>
      <c r="AG59" s="186">
        <f t="shared" si="6"/>
        <v>230035436.94400951</v>
      </c>
      <c r="AH59" s="186">
        <f>AH50*$B$28</f>
        <v>242687385.97593004</v>
      </c>
      <c r="AI59" s="186">
        <f>AI50*$B$28</f>
        <v>256035192.20460618</v>
      </c>
      <c r="AJ59" s="186">
        <f>AJ50*$B$28</f>
        <v>270117127.77585948</v>
      </c>
      <c r="AK59" s="285"/>
      <c r="AL59"/>
      <c r="AM59"/>
      <c r="AN59"/>
    </row>
    <row r="60" spans="1:40" s="224" customFormat="1" ht="15.75" x14ac:dyDescent="0.25">
      <c r="A60" s="220" t="s">
        <v>265</v>
      </c>
      <c r="B60" s="184">
        <f t="shared" ref="B60:T60" si="7">SUM(B61:B66)</f>
        <v>0</v>
      </c>
      <c r="C60" s="184">
        <f t="shared" si="7"/>
        <v>0</v>
      </c>
      <c r="D60" s="184">
        <f t="shared" si="7"/>
        <v>0</v>
      </c>
      <c r="E60" s="184">
        <f t="shared" si="7"/>
        <v>0</v>
      </c>
      <c r="F60" s="184">
        <f t="shared" si="7"/>
        <v>0</v>
      </c>
      <c r="G60" s="184">
        <f t="shared" si="7"/>
        <v>0</v>
      </c>
      <c r="H60" s="184">
        <f t="shared" si="7"/>
        <v>-100000</v>
      </c>
      <c r="I60" s="184">
        <f t="shared" si="7"/>
        <v>-100000</v>
      </c>
      <c r="J60" s="184">
        <f t="shared" si="7"/>
        <v>-700000</v>
      </c>
      <c r="K60" s="184">
        <f t="shared" si="7"/>
        <v>-105800</v>
      </c>
      <c r="L60" s="184">
        <f t="shared" si="7"/>
        <v>-111619</v>
      </c>
      <c r="M60" s="184">
        <f t="shared" si="7"/>
        <v>-824306.31500000006</v>
      </c>
      <c r="N60" s="184">
        <f t="shared" si="7"/>
        <v>-2608929.4869749998</v>
      </c>
      <c r="O60" s="184">
        <f t="shared" si="7"/>
        <v>-131067.64803612499</v>
      </c>
      <c r="P60" s="184">
        <f t="shared" si="7"/>
        <v>-967934.58074678294</v>
      </c>
      <c r="Q60" s="184">
        <f t="shared" si="7"/>
        <v>-145881.568955408</v>
      </c>
      <c r="R60" s="184">
        <f t="shared" si="7"/>
        <v>-153905.05524795543</v>
      </c>
      <c r="S60" s="184">
        <f t="shared" si="7"/>
        <v>-1136588.833006151</v>
      </c>
      <c r="T60" s="184">
        <f t="shared" si="7"/>
        <v>-171300.17411735558</v>
      </c>
      <c r="U60" s="184">
        <f t="shared" ref="U60:AH60" si="8">SUM(U61:U66)</f>
        <v>-180721.68369381013</v>
      </c>
      <c r="V60" s="184">
        <f t="shared" si="8"/>
        <v>-5147857.1600181814</v>
      </c>
      <c r="W60" s="184">
        <f t="shared" si="8"/>
        <v>-201147.75199330301</v>
      </c>
      <c r="X60" s="184">
        <f t="shared" si="8"/>
        <v>-212210.87835293467</v>
      </c>
      <c r="Y60" s="184">
        <f t="shared" si="8"/>
        <v>-1567177.3366364222</v>
      </c>
      <c r="Z60" s="184">
        <f t="shared" si="8"/>
        <v>-236196.01287877504</v>
      </c>
      <c r="AA60" s="184">
        <f t="shared" si="8"/>
        <v>-249186.79358710768</v>
      </c>
      <c r="AB60" s="184">
        <f t="shared" si="8"/>
        <v>-1840244.47064079</v>
      </c>
      <c r="AC60" s="184">
        <f t="shared" si="8"/>
        <v>-277351.13093229046</v>
      </c>
      <c r="AD60" s="184">
        <f t="shared" si="8"/>
        <v>-6144714.3058048952</v>
      </c>
      <c r="AE60" s="184">
        <f t="shared" si="8"/>
        <v>-2160891.1975413878</v>
      </c>
      <c r="AF60" s="184">
        <f t="shared" si="8"/>
        <v>-325677.17334373773</v>
      </c>
      <c r="AG60" s="184">
        <f t="shared" si="8"/>
        <v>-343589.41787764325</v>
      </c>
      <c r="AH60" s="184">
        <f t="shared" si="8"/>
        <v>-2537407.8510263953</v>
      </c>
      <c r="AI60" s="184">
        <f>SUM(AI61:AI66)</f>
        <v>-382423.61183326383</v>
      </c>
      <c r="AJ60" s="184">
        <f>SUM(AJ61:AJ66)</f>
        <v>-403456.91048409336</v>
      </c>
      <c r="AK60" s="285"/>
      <c r="AL60"/>
      <c r="AM60"/>
      <c r="AN60"/>
    </row>
    <row r="61" spans="1:40" s="224" customFormat="1" ht="15.75" x14ac:dyDescent="0.25">
      <c r="A61" s="229" t="s">
        <v>264</v>
      </c>
      <c r="B61" s="184"/>
      <c r="C61" s="184"/>
      <c r="D61" s="184"/>
      <c r="E61" s="184"/>
      <c r="F61" s="184"/>
      <c r="G61" s="184"/>
      <c r="H61" s="184">
        <v>0</v>
      </c>
      <c r="I61" s="184">
        <v>0</v>
      </c>
      <c r="J61" s="184">
        <f>-IF(J$47&lt;=$B$30,0,$B$29*(1+J$49)*$B$28)</f>
        <v>-600000</v>
      </c>
      <c r="K61" s="184">
        <v>0</v>
      </c>
      <c r="L61" s="184">
        <v>0</v>
      </c>
      <c r="M61" s="184">
        <f>-IF(M$47&lt;=$B$30,0,$B$29*(1+M$49)*$B$28)</f>
        <v>-706548.27</v>
      </c>
      <c r="N61" s="184">
        <v>0</v>
      </c>
      <c r="O61" s="184">
        <v>0</v>
      </c>
      <c r="P61" s="184">
        <f>-IF(P$47&lt;=$B$30,0,$B$29*(1+P$49)*$B$28)</f>
        <v>-829658.21206867113</v>
      </c>
      <c r="Q61" s="184">
        <v>0</v>
      </c>
      <c r="R61" s="184">
        <v>0</v>
      </c>
      <c r="S61" s="184">
        <f>-IF(S$47&lt;=$B$30,0,$B$29*(1+S$49)*$B$28)</f>
        <v>-974218.99971955793</v>
      </c>
      <c r="T61" s="184">
        <v>0</v>
      </c>
      <c r="U61" s="184">
        <v>0</v>
      </c>
      <c r="V61" s="184">
        <f>-IF(V$47&lt;=$B$30,0,$B$29*(1+V$49)*$B$28)</f>
        <v>-1143968.257781818</v>
      </c>
      <c r="W61" s="184">
        <v>0</v>
      </c>
      <c r="X61" s="184">
        <v>0</v>
      </c>
      <c r="Y61" s="184">
        <f>-IF(Y$47&lt;=$B$30,0,$B$29*(1+Y$49)*$B$28)</f>
        <v>-1343294.8599740763</v>
      </c>
      <c r="Z61" s="184">
        <v>0</v>
      </c>
      <c r="AA61" s="184">
        <v>0</v>
      </c>
      <c r="AB61" s="184">
        <f>-IF(AB$47&lt;=$B$30,0,$B$29*(1+AB$49)*$B$28)</f>
        <v>-1577352.4034063914</v>
      </c>
      <c r="AC61" s="184">
        <v>0</v>
      </c>
      <c r="AD61" s="184">
        <v>0</v>
      </c>
      <c r="AE61" s="184">
        <f>-IF(AE$47&lt;=$B$30,0,$B$29*(1+AE$49)*$B$28)</f>
        <v>-1852192.4550354753</v>
      </c>
      <c r="AF61" s="184">
        <v>0</v>
      </c>
      <c r="AG61" s="184">
        <v>0</v>
      </c>
      <c r="AH61" s="184">
        <f>-IF(AH$47&lt;=$B$30,0,$B$29*(1+AH$49)*$B$28)</f>
        <v>-2174921.0151654817</v>
      </c>
      <c r="AI61" s="184">
        <v>0</v>
      </c>
      <c r="AJ61" s="184">
        <v>0</v>
      </c>
      <c r="AK61" s="285"/>
      <c r="AL61"/>
      <c r="AM61"/>
      <c r="AN61"/>
    </row>
    <row r="62" spans="1:40" s="224" customFormat="1" ht="15.75" x14ac:dyDescent="0.25">
      <c r="A62" s="229" t="str">
        <f>A32</f>
        <v>Прочие расходы при эксплуатации объекта, руб. без НДС</v>
      </c>
      <c r="B62" s="184"/>
      <c r="C62" s="184"/>
      <c r="D62" s="184"/>
      <c r="E62" s="184"/>
      <c r="F62" s="184"/>
      <c r="G62" s="184"/>
      <c r="H62" s="184">
        <f t="shared" ref="H62:AJ62" si="9">-IF(H$47&lt;=$B$33,0,$B$32*(1+H$49)*$B$28)</f>
        <v>-100000</v>
      </c>
      <c r="I62" s="184">
        <f t="shared" si="9"/>
        <v>-100000</v>
      </c>
      <c r="J62" s="184">
        <f t="shared" si="9"/>
        <v>-100000</v>
      </c>
      <c r="K62" s="184">
        <f t="shared" si="9"/>
        <v>-105800</v>
      </c>
      <c r="L62" s="184">
        <f t="shared" si="9"/>
        <v>-111619</v>
      </c>
      <c r="M62" s="184">
        <f t="shared" si="9"/>
        <v>-117758.045</v>
      </c>
      <c r="N62" s="184">
        <f t="shared" si="9"/>
        <v>-124234.737475</v>
      </c>
      <c r="O62" s="184">
        <f t="shared" si="9"/>
        <v>-131067.64803612499</v>
      </c>
      <c r="P62" s="184">
        <f t="shared" si="9"/>
        <v>-138276.36867811187</v>
      </c>
      <c r="Q62" s="184">
        <f t="shared" si="9"/>
        <v>-145881.568955408</v>
      </c>
      <c r="R62" s="184">
        <f t="shared" si="9"/>
        <v>-153905.05524795543</v>
      </c>
      <c r="S62" s="184">
        <f t="shared" si="9"/>
        <v>-162369.83328659297</v>
      </c>
      <c r="T62" s="184">
        <f t="shared" si="9"/>
        <v>-171300.17411735558</v>
      </c>
      <c r="U62" s="184">
        <f t="shared" si="9"/>
        <v>-180721.68369381013</v>
      </c>
      <c r="V62" s="184">
        <f t="shared" si="9"/>
        <v>-190661.37629696968</v>
      </c>
      <c r="W62" s="184">
        <f t="shared" si="9"/>
        <v>-201147.75199330301</v>
      </c>
      <c r="X62" s="184">
        <f t="shared" si="9"/>
        <v>-212210.87835293467</v>
      </c>
      <c r="Y62" s="184">
        <f t="shared" si="9"/>
        <v>-223882.47666234605</v>
      </c>
      <c r="Z62" s="184">
        <f t="shared" si="9"/>
        <v>-236196.01287877504</v>
      </c>
      <c r="AA62" s="184">
        <f t="shared" si="9"/>
        <v>-249186.79358710768</v>
      </c>
      <c r="AB62" s="184">
        <f t="shared" si="9"/>
        <v>-262892.06723439856</v>
      </c>
      <c r="AC62" s="184">
        <f t="shared" si="9"/>
        <v>-277351.13093229046</v>
      </c>
      <c r="AD62" s="184">
        <f t="shared" si="9"/>
        <v>-292605.44313356641</v>
      </c>
      <c r="AE62" s="184">
        <f t="shared" si="9"/>
        <v>-308698.74250591255</v>
      </c>
      <c r="AF62" s="184">
        <f t="shared" si="9"/>
        <v>-325677.17334373773</v>
      </c>
      <c r="AG62" s="184">
        <f t="shared" si="9"/>
        <v>-343589.41787764325</v>
      </c>
      <c r="AH62" s="184">
        <f t="shared" si="9"/>
        <v>-362486.83586091362</v>
      </c>
      <c r="AI62" s="184">
        <f t="shared" si="9"/>
        <v>-382423.61183326383</v>
      </c>
      <c r="AJ62" s="184">
        <f t="shared" si="9"/>
        <v>-403456.91048409336</v>
      </c>
      <c r="AK62" s="285"/>
      <c r="AL62"/>
      <c r="AM62"/>
      <c r="AN62"/>
    </row>
    <row r="63" spans="1:40" s="224" customFormat="1" ht="15.75" x14ac:dyDescent="0.25">
      <c r="A63" s="229" t="s">
        <v>466</v>
      </c>
      <c r="B63" s="184"/>
      <c r="C63" s="184"/>
      <c r="D63" s="184"/>
      <c r="E63" s="184"/>
      <c r="F63" s="184"/>
      <c r="G63" s="184"/>
      <c r="H63" s="184">
        <v>0</v>
      </c>
      <c r="I63" s="184">
        <v>0</v>
      </c>
      <c r="J63" s="184">
        <v>0</v>
      </c>
      <c r="K63" s="184">
        <v>0</v>
      </c>
      <c r="L63" s="184">
        <v>0</v>
      </c>
      <c r="M63" s="184">
        <v>0</v>
      </c>
      <c r="N63" s="184">
        <f>-IF(N$47&lt;=$B$30,0,$B$35*(1+N$49)*$B$28)</f>
        <v>-2484694.7494999999</v>
      </c>
      <c r="O63" s="184">
        <v>0</v>
      </c>
      <c r="P63" s="184">
        <v>0</v>
      </c>
      <c r="Q63" s="184">
        <v>0</v>
      </c>
      <c r="R63" s="184">
        <v>0</v>
      </c>
      <c r="S63" s="184">
        <v>0</v>
      </c>
      <c r="T63" s="184">
        <v>0</v>
      </c>
      <c r="U63" s="184">
        <v>0</v>
      </c>
      <c r="V63" s="184">
        <f>-IF(V$47&lt;=$B$30,0,$B$35*(1+V$49)*$B$28)</f>
        <v>-3813227.5259393938</v>
      </c>
      <c r="W63" s="184">
        <v>0</v>
      </c>
      <c r="X63" s="184">
        <v>0</v>
      </c>
      <c r="Y63" s="184">
        <v>0</v>
      </c>
      <c r="Z63" s="184">
        <v>0</v>
      </c>
      <c r="AA63" s="184">
        <v>0</v>
      </c>
      <c r="AB63" s="184">
        <v>0</v>
      </c>
      <c r="AC63" s="184">
        <v>0</v>
      </c>
      <c r="AD63" s="184">
        <f>-IF(AD$47&lt;=$B$30,0,$B$35*(1+AD$49)*$B$28)</f>
        <v>-5852108.8626713287</v>
      </c>
      <c r="AE63" s="184">
        <v>0</v>
      </c>
      <c r="AF63" s="184">
        <v>0</v>
      </c>
      <c r="AG63" s="184">
        <v>0</v>
      </c>
      <c r="AH63" s="184">
        <v>0</v>
      </c>
      <c r="AI63" s="184">
        <v>0</v>
      </c>
      <c r="AJ63" s="184">
        <v>0</v>
      </c>
      <c r="AK63" s="285"/>
      <c r="AL63"/>
      <c r="AM63"/>
      <c r="AN63"/>
    </row>
    <row r="64" spans="1:40" s="224" customFormat="1" ht="15.75" x14ac:dyDescent="0.25">
      <c r="A64" s="229" t="s">
        <v>456</v>
      </c>
      <c r="B64" s="184">
        <f>-$B$37*(1+B$49)*$B$28*365</f>
        <v>0</v>
      </c>
      <c r="C64" s="184">
        <f t="shared" ref="C64:AJ64" si="10">-$B$37*(1+C$49)*$B$28*365</f>
        <v>0</v>
      </c>
      <c r="D64" s="184">
        <f t="shared" si="10"/>
        <v>0</v>
      </c>
      <c r="E64" s="184">
        <f t="shared" si="10"/>
        <v>0</v>
      </c>
      <c r="F64" s="184">
        <f t="shared" si="10"/>
        <v>0</v>
      </c>
      <c r="G64" s="184">
        <f t="shared" si="10"/>
        <v>0</v>
      </c>
      <c r="H64" s="184">
        <f t="shared" si="10"/>
        <v>0</v>
      </c>
      <c r="I64" s="184">
        <f t="shared" si="10"/>
        <v>0</v>
      </c>
      <c r="J64" s="184">
        <f t="shared" si="10"/>
        <v>0</v>
      </c>
      <c r="K64" s="184">
        <f t="shared" si="10"/>
        <v>0</v>
      </c>
      <c r="L64" s="184">
        <f t="shared" si="10"/>
        <v>0</v>
      </c>
      <c r="M64" s="184">
        <f t="shared" si="10"/>
        <v>0</v>
      </c>
      <c r="N64" s="184">
        <f t="shared" si="10"/>
        <v>0</v>
      </c>
      <c r="O64" s="184">
        <f t="shared" si="10"/>
        <v>0</v>
      </c>
      <c r="P64" s="184">
        <f t="shared" si="10"/>
        <v>0</v>
      </c>
      <c r="Q64" s="184">
        <f t="shared" si="10"/>
        <v>0</v>
      </c>
      <c r="R64" s="184">
        <f t="shared" si="10"/>
        <v>0</v>
      </c>
      <c r="S64" s="184">
        <f t="shared" si="10"/>
        <v>0</v>
      </c>
      <c r="T64" s="184">
        <f t="shared" si="10"/>
        <v>0</v>
      </c>
      <c r="U64" s="184">
        <f t="shared" si="10"/>
        <v>0</v>
      </c>
      <c r="V64" s="184">
        <f t="shared" si="10"/>
        <v>0</v>
      </c>
      <c r="W64" s="184">
        <f t="shared" si="10"/>
        <v>0</v>
      </c>
      <c r="X64" s="184">
        <f t="shared" si="10"/>
        <v>0</v>
      </c>
      <c r="Y64" s="184">
        <f t="shared" si="10"/>
        <v>0</v>
      </c>
      <c r="Z64" s="184">
        <f t="shared" si="10"/>
        <v>0</v>
      </c>
      <c r="AA64" s="184">
        <f t="shared" si="10"/>
        <v>0</v>
      </c>
      <c r="AB64" s="184">
        <f t="shared" si="10"/>
        <v>0</v>
      </c>
      <c r="AC64" s="184">
        <f t="shared" si="10"/>
        <v>0</v>
      </c>
      <c r="AD64" s="184">
        <f t="shared" si="10"/>
        <v>0</v>
      </c>
      <c r="AE64" s="184">
        <f t="shared" si="10"/>
        <v>0</v>
      </c>
      <c r="AF64" s="184">
        <f t="shared" si="10"/>
        <v>0</v>
      </c>
      <c r="AG64" s="184">
        <f t="shared" si="10"/>
        <v>0</v>
      </c>
      <c r="AH64" s="184">
        <f t="shared" si="10"/>
        <v>0</v>
      </c>
      <c r="AI64" s="184">
        <f t="shared" si="10"/>
        <v>0</v>
      </c>
      <c r="AJ64" s="184">
        <f t="shared" si="10"/>
        <v>0</v>
      </c>
      <c r="AK64" s="285"/>
      <c r="AL64"/>
      <c r="AM64"/>
      <c r="AN64"/>
    </row>
    <row r="65" spans="1:40" s="224" customFormat="1" ht="15.75" x14ac:dyDescent="0.25">
      <c r="A65" s="229" t="s">
        <v>456</v>
      </c>
      <c r="B65" s="184">
        <f t="shared" ref="B65:AJ65" si="11">-$B$38*(1+B$49)*12</f>
        <v>0</v>
      </c>
      <c r="C65" s="184">
        <f t="shared" si="11"/>
        <v>0</v>
      </c>
      <c r="D65" s="184">
        <f t="shared" si="11"/>
        <v>0</v>
      </c>
      <c r="E65" s="184">
        <f t="shared" si="11"/>
        <v>0</v>
      </c>
      <c r="F65" s="184">
        <f t="shared" si="11"/>
        <v>0</v>
      </c>
      <c r="G65" s="184">
        <f t="shared" si="11"/>
        <v>0</v>
      </c>
      <c r="H65" s="184">
        <f t="shared" si="11"/>
        <v>0</v>
      </c>
      <c r="I65" s="184">
        <f t="shared" si="11"/>
        <v>0</v>
      </c>
      <c r="J65" s="184">
        <f t="shared" si="11"/>
        <v>0</v>
      </c>
      <c r="K65" s="184">
        <f t="shared" si="11"/>
        <v>0</v>
      </c>
      <c r="L65" s="184">
        <f t="shared" si="11"/>
        <v>0</v>
      </c>
      <c r="M65" s="184">
        <f t="shared" si="11"/>
        <v>0</v>
      </c>
      <c r="N65" s="184">
        <f t="shared" si="11"/>
        <v>0</v>
      </c>
      <c r="O65" s="184">
        <f t="shared" si="11"/>
        <v>0</v>
      </c>
      <c r="P65" s="184">
        <f t="shared" si="11"/>
        <v>0</v>
      </c>
      <c r="Q65" s="184">
        <f t="shared" si="11"/>
        <v>0</v>
      </c>
      <c r="R65" s="184">
        <f t="shared" si="11"/>
        <v>0</v>
      </c>
      <c r="S65" s="184">
        <f t="shared" si="11"/>
        <v>0</v>
      </c>
      <c r="T65" s="184">
        <f t="shared" si="11"/>
        <v>0</v>
      </c>
      <c r="U65" s="184">
        <f t="shared" si="11"/>
        <v>0</v>
      </c>
      <c r="V65" s="184">
        <f t="shared" si="11"/>
        <v>0</v>
      </c>
      <c r="W65" s="184">
        <f t="shared" si="11"/>
        <v>0</v>
      </c>
      <c r="X65" s="184">
        <f t="shared" si="11"/>
        <v>0</v>
      </c>
      <c r="Y65" s="184">
        <f t="shared" si="11"/>
        <v>0</v>
      </c>
      <c r="Z65" s="184">
        <f t="shared" si="11"/>
        <v>0</v>
      </c>
      <c r="AA65" s="184">
        <f t="shared" si="11"/>
        <v>0</v>
      </c>
      <c r="AB65" s="184">
        <f t="shared" si="11"/>
        <v>0</v>
      </c>
      <c r="AC65" s="184">
        <f t="shared" si="11"/>
        <v>0</v>
      </c>
      <c r="AD65" s="184">
        <f t="shared" si="11"/>
        <v>0</v>
      </c>
      <c r="AE65" s="184">
        <f t="shared" si="11"/>
        <v>0</v>
      </c>
      <c r="AF65" s="184">
        <f t="shared" si="11"/>
        <v>0</v>
      </c>
      <c r="AG65" s="184">
        <f t="shared" si="11"/>
        <v>0</v>
      </c>
      <c r="AH65" s="184">
        <f t="shared" si="11"/>
        <v>0</v>
      </c>
      <c r="AI65" s="184">
        <f t="shared" si="11"/>
        <v>0</v>
      </c>
      <c r="AJ65" s="184">
        <f t="shared" si="11"/>
        <v>0</v>
      </c>
      <c r="AK65" s="285"/>
      <c r="AL65"/>
      <c r="AM65"/>
      <c r="AN65"/>
    </row>
    <row r="66" spans="1:40" s="224" customFormat="1" ht="15.75" x14ac:dyDescent="0.25">
      <c r="A66" s="229" t="s">
        <v>468</v>
      </c>
      <c r="B66" s="184">
        <v>0</v>
      </c>
      <c r="C66" s="184">
        <v>0</v>
      </c>
      <c r="D66" s="184">
        <v>0</v>
      </c>
      <c r="E66" s="184">
        <v>0</v>
      </c>
      <c r="F66" s="184">
        <v>0</v>
      </c>
      <c r="G66" s="184">
        <v>0</v>
      </c>
      <c r="H66" s="184">
        <v>0</v>
      </c>
      <c r="I66" s="184">
        <v>0</v>
      </c>
      <c r="J66" s="184">
        <v>0</v>
      </c>
      <c r="K66" s="184">
        <v>0</v>
      </c>
      <c r="L66" s="184">
        <v>0</v>
      </c>
      <c r="M66" s="184">
        <v>0</v>
      </c>
      <c r="N66" s="184">
        <v>0</v>
      </c>
      <c r="O66" s="184">
        <v>0</v>
      </c>
      <c r="P66" s="184">
        <v>0</v>
      </c>
      <c r="Q66" s="184">
        <v>0</v>
      </c>
      <c r="R66" s="184">
        <v>0</v>
      </c>
      <c r="S66" s="184">
        <v>0</v>
      </c>
      <c r="T66" s="184">
        <v>0</v>
      </c>
      <c r="U66" s="184">
        <v>0</v>
      </c>
      <c r="V66" s="184">
        <v>0</v>
      </c>
      <c r="W66" s="184">
        <v>0</v>
      </c>
      <c r="X66" s="184">
        <v>0</v>
      </c>
      <c r="Y66" s="184">
        <v>0</v>
      </c>
      <c r="Z66" s="184">
        <v>0</v>
      </c>
      <c r="AA66" s="184">
        <v>0</v>
      </c>
      <c r="AB66" s="184">
        <v>0</v>
      </c>
      <c r="AC66" s="184">
        <v>0</v>
      </c>
      <c r="AD66" s="184">
        <v>0</v>
      </c>
      <c r="AE66" s="184">
        <v>0</v>
      </c>
      <c r="AF66" s="184">
        <v>0</v>
      </c>
      <c r="AG66" s="184">
        <v>0</v>
      </c>
      <c r="AH66" s="184">
        <v>0</v>
      </c>
      <c r="AI66" s="184">
        <v>0</v>
      </c>
      <c r="AJ66" s="184">
        <v>0</v>
      </c>
      <c r="AK66" s="285"/>
      <c r="AL66"/>
      <c r="AM66"/>
      <c r="AN66"/>
    </row>
    <row r="67" spans="1:40" s="224" customFormat="1" x14ac:dyDescent="0.25">
      <c r="A67" s="230" t="s">
        <v>469</v>
      </c>
      <c r="B67" s="186">
        <f t="shared" ref="B67:AG67" si="12">B59+B60</f>
        <v>6905359.9500000002</v>
      </c>
      <c r="C67" s="186">
        <f t="shared" si="12"/>
        <v>2417819.9499999997</v>
      </c>
      <c r="D67" s="186">
        <f t="shared" si="12"/>
        <v>0</v>
      </c>
      <c r="E67" s="186">
        <f t="shared" si="12"/>
        <v>0</v>
      </c>
      <c r="F67" s="186">
        <f t="shared" si="12"/>
        <v>0</v>
      </c>
      <c r="G67" s="186">
        <f t="shared" si="12"/>
        <v>0</v>
      </c>
      <c r="H67" s="186">
        <f t="shared" si="12"/>
        <v>-100000</v>
      </c>
      <c r="I67" s="186">
        <f t="shared" si="12"/>
        <v>17047700</v>
      </c>
      <c r="J67" s="186">
        <f t="shared" si="12"/>
        <v>39729151.999999993</v>
      </c>
      <c r="K67" s="186">
        <f t="shared" si="12"/>
        <v>59777859.942400001</v>
      </c>
      <c r="L67" s="186">
        <f t="shared" si="12"/>
        <v>74618055.722977281</v>
      </c>
      <c r="M67" s="186">
        <f t="shared" si="12"/>
        <v>78015500.517741024</v>
      </c>
      <c r="N67" s="186">
        <f t="shared" si="12"/>
        <v>80567066.721566781</v>
      </c>
      <c r="O67" s="186">
        <f t="shared" si="12"/>
        <v>87619608.351975456</v>
      </c>
      <c r="P67" s="186">
        <f t="shared" si="12"/>
        <v>91609028.599265426</v>
      </c>
      <c r="Q67" s="186">
        <f t="shared" si="12"/>
        <v>97522814.585957468</v>
      </c>
      <c r="R67" s="186">
        <f t="shared" si="12"/>
        <v>102886569.38818511</v>
      </c>
      <c r="S67" s="186">
        <f t="shared" si="12"/>
        <v>107571111.70481575</v>
      </c>
      <c r="T67" s="186">
        <f t="shared" si="12"/>
        <v>114515323.89328472</v>
      </c>
      <c r="U67" s="186">
        <f t="shared" si="12"/>
        <v>120813666.70741537</v>
      </c>
      <c r="V67" s="186">
        <f t="shared" si="12"/>
        <v>122501222.592602</v>
      </c>
      <c r="W67" s="186">
        <f t="shared" si="12"/>
        <v>134468631.38702098</v>
      </c>
      <c r="X67" s="186">
        <f t="shared" si="12"/>
        <v>141864406.11330712</v>
      </c>
      <c r="Y67" s="186">
        <f t="shared" si="12"/>
        <v>148323653.58956492</v>
      </c>
      <c r="Z67" s="186">
        <f t="shared" si="12"/>
        <v>157898630.61426362</v>
      </c>
      <c r="AA67" s="186">
        <f t="shared" si="12"/>
        <v>166583055.29804811</v>
      </c>
      <c r="AB67" s="186">
        <f t="shared" si="12"/>
        <v>174167770.93603438</v>
      </c>
      <c r="AC67" s="186">
        <f t="shared" si="12"/>
        <v>185411105.12311</v>
      </c>
      <c r="AD67" s="186">
        <f t="shared" si="12"/>
        <v>189756607.04220971</v>
      </c>
      <c r="AE67" s="186">
        <f t="shared" si="12"/>
        <v>204515002.82461402</v>
      </c>
      <c r="AF67" s="186">
        <f t="shared" si="12"/>
        <v>217717391.0200302</v>
      </c>
      <c r="AG67" s="186">
        <f t="shared" si="12"/>
        <v>229691847.52613187</v>
      </c>
      <c r="AH67" s="186">
        <f>AH59+AH60</f>
        <v>240149978.12490365</v>
      </c>
      <c r="AI67" s="186">
        <f>AI59+AI60</f>
        <v>255652768.5927729</v>
      </c>
      <c r="AJ67" s="186">
        <f>AJ59+AJ60</f>
        <v>269713670.8653754</v>
      </c>
      <c r="AK67" s="285"/>
      <c r="AL67"/>
      <c r="AM67"/>
      <c r="AN67"/>
    </row>
    <row r="68" spans="1:40" s="224" customFormat="1" ht="15.75" x14ac:dyDescent="0.25">
      <c r="A68" s="229" t="s">
        <v>259</v>
      </c>
      <c r="B68" s="184"/>
      <c r="C68" s="184"/>
      <c r="D68" s="184"/>
      <c r="E68" s="184"/>
      <c r="F68" s="184"/>
      <c r="G68" s="184"/>
      <c r="H68" s="184">
        <v>-1022635.2</v>
      </c>
      <c r="I68" s="184">
        <v>-5766612.7999999998</v>
      </c>
      <c r="J68" s="184">
        <v>-5766612.7999999998</v>
      </c>
      <c r="K68" s="184">
        <v>-5766612.7999999998</v>
      </c>
      <c r="L68" s="184">
        <v>-7539951.7091199998</v>
      </c>
      <c r="M68" s="184">
        <v>-7539951.7091199998</v>
      </c>
      <c r="N68" s="184">
        <v>-7539951.7091199998</v>
      </c>
      <c r="O68" s="184">
        <v>-7539951.7091199998</v>
      </c>
      <c r="P68" s="184">
        <v>-7539951.7091199998</v>
      </c>
      <c r="Q68" s="184">
        <v>-7539951.7091199998</v>
      </c>
      <c r="R68" s="184">
        <v>-7539951.7091199998</v>
      </c>
      <c r="S68" s="184">
        <v>-7539951.7091199998</v>
      </c>
      <c r="T68" s="184">
        <v>-7539951.7091199998</v>
      </c>
      <c r="U68" s="184">
        <v>-7539951.7091199998</v>
      </c>
      <c r="V68" s="184">
        <v>-7539951.7091199998</v>
      </c>
      <c r="W68" s="184">
        <v>-7539951.7091199998</v>
      </c>
      <c r="X68" s="184">
        <v>-7539951.7091199998</v>
      </c>
      <c r="Y68" s="184">
        <v>-7539951.7091199998</v>
      </c>
      <c r="Z68" s="184">
        <v>-7539951.7091199998</v>
      </c>
      <c r="AA68" s="184">
        <v>-7539951.7091199998</v>
      </c>
      <c r="AB68" s="184">
        <v>-7539951.7091199998</v>
      </c>
      <c r="AC68" s="184">
        <v>-7539951.7091199998</v>
      </c>
      <c r="AD68" s="184">
        <v>-7539951.7091199998</v>
      </c>
      <c r="AE68" s="184">
        <v>-7539951.7091199998</v>
      </c>
      <c r="AF68" s="184">
        <v>-7539951.7091199998</v>
      </c>
      <c r="AG68" s="184">
        <v>-6517316.5091199996</v>
      </c>
      <c r="AH68" s="184">
        <v>-1773338.90912</v>
      </c>
      <c r="AI68" s="184">
        <v>-1773338.90912</v>
      </c>
      <c r="AJ68" s="184">
        <v>-1773338.90912</v>
      </c>
      <c r="AK68" s="286">
        <v>-159744739.60000002</v>
      </c>
      <c r="AL68"/>
      <c r="AM68"/>
      <c r="AN68"/>
    </row>
    <row r="69" spans="1:40" s="224" customFormat="1" x14ac:dyDescent="0.25">
      <c r="A69" s="230" t="s">
        <v>470</v>
      </c>
      <c r="B69" s="186">
        <f t="shared" ref="B69:AG69" si="13">B67+B68</f>
        <v>6905359.9500000002</v>
      </c>
      <c r="C69" s="186">
        <f t="shared" si="13"/>
        <v>2417819.9499999997</v>
      </c>
      <c r="D69" s="186">
        <f t="shared" si="13"/>
        <v>0</v>
      </c>
      <c r="E69" s="186">
        <f t="shared" si="13"/>
        <v>0</v>
      </c>
      <c r="F69" s="186">
        <f t="shared" si="13"/>
        <v>0</v>
      </c>
      <c r="G69" s="186">
        <f t="shared" si="13"/>
        <v>0</v>
      </c>
      <c r="H69" s="186">
        <f t="shared" si="13"/>
        <v>-1122635.2</v>
      </c>
      <c r="I69" s="186">
        <f t="shared" si="13"/>
        <v>11281087.199999999</v>
      </c>
      <c r="J69" s="186">
        <f t="shared" si="13"/>
        <v>33962539.199999996</v>
      </c>
      <c r="K69" s="186">
        <f t="shared" si="13"/>
        <v>54011247.142400004</v>
      </c>
      <c r="L69" s="186">
        <f t="shared" si="13"/>
        <v>67078104.013857283</v>
      </c>
      <c r="M69" s="186">
        <f t="shared" si="13"/>
        <v>70475548.808621019</v>
      </c>
      <c r="N69" s="186">
        <f t="shared" si="13"/>
        <v>73027115.012446776</v>
      </c>
      <c r="O69" s="186">
        <f t="shared" si="13"/>
        <v>80079656.642855451</v>
      </c>
      <c r="P69" s="186">
        <f t="shared" si="13"/>
        <v>84069076.890145421</v>
      </c>
      <c r="Q69" s="186">
        <f t="shared" si="13"/>
        <v>89982862.876837462</v>
      </c>
      <c r="R69" s="186">
        <f t="shared" si="13"/>
        <v>95346617.679065108</v>
      </c>
      <c r="S69" s="186">
        <f t="shared" si="13"/>
        <v>100031159.99569574</v>
      </c>
      <c r="T69" s="186">
        <f t="shared" si="13"/>
        <v>106975372.18416472</v>
      </c>
      <c r="U69" s="186">
        <f t="shared" si="13"/>
        <v>113273714.99829537</v>
      </c>
      <c r="V69" s="186">
        <f t="shared" si="13"/>
        <v>114961270.88348199</v>
      </c>
      <c r="W69" s="186">
        <f t="shared" si="13"/>
        <v>126928679.67790097</v>
      </c>
      <c r="X69" s="186">
        <f t="shared" si="13"/>
        <v>134324454.40418711</v>
      </c>
      <c r="Y69" s="186">
        <f t="shared" si="13"/>
        <v>140783701.88044491</v>
      </c>
      <c r="Z69" s="186">
        <f t="shared" si="13"/>
        <v>150358678.90514362</v>
      </c>
      <c r="AA69" s="186">
        <f t="shared" si="13"/>
        <v>159043103.5889281</v>
      </c>
      <c r="AB69" s="186">
        <f t="shared" si="13"/>
        <v>166627819.22691438</v>
      </c>
      <c r="AC69" s="186">
        <f t="shared" si="13"/>
        <v>177871153.41398999</v>
      </c>
      <c r="AD69" s="186">
        <f t="shared" si="13"/>
        <v>182216655.33308971</v>
      </c>
      <c r="AE69" s="186">
        <f t="shared" si="13"/>
        <v>196975051.11549401</v>
      </c>
      <c r="AF69" s="186">
        <f t="shared" si="13"/>
        <v>210177439.3109102</v>
      </c>
      <c r="AG69" s="186">
        <f t="shared" si="13"/>
        <v>223174531.01701188</v>
      </c>
      <c r="AH69" s="186">
        <f>AH67+AH68</f>
        <v>238376639.21578366</v>
      </c>
      <c r="AI69" s="186">
        <f>AI67+AI68</f>
        <v>253879429.68365291</v>
      </c>
      <c r="AJ69" s="186">
        <f>AJ67+AJ68</f>
        <v>267940331.95625541</v>
      </c>
      <c r="AK69" s="285"/>
      <c r="AL69"/>
      <c r="AM69"/>
      <c r="AN69"/>
    </row>
    <row r="70" spans="1:40" s="224" customFormat="1" ht="15.75" x14ac:dyDescent="0.25">
      <c r="A70" s="229" t="s">
        <v>258</v>
      </c>
      <c r="B70" s="184">
        <f t="shared" ref="B70:AG70" si="14">-B56</f>
        <v>0</v>
      </c>
      <c r="C70" s="184">
        <f t="shared" si="14"/>
        <v>0</v>
      </c>
      <c r="D70" s="184">
        <f t="shared" si="14"/>
        <v>0</v>
      </c>
      <c r="E70" s="184">
        <f t="shared" si="14"/>
        <v>0</v>
      </c>
      <c r="F70" s="184">
        <f t="shared" si="14"/>
        <v>0</v>
      </c>
      <c r="G70" s="184">
        <f t="shared" si="14"/>
        <v>0</v>
      </c>
      <c r="H70" s="184">
        <f t="shared" si="14"/>
        <v>0</v>
      </c>
      <c r="I70" s="184">
        <f t="shared" si="14"/>
        <v>0</v>
      </c>
      <c r="J70" s="184">
        <f t="shared" si="14"/>
        <v>0</v>
      </c>
      <c r="K70" s="184">
        <f t="shared" si="14"/>
        <v>0</v>
      </c>
      <c r="L70" s="184">
        <f t="shared" si="14"/>
        <v>0</v>
      </c>
      <c r="M70" s="184">
        <f t="shared" si="14"/>
        <v>0</v>
      </c>
      <c r="N70" s="184">
        <f t="shared" si="14"/>
        <v>0</v>
      </c>
      <c r="O70" s="184">
        <f t="shared" si="14"/>
        <v>0</v>
      </c>
      <c r="P70" s="184">
        <f t="shared" si="14"/>
        <v>0</v>
      </c>
      <c r="Q70" s="184">
        <f t="shared" si="14"/>
        <v>0</v>
      </c>
      <c r="R70" s="184">
        <f t="shared" si="14"/>
        <v>0</v>
      </c>
      <c r="S70" s="184">
        <f t="shared" si="14"/>
        <v>0</v>
      </c>
      <c r="T70" s="184">
        <f t="shared" si="14"/>
        <v>0</v>
      </c>
      <c r="U70" s="184">
        <f t="shared" si="14"/>
        <v>0</v>
      </c>
      <c r="V70" s="184">
        <f t="shared" si="14"/>
        <v>0</v>
      </c>
      <c r="W70" s="184">
        <f t="shared" si="14"/>
        <v>0</v>
      </c>
      <c r="X70" s="184">
        <f t="shared" si="14"/>
        <v>0</v>
      </c>
      <c r="Y70" s="184">
        <f t="shared" si="14"/>
        <v>0</v>
      </c>
      <c r="Z70" s="184">
        <f t="shared" si="14"/>
        <v>0</v>
      </c>
      <c r="AA70" s="184">
        <f t="shared" si="14"/>
        <v>0</v>
      </c>
      <c r="AB70" s="184">
        <f t="shared" si="14"/>
        <v>0</v>
      </c>
      <c r="AC70" s="184">
        <f t="shared" si="14"/>
        <v>0</v>
      </c>
      <c r="AD70" s="184">
        <f t="shared" si="14"/>
        <v>0</v>
      </c>
      <c r="AE70" s="184">
        <f t="shared" si="14"/>
        <v>0</v>
      </c>
      <c r="AF70" s="184">
        <f t="shared" si="14"/>
        <v>0</v>
      </c>
      <c r="AG70" s="184">
        <f t="shared" si="14"/>
        <v>0</v>
      </c>
      <c r="AH70" s="184">
        <f>-AH56</f>
        <v>0</v>
      </c>
      <c r="AI70" s="184">
        <f>-AI56</f>
        <v>0</v>
      </c>
      <c r="AJ70" s="184">
        <f>-AJ56</f>
        <v>0</v>
      </c>
      <c r="AK70" s="285"/>
      <c r="AL70"/>
      <c r="AM70"/>
      <c r="AN70"/>
    </row>
    <row r="71" spans="1:40" s="224" customFormat="1" x14ac:dyDescent="0.25">
      <c r="A71" s="230" t="s">
        <v>262</v>
      </c>
      <c r="B71" s="186">
        <f t="shared" ref="B71:AG71" si="15">B69+B70</f>
        <v>6905359.9500000002</v>
      </c>
      <c r="C71" s="186">
        <f t="shared" si="15"/>
        <v>2417819.9499999997</v>
      </c>
      <c r="D71" s="186">
        <f t="shared" si="15"/>
        <v>0</v>
      </c>
      <c r="E71" s="186">
        <f t="shared" si="15"/>
        <v>0</v>
      </c>
      <c r="F71" s="186">
        <f t="shared" si="15"/>
        <v>0</v>
      </c>
      <c r="G71" s="186">
        <f t="shared" si="15"/>
        <v>0</v>
      </c>
      <c r="H71" s="186">
        <f t="shared" si="15"/>
        <v>-1122635.2</v>
      </c>
      <c r="I71" s="186">
        <f t="shared" si="15"/>
        <v>11281087.199999999</v>
      </c>
      <c r="J71" s="186">
        <f t="shared" si="15"/>
        <v>33962539.199999996</v>
      </c>
      <c r="K71" s="186">
        <f t="shared" si="15"/>
        <v>54011247.142400004</v>
      </c>
      <c r="L71" s="186">
        <f t="shared" si="15"/>
        <v>67078104.013857283</v>
      </c>
      <c r="M71" s="186">
        <f t="shared" si="15"/>
        <v>70475548.808621019</v>
      </c>
      <c r="N71" s="186">
        <f t="shared" si="15"/>
        <v>73027115.012446776</v>
      </c>
      <c r="O71" s="186">
        <f t="shared" si="15"/>
        <v>80079656.642855451</v>
      </c>
      <c r="P71" s="186">
        <f t="shared" si="15"/>
        <v>84069076.890145421</v>
      </c>
      <c r="Q71" s="186">
        <f t="shared" si="15"/>
        <v>89982862.876837462</v>
      </c>
      <c r="R71" s="186">
        <f t="shared" si="15"/>
        <v>95346617.679065108</v>
      </c>
      <c r="S71" s="186">
        <f t="shared" si="15"/>
        <v>100031159.99569574</v>
      </c>
      <c r="T71" s="186">
        <f t="shared" si="15"/>
        <v>106975372.18416472</v>
      </c>
      <c r="U71" s="186">
        <f t="shared" si="15"/>
        <v>113273714.99829537</v>
      </c>
      <c r="V71" s="186">
        <f t="shared" si="15"/>
        <v>114961270.88348199</v>
      </c>
      <c r="W71" s="186">
        <f t="shared" si="15"/>
        <v>126928679.67790097</v>
      </c>
      <c r="X71" s="186">
        <f t="shared" si="15"/>
        <v>134324454.40418711</v>
      </c>
      <c r="Y71" s="186">
        <f t="shared" si="15"/>
        <v>140783701.88044491</v>
      </c>
      <c r="Z71" s="186">
        <f t="shared" si="15"/>
        <v>150358678.90514362</v>
      </c>
      <c r="AA71" s="186">
        <f t="shared" si="15"/>
        <v>159043103.5889281</v>
      </c>
      <c r="AB71" s="186">
        <f t="shared" si="15"/>
        <v>166627819.22691438</v>
      </c>
      <c r="AC71" s="186">
        <f t="shared" si="15"/>
        <v>177871153.41398999</v>
      </c>
      <c r="AD71" s="186">
        <f t="shared" si="15"/>
        <v>182216655.33308971</v>
      </c>
      <c r="AE71" s="186">
        <f t="shared" si="15"/>
        <v>196975051.11549401</v>
      </c>
      <c r="AF71" s="186">
        <f t="shared" si="15"/>
        <v>210177439.3109102</v>
      </c>
      <c r="AG71" s="186">
        <f t="shared" si="15"/>
        <v>223174531.01701188</v>
      </c>
      <c r="AH71" s="186">
        <f>AH69+AH70</f>
        <v>238376639.21578366</v>
      </c>
      <c r="AI71" s="186">
        <f>AI69+AI70</f>
        <v>253879429.68365291</v>
      </c>
      <c r="AJ71" s="186">
        <f>AJ69+AJ70</f>
        <v>267940331.95625541</v>
      </c>
      <c r="AK71" s="285"/>
      <c r="AL71"/>
      <c r="AM71"/>
      <c r="AN71"/>
    </row>
    <row r="72" spans="1:40" s="224" customFormat="1" ht="15.75" x14ac:dyDescent="0.25">
      <c r="A72" s="229" t="s">
        <v>257</v>
      </c>
      <c r="B72" s="184">
        <f t="shared" ref="B72:AG72" si="16">-B71*$B$36</f>
        <v>-1381071.9900000002</v>
      </c>
      <c r="C72" s="184">
        <f t="shared" si="16"/>
        <v>-483563.99</v>
      </c>
      <c r="D72" s="184">
        <f t="shared" si="16"/>
        <v>0</v>
      </c>
      <c r="E72" s="184">
        <f t="shared" si="16"/>
        <v>0</v>
      </c>
      <c r="F72" s="184">
        <f t="shared" si="16"/>
        <v>0</v>
      </c>
      <c r="G72" s="184">
        <f t="shared" si="16"/>
        <v>0</v>
      </c>
      <c r="H72" s="184">
        <f t="shared" si="16"/>
        <v>224527.04</v>
      </c>
      <c r="I72" s="184">
        <f t="shared" si="16"/>
        <v>-2256217.44</v>
      </c>
      <c r="J72" s="184">
        <f t="shared" si="16"/>
        <v>-6792507.8399999999</v>
      </c>
      <c r="K72" s="184">
        <f t="shared" si="16"/>
        <v>-10802249.428480001</v>
      </c>
      <c r="L72" s="184">
        <f t="shared" si="16"/>
        <v>-13415620.802771457</v>
      </c>
      <c r="M72" s="184">
        <f t="shared" si="16"/>
        <v>-14095109.761724204</v>
      </c>
      <c r="N72" s="184">
        <f t="shared" si="16"/>
        <v>-14605423.002489356</v>
      </c>
      <c r="O72" s="184">
        <f t="shared" si="16"/>
        <v>-16015931.32857109</v>
      </c>
      <c r="P72" s="184">
        <f t="shared" si="16"/>
        <v>-16813815.378029086</v>
      </c>
      <c r="Q72" s="184">
        <f t="shared" si="16"/>
        <v>-17996572.575367492</v>
      </c>
      <c r="R72" s="184">
        <f t="shared" si="16"/>
        <v>-19069323.535813022</v>
      </c>
      <c r="S72" s="184">
        <f t="shared" si="16"/>
        <v>-20006231.999139149</v>
      </c>
      <c r="T72" s="184">
        <f t="shared" si="16"/>
        <v>-21395074.436832946</v>
      </c>
      <c r="U72" s="184">
        <f t="shared" si="16"/>
        <v>-22654742.999659076</v>
      </c>
      <c r="V72" s="184">
        <f t="shared" si="16"/>
        <v>-22992254.176696401</v>
      </c>
      <c r="W72" s="184">
        <f t="shared" si="16"/>
        <v>-25385735.935580194</v>
      </c>
      <c r="X72" s="184">
        <f t="shared" si="16"/>
        <v>-26864890.880837426</v>
      </c>
      <c r="Y72" s="184">
        <f t="shared" si="16"/>
        <v>-28156740.376088984</v>
      </c>
      <c r="Z72" s="184">
        <f t="shared" si="16"/>
        <v>-30071735.781028725</v>
      </c>
      <c r="AA72" s="184">
        <f t="shared" si="16"/>
        <v>-31808620.717785623</v>
      </c>
      <c r="AB72" s="184">
        <f t="shared" si="16"/>
        <v>-33325563.845382877</v>
      </c>
      <c r="AC72" s="184">
        <f t="shared" si="16"/>
        <v>-35574230.682797998</v>
      </c>
      <c r="AD72" s="184">
        <f t="shared" si="16"/>
        <v>-36443331.066617943</v>
      </c>
      <c r="AE72" s="184">
        <f t="shared" si="16"/>
        <v>-39395010.223098807</v>
      </c>
      <c r="AF72" s="184">
        <f t="shared" si="16"/>
        <v>-42035487.862182043</v>
      </c>
      <c r="AG72" s="184">
        <f t="shared" si="16"/>
        <v>-44634906.203402378</v>
      </c>
      <c r="AH72" s="184">
        <f>-AH71*$B$36</f>
        <v>-47675327.843156733</v>
      </c>
      <c r="AI72" s="184">
        <f>-AI71*$B$36</f>
        <v>-50775885.936730586</v>
      </c>
      <c r="AJ72" s="184">
        <f>-AJ71*$B$36</f>
        <v>-53588066.391251087</v>
      </c>
      <c r="AK72" s="285"/>
      <c r="AL72"/>
      <c r="AM72"/>
      <c r="AN72"/>
    </row>
    <row r="73" spans="1:40" s="224" customFormat="1" ht="15.75" thickBot="1" x14ac:dyDescent="0.3">
      <c r="A73" s="231" t="s">
        <v>261</v>
      </c>
      <c r="B73" s="189">
        <f t="shared" ref="B73:AG73" si="17">B71+B72</f>
        <v>5524287.96</v>
      </c>
      <c r="C73" s="189">
        <f t="shared" si="17"/>
        <v>1934255.9599999997</v>
      </c>
      <c r="D73" s="189">
        <f t="shared" si="17"/>
        <v>0</v>
      </c>
      <c r="E73" s="189">
        <f t="shared" si="17"/>
        <v>0</v>
      </c>
      <c r="F73" s="189">
        <f t="shared" si="17"/>
        <v>0</v>
      </c>
      <c r="G73" s="189">
        <f t="shared" si="17"/>
        <v>0</v>
      </c>
      <c r="H73" s="189">
        <f t="shared" si="17"/>
        <v>-898108.15999999992</v>
      </c>
      <c r="I73" s="189">
        <f t="shared" si="17"/>
        <v>9024869.7599999998</v>
      </c>
      <c r="J73" s="189">
        <f t="shared" si="17"/>
        <v>27170031.359999996</v>
      </c>
      <c r="K73" s="189">
        <f t="shared" si="17"/>
        <v>43208997.713920005</v>
      </c>
      <c r="L73" s="189">
        <f t="shared" si="17"/>
        <v>53662483.211085826</v>
      </c>
      <c r="M73" s="189">
        <f t="shared" si="17"/>
        <v>56380439.046896815</v>
      </c>
      <c r="N73" s="189">
        <f t="shared" si="17"/>
        <v>58421692.009957418</v>
      </c>
      <c r="O73" s="189">
        <f t="shared" si="17"/>
        <v>64063725.314284362</v>
      </c>
      <c r="P73" s="189">
        <f t="shared" si="17"/>
        <v>67255261.512116343</v>
      </c>
      <c r="Q73" s="189">
        <f t="shared" si="17"/>
        <v>71986290.301469967</v>
      </c>
      <c r="R73" s="189">
        <f t="shared" si="17"/>
        <v>76277294.14325209</v>
      </c>
      <c r="S73" s="189">
        <f t="shared" si="17"/>
        <v>80024927.996556595</v>
      </c>
      <c r="T73" s="189">
        <f t="shared" si="17"/>
        <v>85580297.747331768</v>
      </c>
      <c r="U73" s="189">
        <f t="shared" si="17"/>
        <v>90618971.99863629</v>
      </c>
      <c r="V73" s="189">
        <f t="shared" si="17"/>
        <v>91969016.706785589</v>
      </c>
      <c r="W73" s="189">
        <f t="shared" si="17"/>
        <v>101542943.74232078</v>
      </c>
      <c r="X73" s="189">
        <f t="shared" si="17"/>
        <v>107459563.52334969</v>
      </c>
      <c r="Y73" s="189">
        <f t="shared" si="17"/>
        <v>112626961.50435594</v>
      </c>
      <c r="Z73" s="189">
        <f t="shared" si="17"/>
        <v>120286943.1241149</v>
      </c>
      <c r="AA73" s="189">
        <f t="shared" si="17"/>
        <v>127234482.87114248</v>
      </c>
      <c r="AB73" s="189">
        <f t="shared" si="17"/>
        <v>133302255.38153151</v>
      </c>
      <c r="AC73" s="189">
        <f t="shared" si="17"/>
        <v>142296922.73119199</v>
      </c>
      <c r="AD73" s="189">
        <f t="shared" si="17"/>
        <v>145773324.26647177</v>
      </c>
      <c r="AE73" s="189">
        <f t="shared" si="17"/>
        <v>157580040.8923952</v>
      </c>
      <c r="AF73" s="189">
        <f t="shared" si="17"/>
        <v>168141951.44872814</v>
      </c>
      <c r="AG73" s="189">
        <f t="shared" si="17"/>
        <v>178539624.81360951</v>
      </c>
      <c r="AH73" s="189">
        <f>AH71+AH72</f>
        <v>190701311.37262693</v>
      </c>
      <c r="AI73" s="189">
        <f>AI71+AI72</f>
        <v>203103543.74692231</v>
      </c>
      <c r="AJ73" s="189">
        <f>AJ71+AJ72</f>
        <v>214352265.56500432</v>
      </c>
      <c r="AK73" s="285"/>
      <c r="AL73"/>
      <c r="AM73"/>
      <c r="AN73"/>
    </row>
    <row r="74" spans="1:40" s="224" customFormat="1" ht="16.5" thickBot="1" x14ac:dyDescent="0.3">
      <c r="A74" s="225"/>
      <c r="B74" s="232"/>
      <c r="C74" s="232"/>
      <c r="D74" s="232"/>
      <c r="E74" s="232"/>
      <c r="F74" s="232"/>
      <c r="G74" s="232"/>
      <c r="H74" s="232"/>
      <c r="I74" s="233"/>
      <c r="J74" s="233">
        <v>0.5</v>
      </c>
      <c r="K74" s="233">
        <v>1.5</v>
      </c>
      <c r="L74" s="233">
        <v>2.5</v>
      </c>
      <c r="M74" s="233">
        <v>3.5</v>
      </c>
      <c r="N74" s="233">
        <v>4.5</v>
      </c>
      <c r="O74" s="233">
        <v>5.5</v>
      </c>
      <c r="P74" s="233">
        <v>6.5</v>
      </c>
      <c r="Q74" s="233">
        <v>7.5</v>
      </c>
      <c r="R74" s="233">
        <v>8.5</v>
      </c>
      <c r="S74" s="233">
        <v>9.5</v>
      </c>
      <c r="T74" s="233">
        <v>10.5</v>
      </c>
      <c r="U74" s="233">
        <v>11.5</v>
      </c>
      <c r="V74" s="233">
        <v>12.5</v>
      </c>
      <c r="W74" s="233">
        <v>13.5</v>
      </c>
      <c r="X74" s="233">
        <v>14.5</v>
      </c>
      <c r="Y74" s="233">
        <v>15.5</v>
      </c>
      <c r="Z74" s="233">
        <v>16.5</v>
      </c>
      <c r="AA74" s="233">
        <v>17.5</v>
      </c>
      <c r="AB74" s="233">
        <v>18.5</v>
      </c>
      <c r="AC74" s="233">
        <v>19.5</v>
      </c>
      <c r="AD74" s="233">
        <v>20.5</v>
      </c>
      <c r="AE74" s="233">
        <v>21.5</v>
      </c>
      <c r="AF74" s="233">
        <v>22.5</v>
      </c>
      <c r="AG74" s="233">
        <v>23.5</v>
      </c>
      <c r="AH74" s="233">
        <v>24.5</v>
      </c>
      <c r="AI74" s="233">
        <v>25.5</v>
      </c>
      <c r="AJ74" s="233">
        <v>26.5</v>
      </c>
      <c r="AK74" s="285"/>
      <c r="AL74"/>
      <c r="AM74"/>
      <c r="AN74"/>
    </row>
    <row r="75" spans="1:40" s="224" customFormat="1" ht="15.75" x14ac:dyDescent="0.25">
      <c r="A75" s="223" t="s">
        <v>260</v>
      </c>
      <c r="B75" s="183">
        <f>B58</f>
        <v>1</v>
      </c>
      <c r="C75" s="183">
        <f t="shared" ref="C75:AG75" si="18">C58</f>
        <v>2</v>
      </c>
      <c r="D75" s="183">
        <f t="shared" si="18"/>
        <v>3</v>
      </c>
      <c r="E75" s="183">
        <f t="shared" si="18"/>
        <v>4</v>
      </c>
      <c r="F75" s="183">
        <f t="shared" si="18"/>
        <v>5</v>
      </c>
      <c r="G75" s="183">
        <f t="shared" si="18"/>
        <v>6</v>
      </c>
      <c r="H75" s="183">
        <f t="shared" si="18"/>
        <v>7</v>
      </c>
      <c r="I75" s="183">
        <f t="shared" si="18"/>
        <v>8</v>
      </c>
      <c r="J75" s="183">
        <f t="shared" si="18"/>
        <v>9</v>
      </c>
      <c r="K75" s="183">
        <f t="shared" si="18"/>
        <v>10</v>
      </c>
      <c r="L75" s="183">
        <f t="shared" si="18"/>
        <v>11</v>
      </c>
      <c r="M75" s="183">
        <f t="shared" si="18"/>
        <v>12</v>
      </c>
      <c r="N75" s="183">
        <f t="shared" si="18"/>
        <v>13</v>
      </c>
      <c r="O75" s="183">
        <f t="shared" si="18"/>
        <v>14</v>
      </c>
      <c r="P75" s="183">
        <f t="shared" si="18"/>
        <v>15</v>
      </c>
      <c r="Q75" s="183">
        <f t="shared" si="18"/>
        <v>16</v>
      </c>
      <c r="R75" s="183">
        <f t="shared" si="18"/>
        <v>17</v>
      </c>
      <c r="S75" s="183">
        <f t="shared" si="18"/>
        <v>18</v>
      </c>
      <c r="T75" s="183">
        <f t="shared" si="18"/>
        <v>19</v>
      </c>
      <c r="U75" s="183">
        <f t="shared" si="18"/>
        <v>20</v>
      </c>
      <c r="V75" s="183">
        <f t="shared" si="18"/>
        <v>21</v>
      </c>
      <c r="W75" s="183">
        <f t="shared" si="18"/>
        <v>22</v>
      </c>
      <c r="X75" s="183">
        <f t="shared" si="18"/>
        <v>23</v>
      </c>
      <c r="Y75" s="183">
        <f t="shared" si="18"/>
        <v>24</v>
      </c>
      <c r="Z75" s="183">
        <f t="shared" si="18"/>
        <v>25</v>
      </c>
      <c r="AA75" s="183">
        <f t="shared" si="18"/>
        <v>26</v>
      </c>
      <c r="AB75" s="183">
        <f t="shared" si="18"/>
        <v>27</v>
      </c>
      <c r="AC75" s="183">
        <f t="shared" si="18"/>
        <v>28</v>
      </c>
      <c r="AD75" s="183">
        <f t="shared" si="18"/>
        <v>29</v>
      </c>
      <c r="AE75" s="183">
        <f t="shared" si="18"/>
        <v>30</v>
      </c>
      <c r="AF75" s="183">
        <f t="shared" si="18"/>
        <v>31</v>
      </c>
      <c r="AG75" s="183">
        <f t="shared" si="18"/>
        <v>32</v>
      </c>
      <c r="AH75" s="183">
        <f>AH58</f>
        <v>33</v>
      </c>
      <c r="AI75" s="183">
        <f>AI58</f>
        <v>34</v>
      </c>
      <c r="AJ75" s="183">
        <f>AJ58</f>
        <v>35</v>
      </c>
      <c r="AK75" s="285"/>
      <c r="AL75"/>
      <c r="AM75"/>
      <c r="AN75"/>
    </row>
    <row r="76" spans="1:40" s="224" customFormat="1" x14ac:dyDescent="0.25">
      <c r="A76" s="228" t="s">
        <v>470</v>
      </c>
      <c r="B76" s="186">
        <f t="shared" ref="B76:AG76" si="19">B69</f>
        <v>6905359.9500000002</v>
      </c>
      <c r="C76" s="186">
        <f t="shared" si="19"/>
        <v>2417819.9499999997</v>
      </c>
      <c r="D76" s="186">
        <f t="shared" si="19"/>
        <v>0</v>
      </c>
      <c r="E76" s="186">
        <f t="shared" si="19"/>
        <v>0</v>
      </c>
      <c r="F76" s="186">
        <f t="shared" si="19"/>
        <v>0</v>
      </c>
      <c r="G76" s="186">
        <f t="shared" si="19"/>
        <v>0</v>
      </c>
      <c r="H76" s="186">
        <f t="shared" si="19"/>
        <v>-1122635.2</v>
      </c>
      <c r="I76" s="186">
        <f t="shared" si="19"/>
        <v>11281087.199999999</v>
      </c>
      <c r="J76" s="186">
        <f t="shared" si="19"/>
        <v>33962539.199999996</v>
      </c>
      <c r="K76" s="186">
        <f t="shared" si="19"/>
        <v>54011247.142400004</v>
      </c>
      <c r="L76" s="186">
        <f t="shared" si="19"/>
        <v>67078104.013857283</v>
      </c>
      <c r="M76" s="186">
        <f t="shared" si="19"/>
        <v>70475548.808621019</v>
      </c>
      <c r="N76" s="186">
        <f t="shared" si="19"/>
        <v>73027115.012446776</v>
      </c>
      <c r="O76" s="186">
        <f t="shared" si="19"/>
        <v>80079656.642855451</v>
      </c>
      <c r="P76" s="186">
        <f t="shared" si="19"/>
        <v>84069076.890145421</v>
      </c>
      <c r="Q76" s="186">
        <f t="shared" si="19"/>
        <v>89982862.876837462</v>
      </c>
      <c r="R76" s="186">
        <f t="shared" si="19"/>
        <v>95346617.679065108</v>
      </c>
      <c r="S76" s="186">
        <f t="shared" si="19"/>
        <v>100031159.99569574</v>
      </c>
      <c r="T76" s="186">
        <f t="shared" si="19"/>
        <v>106975372.18416472</v>
      </c>
      <c r="U76" s="186">
        <f t="shared" si="19"/>
        <v>113273714.99829537</v>
      </c>
      <c r="V76" s="186">
        <f t="shared" si="19"/>
        <v>114961270.88348199</v>
      </c>
      <c r="W76" s="186">
        <f t="shared" si="19"/>
        <v>126928679.67790097</v>
      </c>
      <c r="X76" s="186">
        <f t="shared" si="19"/>
        <v>134324454.40418711</v>
      </c>
      <c r="Y76" s="186">
        <f t="shared" si="19"/>
        <v>140783701.88044491</v>
      </c>
      <c r="Z76" s="186">
        <f t="shared" si="19"/>
        <v>150358678.90514362</v>
      </c>
      <c r="AA76" s="186">
        <f t="shared" si="19"/>
        <v>159043103.5889281</v>
      </c>
      <c r="AB76" s="186">
        <f t="shared" si="19"/>
        <v>166627819.22691438</v>
      </c>
      <c r="AC76" s="186">
        <f t="shared" si="19"/>
        <v>177871153.41398999</v>
      </c>
      <c r="AD76" s="186">
        <f t="shared" si="19"/>
        <v>182216655.33308971</v>
      </c>
      <c r="AE76" s="186">
        <f t="shared" si="19"/>
        <v>196975051.11549401</v>
      </c>
      <c r="AF76" s="186">
        <f t="shared" si="19"/>
        <v>210177439.3109102</v>
      </c>
      <c r="AG76" s="186">
        <f t="shared" si="19"/>
        <v>223174531.01701188</v>
      </c>
      <c r="AH76" s="186">
        <f>AH69</f>
        <v>238376639.21578366</v>
      </c>
      <c r="AI76" s="186">
        <f>AI69</f>
        <v>253879429.68365291</v>
      </c>
      <c r="AJ76" s="186">
        <f>AJ69</f>
        <v>267940331.95625541</v>
      </c>
      <c r="AK76" s="285"/>
      <c r="AL76"/>
      <c r="AM76"/>
      <c r="AN76"/>
    </row>
    <row r="77" spans="1:40" s="224" customFormat="1" ht="15.75" x14ac:dyDescent="0.25">
      <c r="A77" s="229" t="s">
        <v>259</v>
      </c>
      <c r="B77" s="184">
        <f t="shared" ref="B77:AG77" si="20">-B68</f>
        <v>0</v>
      </c>
      <c r="C77" s="184">
        <f t="shared" si="20"/>
        <v>0</v>
      </c>
      <c r="D77" s="184">
        <f t="shared" si="20"/>
        <v>0</v>
      </c>
      <c r="E77" s="184">
        <f t="shared" si="20"/>
        <v>0</v>
      </c>
      <c r="F77" s="184">
        <f t="shared" si="20"/>
        <v>0</v>
      </c>
      <c r="G77" s="184">
        <f t="shared" si="20"/>
        <v>0</v>
      </c>
      <c r="H77" s="184">
        <f t="shared" si="20"/>
        <v>1022635.2</v>
      </c>
      <c r="I77" s="184">
        <f t="shared" si="20"/>
        <v>5766612.7999999998</v>
      </c>
      <c r="J77" s="184">
        <f t="shared" si="20"/>
        <v>5766612.7999999998</v>
      </c>
      <c r="K77" s="184">
        <f t="shared" si="20"/>
        <v>5766612.7999999998</v>
      </c>
      <c r="L77" s="184">
        <f t="shared" si="20"/>
        <v>7539951.7091199998</v>
      </c>
      <c r="M77" s="184">
        <f t="shared" si="20"/>
        <v>7539951.7091199998</v>
      </c>
      <c r="N77" s="184">
        <f t="shared" si="20"/>
        <v>7539951.7091199998</v>
      </c>
      <c r="O77" s="184">
        <f t="shared" si="20"/>
        <v>7539951.7091199998</v>
      </c>
      <c r="P77" s="184">
        <f t="shared" si="20"/>
        <v>7539951.7091199998</v>
      </c>
      <c r="Q77" s="184">
        <f t="shared" si="20"/>
        <v>7539951.7091199998</v>
      </c>
      <c r="R77" s="184">
        <f t="shared" si="20"/>
        <v>7539951.7091199998</v>
      </c>
      <c r="S77" s="184">
        <f t="shared" si="20"/>
        <v>7539951.7091199998</v>
      </c>
      <c r="T77" s="184">
        <f t="shared" si="20"/>
        <v>7539951.7091199998</v>
      </c>
      <c r="U77" s="184">
        <f t="shared" si="20"/>
        <v>7539951.7091199998</v>
      </c>
      <c r="V77" s="184">
        <f t="shared" si="20"/>
        <v>7539951.7091199998</v>
      </c>
      <c r="W77" s="184">
        <f t="shared" si="20"/>
        <v>7539951.7091199998</v>
      </c>
      <c r="X77" s="184">
        <f t="shared" si="20"/>
        <v>7539951.7091199998</v>
      </c>
      <c r="Y77" s="184">
        <f t="shared" si="20"/>
        <v>7539951.7091199998</v>
      </c>
      <c r="Z77" s="184">
        <f t="shared" si="20"/>
        <v>7539951.7091199998</v>
      </c>
      <c r="AA77" s="184">
        <f t="shared" si="20"/>
        <v>7539951.7091199998</v>
      </c>
      <c r="AB77" s="184">
        <f t="shared" si="20"/>
        <v>7539951.7091199998</v>
      </c>
      <c r="AC77" s="184">
        <f t="shared" si="20"/>
        <v>7539951.7091199998</v>
      </c>
      <c r="AD77" s="184">
        <f t="shared" si="20"/>
        <v>7539951.7091199998</v>
      </c>
      <c r="AE77" s="184">
        <f t="shared" si="20"/>
        <v>7539951.7091199998</v>
      </c>
      <c r="AF77" s="184">
        <f t="shared" si="20"/>
        <v>7539951.7091199998</v>
      </c>
      <c r="AG77" s="184">
        <f t="shared" si="20"/>
        <v>6517316.5091199996</v>
      </c>
      <c r="AH77" s="184">
        <f>-AH68</f>
        <v>1773338.90912</v>
      </c>
      <c r="AI77" s="184">
        <f>-AI68</f>
        <v>1773338.90912</v>
      </c>
      <c r="AJ77" s="184">
        <f>-AJ68</f>
        <v>1773338.90912</v>
      </c>
      <c r="AK77" s="285"/>
      <c r="AL77"/>
      <c r="AM77"/>
      <c r="AN77"/>
    </row>
    <row r="78" spans="1:40" s="224" customFormat="1" ht="15.75" x14ac:dyDescent="0.25">
      <c r="A78" s="229" t="s">
        <v>258</v>
      </c>
      <c r="B78" s="184">
        <f t="shared" ref="B78:AG78" si="21">B70</f>
        <v>0</v>
      </c>
      <c r="C78" s="184">
        <f t="shared" si="21"/>
        <v>0</v>
      </c>
      <c r="D78" s="184">
        <f t="shared" si="21"/>
        <v>0</v>
      </c>
      <c r="E78" s="184">
        <f t="shared" si="21"/>
        <v>0</v>
      </c>
      <c r="F78" s="184">
        <f t="shared" si="21"/>
        <v>0</v>
      </c>
      <c r="G78" s="184">
        <f t="shared" si="21"/>
        <v>0</v>
      </c>
      <c r="H78" s="184">
        <f t="shared" si="21"/>
        <v>0</v>
      </c>
      <c r="I78" s="184">
        <f t="shared" si="21"/>
        <v>0</v>
      </c>
      <c r="J78" s="184">
        <f t="shared" si="21"/>
        <v>0</v>
      </c>
      <c r="K78" s="184">
        <f t="shared" si="21"/>
        <v>0</v>
      </c>
      <c r="L78" s="184">
        <f t="shared" si="21"/>
        <v>0</v>
      </c>
      <c r="M78" s="184">
        <f t="shared" si="21"/>
        <v>0</v>
      </c>
      <c r="N78" s="184">
        <f t="shared" si="21"/>
        <v>0</v>
      </c>
      <c r="O78" s="184">
        <f t="shared" si="21"/>
        <v>0</v>
      </c>
      <c r="P78" s="184">
        <f t="shared" si="21"/>
        <v>0</v>
      </c>
      <c r="Q78" s="184">
        <f t="shared" si="21"/>
        <v>0</v>
      </c>
      <c r="R78" s="184">
        <f t="shared" si="21"/>
        <v>0</v>
      </c>
      <c r="S78" s="184">
        <f t="shared" si="21"/>
        <v>0</v>
      </c>
      <c r="T78" s="184">
        <f t="shared" si="21"/>
        <v>0</v>
      </c>
      <c r="U78" s="184">
        <f t="shared" si="21"/>
        <v>0</v>
      </c>
      <c r="V78" s="184">
        <f t="shared" si="21"/>
        <v>0</v>
      </c>
      <c r="W78" s="184">
        <f t="shared" si="21"/>
        <v>0</v>
      </c>
      <c r="X78" s="184">
        <f t="shared" si="21"/>
        <v>0</v>
      </c>
      <c r="Y78" s="184">
        <f t="shared" si="21"/>
        <v>0</v>
      </c>
      <c r="Z78" s="184">
        <f t="shared" si="21"/>
        <v>0</v>
      </c>
      <c r="AA78" s="184">
        <f t="shared" si="21"/>
        <v>0</v>
      </c>
      <c r="AB78" s="184">
        <f t="shared" si="21"/>
        <v>0</v>
      </c>
      <c r="AC78" s="184">
        <f t="shared" si="21"/>
        <v>0</v>
      </c>
      <c r="AD78" s="184">
        <f t="shared" si="21"/>
        <v>0</v>
      </c>
      <c r="AE78" s="184">
        <f t="shared" si="21"/>
        <v>0</v>
      </c>
      <c r="AF78" s="184">
        <f t="shared" si="21"/>
        <v>0</v>
      </c>
      <c r="AG78" s="184">
        <f t="shared" si="21"/>
        <v>0</v>
      </c>
      <c r="AH78" s="184">
        <f>AH70</f>
        <v>0</v>
      </c>
      <c r="AI78" s="184">
        <f>AI70</f>
        <v>0</v>
      </c>
      <c r="AJ78" s="184">
        <f>AJ70</f>
        <v>0</v>
      </c>
      <c r="AK78" s="285"/>
      <c r="AL78"/>
      <c r="AM78"/>
      <c r="AN78"/>
    </row>
    <row r="79" spans="1:40" s="224" customFormat="1" ht="15.75" x14ac:dyDescent="0.25">
      <c r="A79" s="229" t="s">
        <v>257</v>
      </c>
      <c r="B79" s="184">
        <f>IF(SUM($B$72:B72)+SUM($A$79:A79)&gt;0,0,SUM($B$72:B72)-SUM($A$79:A79))</f>
        <v>-1381071.9900000002</v>
      </c>
      <c r="C79" s="184">
        <f>IF(SUM($B$72:C72)+SUM($A$79:B79)&gt;0,0,SUM($B$72:C72)-SUM($A$79:B79))</f>
        <v>-483563.99</v>
      </c>
      <c r="D79" s="184">
        <f>IF(SUM($B$72:D72)+SUM($A$79:C79)&gt;0,0,SUM($B$72:D72)-SUM($A$79:C79))</f>
        <v>0</v>
      </c>
      <c r="E79" s="184">
        <f>IF(SUM($B$72:E72)+SUM($A$79:D79)&gt;0,0,SUM($B$72:E72)-SUM($A$79:D79))</f>
        <v>0</v>
      </c>
      <c r="F79" s="184">
        <f>IF(SUM($B$72:F72)+SUM($A$79:E79)&gt;0,0,SUM($B$72:F72)-SUM($A$79:E79))</f>
        <v>0</v>
      </c>
      <c r="G79" s="184">
        <f>IF(SUM($B$72:G72)+SUM($A$79:F79)&gt;0,0,SUM($B$72:G72)-SUM($A$79:F79))</f>
        <v>0</v>
      </c>
      <c r="H79" s="184">
        <f>IF(SUM($B$72:H72)+SUM($A$79:G79)&gt;0,0,SUM($B$72:H72)-SUM($A$79:G79))</f>
        <v>224527.04000000004</v>
      </c>
      <c r="I79" s="184">
        <f>IF(SUM($B$72:I72)+SUM($A$79:H79)&gt;0,0,SUM($B$72:I72)-SUM($A$79:H79))</f>
        <v>-2256217.4399999995</v>
      </c>
      <c r="J79" s="184">
        <f>IF(SUM($B$72:J72)+SUM($A$79:I79)&gt;0,0,SUM($B$72:J72)-SUM($A$79:I79))</f>
        <v>-6792507.8399999989</v>
      </c>
      <c r="K79" s="184">
        <f>IF(SUM($B$72:K72)+SUM($A$79:J79)&gt;0,0,SUM($B$72:K72)-SUM($A$79:J79))</f>
        <v>-10802249.428479999</v>
      </c>
      <c r="L79" s="184">
        <f>IF(SUM($B$72:L72)+SUM($A$79:K79)&gt;0,0,SUM($B$72:L72)-SUM($A$79:K79))</f>
        <v>-13415620.802771457</v>
      </c>
      <c r="M79" s="184">
        <f>IF(SUM($B$72:M72)+SUM($A$79:L79)&gt;0,0,SUM($B$72:M72)-SUM($A$79:L79))</f>
        <v>-14095109.761724204</v>
      </c>
      <c r="N79" s="184">
        <f>IF(SUM($B$72:N72)+SUM($A$79:M79)&gt;0,0,SUM($B$72:N72)-SUM($A$79:M79))</f>
        <v>-14605423.002489358</v>
      </c>
      <c r="O79" s="184">
        <f>IF(SUM($B$72:O72)+SUM($A$79:N79)&gt;0,0,SUM($B$72:O72)-SUM($A$79:N79))</f>
        <v>-16015931.328571089</v>
      </c>
      <c r="P79" s="184">
        <f>IF(SUM($B$72:P72)+SUM($A$79:O79)&gt;0,0,SUM($B$72:P72)-SUM($A$79:O79))</f>
        <v>-16813815.378029093</v>
      </c>
      <c r="Q79" s="184">
        <f>IF(SUM($B$72:Q72)+SUM($A$79:P79)&gt;0,0,SUM($B$72:Q72)-SUM($A$79:P79))</f>
        <v>-17996572.575367495</v>
      </c>
      <c r="R79" s="184">
        <f>IF(SUM($B$72:R72)+SUM($A$79:Q79)&gt;0,0,SUM($B$72:R72)-SUM($A$79:Q79))</f>
        <v>-19069323.535813019</v>
      </c>
      <c r="S79" s="184">
        <f>IF(SUM($B$72:S72)+SUM($A$79:R79)&gt;0,0,SUM($B$72:S72)-SUM($A$79:R79))</f>
        <v>-20006231.99913916</v>
      </c>
      <c r="T79" s="184">
        <f>IF(SUM($B$72:T72)+SUM($A$79:S79)&gt;0,0,SUM($B$72:T72)-SUM($A$79:S79))</f>
        <v>-21395074.436832935</v>
      </c>
      <c r="U79" s="184">
        <f>IF(SUM($B$72:U72)+SUM($A$79:T79)&gt;0,0,SUM($B$72:U72)-SUM($A$79:T79))</f>
        <v>-22654742.999659091</v>
      </c>
      <c r="V79" s="184">
        <f>IF(SUM($B$72:V72)+SUM($A$79:U79)&gt;0,0,SUM($B$72:V72)-SUM($A$79:U79))</f>
        <v>-22992254.17669639</v>
      </c>
      <c r="W79" s="184">
        <f>IF(SUM($B$72:W72)+SUM($A$79:V79)&gt;0,0,SUM($B$72:W72)-SUM($A$79:V79))</f>
        <v>-25385735.935580194</v>
      </c>
      <c r="X79" s="184">
        <f>IF(SUM($B$72:X72)+SUM($A$79:W79)&gt;0,0,SUM($B$72:X72)-SUM($A$79:W79))</f>
        <v>-26864890.880837411</v>
      </c>
      <c r="Y79" s="184">
        <f>IF(SUM($B$72:Y72)+SUM($A$79:X79)&gt;0,0,SUM($B$72:Y72)-SUM($A$79:X79))</f>
        <v>-28156740.376088977</v>
      </c>
      <c r="Z79" s="184">
        <f>IF(SUM($B$72:Z72)+SUM($A$79:Y79)&gt;0,0,SUM($B$72:Z72)-SUM($A$79:Y79))</f>
        <v>-30071735.781028748</v>
      </c>
      <c r="AA79" s="184">
        <f>IF(SUM($B$72:AA72)+SUM($A$79:Z79)&gt;0,0,SUM($B$72:AA72)-SUM($A$79:Z79))</f>
        <v>-31808620.717785597</v>
      </c>
      <c r="AB79" s="184">
        <f>IF(SUM($B$72:AB72)+SUM($A$79:AA79)&gt;0,0,SUM($B$72:AB72)-SUM($A$79:AA79))</f>
        <v>-33325563.845382869</v>
      </c>
      <c r="AC79" s="184">
        <f>IF(SUM($B$72:AC72)+SUM($A$79:AB79)&gt;0,0,SUM($B$72:AC72)-SUM($A$79:AB79))</f>
        <v>-35574230.682798028</v>
      </c>
      <c r="AD79" s="184">
        <f>IF(SUM($B$72:AD72)+SUM($A$79:AC79)&gt;0,0,SUM($B$72:AD72)-SUM($A$79:AC79))</f>
        <v>-36443331.066617966</v>
      </c>
      <c r="AE79" s="184">
        <f>IF(SUM($B$72:AE72)+SUM($A$79:AD79)&gt;0,0,SUM($B$72:AE72)-SUM($A$79:AD79))</f>
        <v>-39395010.223098814</v>
      </c>
      <c r="AF79" s="184">
        <f>IF(SUM($B$72:AF72)+SUM($A$79:AE79)&gt;0,0,SUM($B$72:AF72)-SUM($A$79:AE79))</f>
        <v>-42035487.862182081</v>
      </c>
      <c r="AG79" s="184">
        <f>IF(SUM($B$72:AG72)+SUM($A$79:AF79)&gt;0,0,SUM($B$72:AG72)-SUM($A$79:AF79))</f>
        <v>-44634906.2034024</v>
      </c>
      <c r="AH79" s="184">
        <f>IF(SUM($B$72:AH72)+SUM($A$79:AG79)&gt;0,0,SUM($B$72:AH72)-SUM($A$79:AG79))</f>
        <v>-47675327.843156695</v>
      </c>
      <c r="AI79" s="184">
        <f>IF(SUM($B$72:AI72)+SUM($A$79:AH79)&gt;0,0,SUM($B$72:AI72)-SUM($A$79:AH79))</f>
        <v>-50775885.936730623</v>
      </c>
      <c r="AJ79" s="184">
        <f>IF(SUM($B$72:AJ72)+SUM($A$79:AI79)&gt;0,0,SUM($B$72:AJ72)-SUM($A$79:AI79))</f>
        <v>-53588066.391251087</v>
      </c>
      <c r="AK79" s="285"/>
      <c r="AL79"/>
      <c r="AM79"/>
      <c r="AN79"/>
    </row>
    <row r="80" spans="1:40" s="224" customFormat="1" ht="15.75" x14ac:dyDescent="0.25">
      <c r="A80" s="229" t="s">
        <v>256</v>
      </c>
      <c r="B80" s="184">
        <f>IF(((SUM($B$59:B59)+SUM($B$61:B65))+SUM($B$82:B82))&lt;0,((SUM($B$59:B59)+SUM($B$61:B65))+SUM($B$82:B82))*0.18-SUM($A$80:A80),IF(SUM(A$80:$B80)&lt;0,0-SUM(A$80:$B80),0))</f>
        <v>-8.9999999664723863E-3</v>
      </c>
      <c r="C80" s="184">
        <f>IF(((SUM($B$59:C59)+SUM($B$61:C65))+SUM($B$82:C82))&lt;0,((SUM($B$59:C59)+SUM($B$61:C65))+SUM($B$82:C82))*0.18-SUM($A$80:B80),IF(SUM($B$80:B80)&lt;0,0-SUM($B$80:B80),0))</f>
        <v>-8.9999999664723863E-3</v>
      </c>
      <c r="D80" s="184">
        <f>IF(((SUM($B$59:D59)+SUM($B$61:D65))+SUM($B$82:D82))&lt;0,((SUM($B$59:D59)+SUM($B$61:D65))+SUM($B$82:D82))*0.18-SUM($A$80:C80),IF(SUM($B$80:C80)&lt;0,0-SUM($B$80:C80),0))</f>
        <v>0</v>
      </c>
      <c r="E80" s="184">
        <f>IF(((SUM($B$59:E59)+SUM($B$61:E65))+SUM($B$82:E82))&lt;0,((SUM($B$59:E59)+SUM($B$61:E65))+SUM($B$82:E82))*0.18-SUM($A$80:D80),IF(SUM($B$80:D80)&lt;0,0-SUM($B$80:D80),0))</f>
        <v>0</v>
      </c>
      <c r="F80" s="184">
        <f>IF(((SUM($B$59:F59)+SUM($B$61:F65))+SUM($B$82:F82))&lt;0,((SUM($B$59:F59)+SUM($B$61:F65))+SUM($B$82:F82))*0.18-SUM($A$80:E80),IF(SUM($B$80:E80)&lt;0,0-SUM($B$80:E80),0))</f>
        <v>0</v>
      </c>
      <c r="G80" s="184">
        <f>IF(((SUM($B$59:G59)+SUM($B$61:G65))+SUM($B$82:G82))&lt;0,((SUM($B$59:G59)+SUM($B$61:G65))+SUM($B$82:G82))*0.18-SUM($A$80:F80),IF(SUM($B$80:F80)&lt;0,0-SUM($B$80:F80),0))</f>
        <v>-4587480</v>
      </c>
      <c r="H80" s="184">
        <f>IF(((SUM($B$59:H59)+SUM($B$61:H65))+SUM($B$82:H82))&lt;0,((SUM($B$59:H59)+SUM($B$61:H65))+SUM($B$82:H82))*0.18-SUM($A$80:G80),IF(SUM($B$80:G80)&lt;0,0-SUM($B$80:G80),0))</f>
        <v>-18735660</v>
      </c>
      <c r="I80" s="184">
        <f>IF(((SUM($B$59:I59)+SUM($B$61:I65))+SUM($B$82:I82))&lt;0,((SUM($B$59:I59)+SUM($B$61:I65))+SUM($B$82:I82))*0.18-SUM($A$80:H80),IF(SUM($B$80:H80)&lt;0,0-SUM($B$80:H80),0))</f>
        <v>1261010.4792480022</v>
      </c>
      <c r="J80" s="184">
        <f>IF(((SUM($B$59:J59)+SUM($B$61:J65))+SUM($B$82:J82))&lt;0,((SUM($B$59:J59)+SUM($B$61:J65))+SUM($B$82:J82))*0.18-SUM($A$80:I80),IF(SUM($B$80:I80)&lt;0,0-SUM($B$80:I80),0))</f>
        <v>4727249.470385693</v>
      </c>
      <c r="K80" s="184">
        <f>IF(((SUM($B$59:K59)+SUM($B$61:K65))+SUM($B$82:K82))&lt;0,((SUM($B$59:K59)+SUM($B$61:K65))+SUM($B$82:K82))*0.18-SUM($A$80:J80),IF(SUM($B$80:J80)&lt;0,0-SUM($B$80:J80),0))</f>
        <v>7768631.6724839769</v>
      </c>
      <c r="L80" s="184">
        <f>IF(((SUM($B$59:L59)+SUM($B$61:L65))+SUM($B$82:L82))&lt;0,((SUM($B$59:L59)+SUM($B$61:L65))+SUM($B$82:L82))*0.18-SUM($A$80:K80),IF(SUM($B$80:K80)&lt;0,0-SUM($B$80:K80),0))</f>
        <v>9566248.3958823271</v>
      </c>
      <c r="M80" s="184">
        <f>IF(((SUM($B$59:M59)+SUM($B$61:M65))+SUM($B$82:M82))&lt;0,((SUM($B$59:M59)+SUM($B$61:M65))+SUM($B$82:M82))*0.18-SUM($A$80:L80),IF(SUM($B$80:L80)&lt;0,0-SUM($B$80:L80),0))</f>
        <v>0</v>
      </c>
      <c r="N80" s="184">
        <f>IF(((SUM($B$59:N59)+SUM($B$61:N65))+SUM($B$82:N82))&lt;0,((SUM($B$59:N59)+SUM($B$61:N65))+SUM($B$82:N82))*0.18-SUM($A$80:M80),IF(SUM($B$80:M80)&lt;0,0-SUM($B$80:M80),0))</f>
        <v>0</v>
      </c>
      <c r="O80" s="184">
        <f>IF(((SUM($B$59:O59)+SUM($B$61:O65))+SUM($B$82:O82))&lt;0,((SUM($B$59:O59)+SUM($B$61:O65))+SUM($B$82:O82))*0.18-SUM($A$80:N80),IF(SUM($B$80:N80)&lt;0,0-SUM($B$80:N80),0))</f>
        <v>0</v>
      </c>
      <c r="P80" s="184">
        <f>IF(((SUM($B$59:P59)+SUM($B$61:P65))+SUM($B$82:P82))&lt;0,((SUM($B$59:P59)+SUM($B$61:P65))+SUM($B$82:P82))*0.18-SUM($A$80:O80),IF(SUM($B$80:O80)&lt;0,0-SUM($B$80:O80),0))</f>
        <v>0</v>
      </c>
      <c r="Q80" s="184">
        <f>IF(((SUM($B$59:Q59)+SUM($B$61:Q65))+SUM($B$82:Q82))&lt;0,((SUM($B$59:Q59)+SUM($B$61:Q65))+SUM($B$82:Q82))*0.18-SUM($A$80:P80),IF(SUM($B$80:P80)&lt;0,0-SUM($B$80:P80),0))</f>
        <v>0</v>
      </c>
      <c r="R80" s="184">
        <f>IF(((SUM($B$59:R59)+SUM($B$61:R65))+SUM($B$82:R82))&lt;0,((SUM($B$59:R59)+SUM($B$61:R65))+SUM($B$82:R82))*0.18-SUM($A$80:Q80),IF(SUM($B$80:Q80)&lt;0,0-SUM($B$80:Q80),0))</f>
        <v>0</v>
      </c>
      <c r="S80" s="184">
        <f>IF(((SUM($B$59:S59)+SUM($B$61:S65))+SUM($B$82:S82))&lt;0,((SUM($B$59:S59)+SUM($B$61:S65))+SUM($B$82:S82))*0.18-SUM($A$80:R80),IF(SUM($B$80:R80)&lt;0,0-SUM($B$80:R80),0))</f>
        <v>0</v>
      </c>
      <c r="T80" s="184">
        <f>IF(((SUM($B$59:T59)+SUM($B$61:T65))+SUM($B$82:T82))&lt;0,((SUM($B$59:T59)+SUM($B$61:T65))+SUM($B$82:T82))*0.18-SUM($A$80:S80),IF(SUM($B$80:S80)&lt;0,0-SUM($B$80:S80),0))</f>
        <v>0</v>
      </c>
      <c r="U80" s="184">
        <f>IF(((SUM($B$59:U59)+SUM($B$61:U65))+SUM($B$82:U82))&lt;0,((SUM($B$59:U59)+SUM($B$61:U65))+SUM($B$82:U82))*0.18-SUM($A$80:T80),IF(SUM($B$80:T80)&lt;0,0-SUM($B$80:T80),0))</f>
        <v>0</v>
      </c>
      <c r="V80" s="184">
        <f>IF(((SUM($B$59:V59)+SUM($B$61:V65))+SUM($B$82:V82))&lt;0,((SUM($B$59:V59)+SUM($B$61:V65))+SUM($B$82:V82))*0.18-SUM($A$80:U80),IF(SUM($B$80:U80)&lt;0,0-SUM($B$80:U80),0))</f>
        <v>0</v>
      </c>
      <c r="W80" s="184">
        <f>IF(((SUM($B$59:W59)+SUM($B$61:W65))+SUM($B$82:W82))&lt;0,((SUM($B$59:W59)+SUM($B$61:W65))+SUM($B$82:W82))*0.18-SUM($A$80:V80),IF(SUM($B$80:V80)&lt;0,0-SUM($B$80:V80),0))</f>
        <v>0</v>
      </c>
      <c r="X80" s="184">
        <f>IF(((SUM($B$59:X59)+SUM($B$61:X65))+SUM($B$82:X82))&lt;0,((SUM($B$59:X59)+SUM($B$61:X65))+SUM($B$82:X82))*0.18-SUM($A$80:W80),IF(SUM($B$80:W80)&lt;0,0-SUM($B$80:W80),0))</f>
        <v>0</v>
      </c>
      <c r="Y80" s="184">
        <f>IF(((SUM($B$59:Y59)+SUM($B$61:Y65))+SUM($B$82:Y82))&lt;0,((SUM($B$59:Y59)+SUM($B$61:Y65))+SUM($B$82:Y82))*0.18-SUM($A$80:X80),IF(SUM($B$80:X80)&lt;0,0-SUM($B$80:X80),0))</f>
        <v>0</v>
      </c>
      <c r="Z80" s="184">
        <f>IF(((SUM($B$59:Z59)+SUM($B$61:Z65))+SUM($B$82:Z82))&lt;0,((SUM($B$59:Z59)+SUM($B$61:Z65))+SUM($B$82:Z82))*0.18-SUM($A$80:Y80),IF(SUM($B$80:Y80)&lt;0,0-SUM($B$80:Y80),0))</f>
        <v>0</v>
      </c>
      <c r="AA80" s="184">
        <f>IF(((SUM($B$59:AA59)+SUM($B$61:AA65))+SUM($B$82:AA82))&lt;0,((SUM($B$59:AA59)+SUM($B$61:AA65))+SUM($B$82:AA82))*0.18-SUM($A$80:Z80),IF(SUM($B$80:Z80)&lt;0,0-SUM($B$80:Z80),0))</f>
        <v>0</v>
      </c>
      <c r="AB80" s="184">
        <f>IF(((SUM($B$59:AB59)+SUM($B$61:AB65))+SUM($B$82:AB82))&lt;0,((SUM($B$59:AB59)+SUM($B$61:AB65))+SUM($B$82:AB82))*0.18-SUM($A$80:AA80),IF(SUM($B$80:AA80)&lt;0,0-SUM($B$80:AA80),0))</f>
        <v>0</v>
      </c>
      <c r="AC80" s="184">
        <f>IF(((SUM($B$59:AC59)+SUM($B$61:AC65))+SUM($B$82:AC82))&lt;0,((SUM($B$59:AC59)+SUM($B$61:AC65))+SUM($B$82:AC82))*0.18-SUM($A$80:AB80),IF(SUM($B$80:AB80)&lt;0,0-SUM($B$80:AB80),0))</f>
        <v>0</v>
      </c>
      <c r="AD80" s="184">
        <f>IF(((SUM($B$59:AD59)+SUM($B$61:AD65))+SUM($B$82:AD82))&lt;0,((SUM($B$59:AD59)+SUM($B$61:AD65))+SUM($B$82:AD82))*0.18-SUM($A$80:AC80),IF(SUM($B$80:AC80)&lt;0,0-SUM($B$80:AC80),0))</f>
        <v>0</v>
      </c>
      <c r="AE80" s="184">
        <f>IF(((SUM($B$59:AE59)+SUM($B$61:AE65))+SUM($B$82:AE82))&lt;0,((SUM($B$59:AE59)+SUM($B$61:AE65))+SUM($B$82:AE82))*0.18-SUM($A$80:AD80),IF(SUM($B$80:AD80)&lt;0,0-SUM($B$80:AD80),0))</f>
        <v>0</v>
      </c>
      <c r="AF80" s="184">
        <f>IF(((SUM($B$59:AF59)+SUM($B$61:AF65))+SUM($B$82:AF82))&lt;0,((SUM($B$59:AF59)+SUM($B$61:AF65))+SUM($B$82:AF82))*0.18-SUM($A$80:AE80),IF(SUM($B$80:AE80)&lt;0,0-SUM($B$80:AE80),0))</f>
        <v>0</v>
      </c>
      <c r="AG80" s="184">
        <f>IF(((SUM($B$59:AG59)+SUM($B$61:AG65))+SUM($B$82:AG82))&lt;0,((SUM($B$59:AG59)+SUM($B$61:AG65))+SUM($B$82:AG82))*0.18-SUM($A$80:AF80),IF(SUM($B$80:AF80)&lt;0,0-SUM($B$80:AF80),0))</f>
        <v>0</v>
      </c>
      <c r="AH80" s="184">
        <f>IF(((SUM($B$59:AH59)+SUM($B$61:AH65))+SUM($B$82:AH82))&lt;0,((SUM($B$59:AH59)+SUM($B$61:AH65))+SUM($B$82:AH82))*0.18-SUM($A$80:AG80),IF(SUM($B$80:AG80)&lt;0,0-SUM($B$80:AG80),0))</f>
        <v>0</v>
      </c>
      <c r="AI80" s="184">
        <f>IF(((SUM($B$59:AI59)+SUM($B$61:AI65))+SUM($B$82:AI82))&lt;0,((SUM($B$59:AI59)+SUM($B$61:AI65))+SUM($B$82:AI82))*0.18-SUM($A$80:AH80),IF(SUM($B$80:AH80)&lt;0,0-SUM($B$80:AH80),0))</f>
        <v>0</v>
      </c>
      <c r="AJ80" s="184">
        <f>IF(((SUM($B$59:AJ59)+SUM($B$61:AJ65))+SUM($B$82:AJ82))&lt;0,((SUM($B$59:AJ59)+SUM($B$61:AJ65))+SUM($B$82:AJ82))*0.18-SUM($A$80:AI80),IF(SUM($B$80:AI80)&lt;0,0-SUM($B$80:AI80),0))</f>
        <v>0</v>
      </c>
      <c r="AK80" s="285"/>
      <c r="AL80"/>
      <c r="AM80"/>
      <c r="AN80"/>
    </row>
    <row r="81" spans="1:40" s="224" customFormat="1" ht="15.75" x14ac:dyDescent="0.25">
      <c r="A81" s="229" t="s">
        <v>255</v>
      </c>
      <c r="B81" s="184">
        <f>-B59*(B39)</f>
        <v>0</v>
      </c>
      <c r="C81" s="184">
        <f>-(C59-B59)*$B$39</f>
        <v>0</v>
      </c>
      <c r="D81" s="184">
        <f t="shared" ref="D81:AG81" si="22">-(D59-C59)*$B$39</f>
        <v>0</v>
      </c>
      <c r="E81" s="184">
        <f t="shared" si="22"/>
        <v>0</v>
      </c>
      <c r="F81" s="184">
        <f t="shared" si="22"/>
        <v>0</v>
      </c>
      <c r="G81" s="184">
        <f t="shared" si="22"/>
        <v>0</v>
      </c>
      <c r="H81" s="184">
        <f t="shared" si="22"/>
        <v>0</v>
      </c>
      <c r="I81" s="184">
        <f t="shared" si="22"/>
        <v>0</v>
      </c>
      <c r="J81" s="184">
        <f t="shared" si="22"/>
        <v>0</v>
      </c>
      <c r="K81" s="184">
        <f t="shared" si="22"/>
        <v>0</v>
      </c>
      <c r="L81" s="184">
        <f t="shared" si="22"/>
        <v>0</v>
      </c>
      <c r="M81" s="184">
        <f t="shared" si="22"/>
        <v>0</v>
      </c>
      <c r="N81" s="184">
        <f t="shared" si="22"/>
        <v>0</v>
      </c>
      <c r="O81" s="184">
        <f t="shared" si="22"/>
        <v>0</v>
      </c>
      <c r="P81" s="184">
        <f t="shared" si="22"/>
        <v>0</v>
      </c>
      <c r="Q81" s="184">
        <f t="shared" si="22"/>
        <v>0</v>
      </c>
      <c r="R81" s="184">
        <f t="shared" si="22"/>
        <v>0</v>
      </c>
      <c r="S81" s="184">
        <f t="shared" si="22"/>
        <v>0</v>
      </c>
      <c r="T81" s="184">
        <f t="shared" si="22"/>
        <v>0</v>
      </c>
      <c r="U81" s="184">
        <f t="shared" si="22"/>
        <v>0</v>
      </c>
      <c r="V81" s="184">
        <f t="shared" si="22"/>
        <v>0</v>
      </c>
      <c r="W81" s="184">
        <f t="shared" si="22"/>
        <v>0</v>
      </c>
      <c r="X81" s="184">
        <f t="shared" si="22"/>
        <v>0</v>
      </c>
      <c r="Y81" s="184">
        <f t="shared" si="22"/>
        <v>0</v>
      </c>
      <c r="Z81" s="184">
        <f t="shared" si="22"/>
        <v>0</v>
      </c>
      <c r="AA81" s="184">
        <f t="shared" si="22"/>
        <v>0</v>
      </c>
      <c r="AB81" s="184">
        <f t="shared" si="22"/>
        <v>0</v>
      </c>
      <c r="AC81" s="184">
        <f t="shared" si="22"/>
        <v>0</v>
      </c>
      <c r="AD81" s="184">
        <f t="shared" si="22"/>
        <v>0</v>
      </c>
      <c r="AE81" s="184">
        <f t="shared" si="22"/>
        <v>0</v>
      </c>
      <c r="AF81" s="184">
        <f t="shared" si="22"/>
        <v>0</v>
      </c>
      <c r="AG81" s="184">
        <f t="shared" si="22"/>
        <v>0</v>
      </c>
      <c r="AH81" s="184">
        <f>-(AH59-AG59)*$B$39</f>
        <v>0</v>
      </c>
      <c r="AI81" s="184">
        <f>-(AI59-AH59)*$B$39</f>
        <v>0</v>
      </c>
      <c r="AJ81" s="184">
        <f>-(AJ59-AI59)*$B$39</f>
        <v>0</v>
      </c>
      <c r="AK81" s="285"/>
      <c r="AL81"/>
      <c r="AM81"/>
      <c r="AN81"/>
    </row>
    <row r="82" spans="1:40" s="224" customFormat="1" ht="15.75" x14ac:dyDescent="0.25">
      <c r="A82" s="229" t="s">
        <v>460</v>
      </c>
      <c r="B82" s="184">
        <v>-6905360</v>
      </c>
      <c r="C82" s="184">
        <v>-2417819.9999999995</v>
      </c>
      <c r="D82" s="184">
        <v>0</v>
      </c>
      <c r="E82" s="184">
        <v>0</v>
      </c>
      <c r="F82" s="184">
        <v>0</v>
      </c>
      <c r="G82" s="184">
        <v>-25486000</v>
      </c>
      <c r="H82" s="184">
        <v>-103987000</v>
      </c>
      <c r="I82" s="184">
        <v>-10042086.226400001</v>
      </c>
      <c r="J82" s="184">
        <v>-13466654.9423017</v>
      </c>
      <c r="K82" s="184">
        <v>-16618795.0952668</v>
      </c>
      <c r="L82" s="184">
        <v>-9625731.880231481</v>
      </c>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286">
        <v>-159787667.91881353</v>
      </c>
      <c r="AL82"/>
      <c r="AM82"/>
      <c r="AN82"/>
    </row>
    <row r="83" spans="1:40" s="224" customFormat="1" ht="15.75" x14ac:dyDescent="0.25">
      <c r="A83" s="229" t="s">
        <v>254</v>
      </c>
      <c r="B83" s="184">
        <f t="shared" ref="B83:AG83" si="23">B54-B55</f>
        <v>0</v>
      </c>
      <c r="C83" s="184">
        <f t="shared" si="23"/>
        <v>0</v>
      </c>
      <c r="D83" s="184">
        <f t="shared" si="23"/>
        <v>0</v>
      </c>
      <c r="E83" s="184">
        <f t="shared" si="23"/>
        <v>0</v>
      </c>
      <c r="F83" s="184">
        <f t="shared" si="23"/>
        <v>0</v>
      </c>
      <c r="G83" s="184">
        <f t="shared" si="23"/>
        <v>0</v>
      </c>
      <c r="H83" s="184">
        <f t="shared" si="23"/>
        <v>0</v>
      </c>
      <c r="I83" s="184">
        <f t="shared" si="23"/>
        <v>0</v>
      </c>
      <c r="J83" s="184">
        <f t="shared" si="23"/>
        <v>0</v>
      </c>
      <c r="K83" s="184">
        <f t="shared" si="23"/>
        <v>0</v>
      </c>
      <c r="L83" s="184">
        <f t="shared" si="23"/>
        <v>0</v>
      </c>
      <c r="M83" s="184">
        <f t="shared" si="23"/>
        <v>0</v>
      </c>
      <c r="N83" s="184">
        <f t="shared" si="23"/>
        <v>0</v>
      </c>
      <c r="O83" s="184">
        <f t="shared" si="23"/>
        <v>0</v>
      </c>
      <c r="P83" s="184">
        <f t="shared" si="23"/>
        <v>0</v>
      </c>
      <c r="Q83" s="184">
        <f t="shared" si="23"/>
        <v>0</v>
      </c>
      <c r="R83" s="184">
        <f t="shared" si="23"/>
        <v>0</v>
      </c>
      <c r="S83" s="184">
        <f t="shared" si="23"/>
        <v>0</v>
      </c>
      <c r="T83" s="184">
        <f t="shared" si="23"/>
        <v>0</v>
      </c>
      <c r="U83" s="184">
        <f t="shared" si="23"/>
        <v>0</v>
      </c>
      <c r="V83" s="184">
        <f t="shared" si="23"/>
        <v>0</v>
      </c>
      <c r="W83" s="184">
        <f t="shared" si="23"/>
        <v>0</v>
      </c>
      <c r="X83" s="184">
        <f t="shared" si="23"/>
        <v>0</v>
      </c>
      <c r="Y83" s="184">
        <f t="shared" si="23"/>
        <v>0</v>
      </c>
      <c r="Z83" s="184">
        <f t="shared" si="23"/>
        <v>0</v>
      </c>
      <c r="AA83" s="184">
        <f t="shared" si="23"/>
        <v>0</v>
      </c>
      <c r="AB83" s="184">
        <f t="shared" si="23"/>
        <v>0</v>
      </c>
      <c r="AC83" s="184">
        <f t="shared" si="23"/>
        <v>0</v>
      </c>
      <c r="AD83" s="184">
        <f t="shared" si="23"/>
        <v>0</v>
      </c>
      <c r="AE83" s="184">
        <f t="shared" si="23"/>
        <v>0</v>
      </c>
      <c r="AF83" s="184">
        <f t="shared" si="23"/>
        <v>0</v>
      </c>
      <c r="AG83" s="184">
        <f t="shared" si="23"/>
        <v>0</v>
      </c>
      <c r="AH83" s="184">
        <f>AH54-AH55</f>
        <v>0</v>
      </c>
      <c r="AI83" s="184">
        <f>AI54-AI55</f>
        <v>0</v>
      </c>
      <c r="AJ83" s="184">
        <f>AJ54-AJ55</f>
        <v>0</v>
      </c>
      <c r="AK83" s="285"/>
      <c r="AL83"/>
      <c r="AM83"/>
      <c r="AN83"/>
    </row>
    <row r="84" spans="1:40" s="224" customFormat="1" x14ac:dyDescent="0.25">
      <c r="A84" s="230" t="s">
        <v>253</v>
      </c>
      <c r="B84" s="186">
        <f t="shared" ref="B84:V84" si="24">SUM(B76:B83)</f>
        <v>-1381072.0489999996</v>
      </c>
      <c r="C84" s="186">
        <f t="shared" si="24"/>
        <v>-483564.04899999988</v>
      </c>
      <c r="D84" s="186">
        <f t="shared" si="24"/>
        <v>0</v>
      </c>
      <c r="E84" s="186">
        <f t="shared" si="24"/>
        <v>0</v>
      </c>
      <c r="F84" s="186">
        <f t="shared" si="24"/>
        <v>0</v>
      </c>
      <c r="G84" s="186">
        <f t="shared" si="24"/>
        <v>-30073480</v>
      </c>
      <c r="H84" s="186">
        <f t="shared" si="24"/>
        <v>-122598132.96000001</v>
      </c>
      <c r="I84" s="186">
        <f t="shared" si="24"/>
        <v>6010406.8128480017</v>
      </c>
      <c r="J84" s="186">
        <f t="shared" si="24"/>
        <v>24197238.688083984</v>
      </c>
      <c r="K84" s="186">
        <f t="shared" si="24"/>
        <v>40125447.091137171</v>
      </c>
      <c r="L84" s="186">
        <f t="shared" si="24"/>
        <v>61142951.43585667</v>
      </c>
      <c r="M84" s="186">
        <f t="shared" si="24"/>
        <v>63920390.756016821</v>
      </c>
      <c r="N84" s="186">
        <f t="shared" si="24"/>
        <v>65961643.719077423</v>
      </c>
      <c r="O84" s="186">
        <f t="shared" si="24"/>
        <v>71603677.02340436</v>
      </c>
      <c r="P84" s="186">
        <f t="shared" si="24"/>
        <v>74795213.221236333</v>
      </c>
      <c r="Q84" s="186">
        <f t="shared" si="24"/>
        <v>79526242.010589972</v>
      </c>
      <c r="R84" s="186">
        <f t="shared" si="24"/>
        <v>83817245.852372095</v>
      </c>
      <c r="S84" s="186">
        <f t="shared" si="24"/>
        <v>87564879.705676585</v>
      </c>
      <c r="T84" s="186">
        <f t="shared" si="24"/>
        <v>93120249.456451789</v>
      </c>
      <c r="U84" s="186">
        <f t="shared" si="24"/>
        <v>98158923.707756281</v>
      </c>
      <c r="V84" s="186">
        <f t="shared" si="24"/>
        <v>99508968.41590561</v>
      </c>
      <c r="W84" s="186">
        <f t="shared" ref="W84:AG84" si="25">SUM(W76:W83)</f>
        <v>109082895.45144078</v>
      </c>
      <c r="X84" s="186">
        <f t="shared" si="25"/>
        <v>114999515.23246971</v>
      </c>
      <c r="Y84" s="186">
        <f t="shared" si="25"/>
        <v>120166913.21347594</v>
      </c>
      <c r="Z84" s="186">
        <f t="shared" si="25"/>
        <v>127826894.83323488</v>
      </c>
      <c r="AA84" s="186">
        <f t="shared" si="25"/>
        <v>134774434.58026251</v>
      </c>
      <c r="AB84" s="186">
        <f t="shared" si="25"/>
        <v>140842207.09065151</v>
      </c>
      <c r="AC84" s="186">
        <f t="shared" si="25"/>
        <v>149836874.44031197</v>
      </c>
      <c r="AD84" s="186">
        <f t="shared" si="25"/>
        <v>153313275.97559175</v>
      </c>
      <c r="AE84" s="186">
        <f t="shared" si="25"/>
        <v>165119992.6015152</v>
      </c>
      <c r="AF84" s="186">
        <f t="shared" si="25"/>
        <v>175681903.15784812</v>
      </c>
      <c r="AG84" s="186">
        <f t="shared" si="25"/>
        <v>185056941.32272947</v>
      </c>
      <c r="AH84" s="186">
        <f>SUM(AH76:AH83)</f>
        <v>192474650.28174695</v>
      </c>
      <c r="AI84" s="186">
        <f>SUM(AI76:AI83)</f>
        <v>204876882.65604228</v>
      </c>
      <c r="AJ84" s="186">
        <f>SUM(AJ76:AJ83)</f>
        <v>216125604.47412431</v>
      </c>
      <c r="AK84" s="285"/>
      <c r="AL84"/>
      <c r="AM84"/>
      <c r="AN84"/>
    </row>
    <row r="85" spans="1:40" s="224" customFormat="1" x14ac:dyDescent="0.25">
      <c r="A85" s="230" t="s">
        <v>471</v>
      </c>
      <c r="B85" s="186">
        <f>SUM($B$84:B84)</f>
        <v>-1381072.0489999996</v>
      </c>
      <c r="C85" s="186">
        <f>SUM($B$84:C84)</f>
        <v>-1864636.0979999995</v>
      </c>
      <c r="D85" s="186">
        <f>SUM($B$84:D84)</f>
        <v>-1864636.0979999995</v>
      </c>
      <c r="E85" s="186">
        <f>SUM($B$84:E84)</f>
        <v>-1864636.0979999995</v>
      </c>
      <c r="F85" s="186">
        <f>SUM($B$84:F84)</f>
        <v>-1864636.0979999995</v>
      </c>
      <c r="G85" s="186">
        <f>SUM($B$84:G84)</f>
        <v>-31938116.098000001</v>
      </c>
      <c r="H85" s="186">
        <f>SUM($B$84:H84)</f>
        <v>-154536249.058</v>
      </c>
      <c r="I85" s="186">
        <f>SUM($B$84:I84)</f>
        <v>-148525842.245152</v>
      </c>
      <c r="J85" s="186">
        <f>SUM($B$84:J84)</f>
        <v>-124328603.55706802</v>
      </c>
      <c r="K85" s="186">
        <f>SUM($B$84:K84)</f>
        <v>-84203156.465930849</v>
      </c>
      <c r="L85" s="186">
        <f>SUM($B$84:L84)</f>
        <v>-23060205.030074179</v>
      </c>
      <c r="M85" s="186">
        <f>SUM($B$84:M84)</f>
        <v>40860185.725942641</v>
      </c>
      <c r="N85" s="186">
        <f>SUM($B$84:N84)</f>
        <v>106821829.44502006</v>
      </c>
      <c r="O85" s="186">
        <f>SUM($B$84:O84)</f>
        <v>178425506.46842444</v>
      </c>
      <c r="P85" s="186">
        <f>SUM($B$84:P84)</f>
        <v>253220719.68966079</v>
      </c>
      <c r="Q85" s="186">
        <f>SUM($B$84:Q84)</f>
        <v>332746961.70025074</v>
      </c>
      <c r="R85" s="186">
        <f>SUM($B$84:R84)</f>
        <v>416564207.55262285</v>
      </c>
      <c r="S85" s="186">
        <f>SUM($B$84:S84)</f>
        <v>504129087.25829947</v>
      </c>
      <c r="T85" s="186">
        <f>SUM($B$84:T84)</f>
        <v>597249336.71475124</v>
      </c>
      <c r="U85" s="186">
        <f>SUM($B$84:U84)</f>
        <v>695408260.42250752</v>
      </c>
      <c r="V85" s="186">
        <f>SUM($B$84:V84)</f>
        <v>794917228.83841312</v>
      </c>
      <c r="W85" s="186">
        <f>SUM($B$84:W84)</f>
        <v>904000124.28985393</v>
      </c>
      <c r="X85" s="186">
        <f>SUM($B$84:X84)</f>
        <v>1018999639.5223236</v>
      </c>
      <c r="Y85" s="186">
        <f>SUM($B$84:Y84)</f>
        <v>1139166552.7357996</v>
      </c>
      <c r="Z85" s="186">
        <f>SUM($B$84:Z84)</f>
        <v>1266993447.5690343</v>
      </c>
      <c r="AA85" s="186">
        <f>SUM($B$84:AA84)</f>
        <v>1401767882.1492968</v>
      </c>
      <c r="AB85" s="186">
        <f>SUM($B$84:AB84)</f>
        <v>1542610089.2399483</v>
      </c>
      <c r="AC85" s="186">
        <f>SUM($B$84:AC84)</f>
        <v>1692446963.6802602</v>
      </c>
      <c r="AD85" s="186">
        <f>SUM($B$84:AD84)</f>
        <v>1845760239.6558518</v>
      </c>
      <c r="AE85" s="186">
        <f>SUM($B$84:AE84)</f>
        <v>2010880232.2573671</v>
      </c>
      <c r="AF85" s="186">
        <f>SUM($B$84:AF84)</f>
        <v>2186562135.4152155</v>
      </c>
      <c r="AG85" s="186">
        <f>SUM($B$84:AG84)</f>
        <v>2371619076.7379451</v>
      </c>
      <c r="AH85" s="186">
        <f>SUM($B$84:AH84)</f>
        <v>2564093727.0196919</v>
      </c>
      <c r="AI85" s="186">
        <f>SUM($B$84:AI84)</f>
        <v>2768970609.675734</v>
      </c>
      <c r="AJ85" s="186">
        <f>SUM($B$84:AJ84)</f>
        <v>2985096214.1498585</v>
      </c>
      <c r="AK85" s="285"/>
      <c r="AL85"/>
      <c r="AM85"/>
      <c r="AN85"/>
    </row>
    <row r="86" spans="1:40" s="224" customFormat="1" ht="15.75" x14ac:dyDescent="0.25">
      <c r="A86" s="187" t="s">
        <v>461</v>
      </c>
      <c r="B86" s="190">
        <f t="shared" ref="B86:AG86" si="26">1/POWER((1+$B$44),B74)</f>
        <v>1</v>
      </c>
      <c r="C86" s="190">
        <f t="shared" si="26"/>
        <v>1</v>
      </c>
      <c r="D86" s="190">
        <f t="shared" si="26"/>
        <v>1</v>
      </c>
      <c r="E86" s="190">
        <f t="shared" si="26"/>
        <v>1</v>
      </c>
      <c r="F86" s="190">
        <f t="shared" si="26"/>
        <v>1</v>
      </c>
      <c r="G86" s="190">
        <f t="shared" si="26"/>
        <v>1</v>
      </c>
      <c r="H86" s="190">
        <f t="shared" si="26"/>
        <v>1</v>
      </c>
      <c r="I86" s="190">
        <f t="shared" si="26"/>
        <v>1</v>
      </c>
      <c r="J86" s="190">
        <f t="shared" si="26"/>
        <v>0.9109750373485539</v>
      </c>
      <c r="K86" s="190">
        <f t="shared" si="26"/>
        <v>0.75599588161705711</v>
      </c>
      <c r="L86" s="190">
        <f t="shared" si="26"/>
        <v>0.6273824743710017</v>
      </c>
      <c r="M86" s="190">
        <f t="shared" si="26"/>
        <v>0.52064935632448273</v>
      </c>
      <c r="N86" s="190">
        <f t="shared" si="26"/>
        <v>0.43207415462612664</v>
      </c>
      <c r="O86" s="190">
        <f t="shared" si="26"/>
        <v>0.35856776317520883</v>
      </c>
      <c r="P86" s="190">
        <f t="shared" si="26"/>
        <v>0.29756660844415667</v>
      </c>
      <c r="Q86" s="190">
        <f t="shared" si="26"/>
        <v>0.24694324352212174</v>
      </c>
      <c r="R86" s="190">
        <f t="shared" si="26"/>
        <v>0.20493215230051592</v>
      </c>
      <c r="S86" s="190">
        <f t="shared" si="26"/>
        <v>0.1700681761830008</v>
      </c>
      <c r="T86" s="190">
        <f t="shared" si="26"/>
        <v>0.14113541591950271</v>
      </c>
      <c r="U86" s="190">
        <f t="shared" si="26"/>
        <v>0.11712482648921385</v>
      </c>
      <c r="V86" s="190">
        <f t="shared" si="26"/>
        <v>9.719902613212765E-2</v>
      </c>
      <c r="W86" s="190">
        <f t="shared" si="26"/>
        <v>8.0663092225832109E-2</v>
      </c>
      <c r="X86" s="190">
        <f t="shared" si="26"/>
        <v>6.6940325498615838E-2</v>
      </c>
      <c r="Y86" s="190">
        <f t="shared" si="26"/>
        <v>5.5552137343249659E-2</v>
      </c>
      <c r="Z86" s="190">
        <f t="shared" si="26"/>
        <v>4.6101358791078552E-2</v>
      </c>
      <c r="AA86" s="190">
        <f t="shared" si="26"/>
        <v>3.825838903823945E-2</v>
      </c>
      <c r="AB86" s="190">
        <f t="shared" si="26"/>
        <v>3.174970044667174E-2</v>
      </c>
      <c r="AC86" s="190">
        <f t="shared" si="26"/>
        <v>2.6348299125868668E-2</v>
      </c>
      <c r="AD86" s="190">
        <f t="shared" si="26"/>
        <v>2.1865808403210511E-2</v>
      </c>
      <c r="AE86" s="190">
        <f t="shared" si="26"/>
        <v>1.814589908980126E-2</v>
      </c>
      <c r="AF86" s="190">
        <f t="shared" si="26"/>
        <v>1.5058837418922204E-2</v>
      </c>
      <c r="AG86" s="190">
        <f t="shared" si="26"/>
        <v>1.2496960513628384E-2</v>
      </c>
      <c r="AH86" s="190">
        <f>1/POWER((1+$B$44),AH74)</f>
        <v>1.0370921588073345E-2</v>
      </c>
      <c r="AI86" s="190">
        <f>1/POWER((1+$B$44),AI74)</f>
        <v>8.6065739320110735E-3</v>
      </c>
      <c r="AJ86" s="190">
        <f>1/POWER((1+$B$44),AJ74)</f>
        <v>7.1423850058183183E-3</v>
      </c>
      <c r="AK86" s="285"/>
      <c r="AL86"/>
      <c r="AM86"/>
      <c r="AN86"/>
    </row>
    <row r="87" spans="1:40" s="224" customFormat="1" x14ac:dyDescent="0.25">
      <c r="A87" s="228" t="s">
        <v>472</v>
      </c>
      <c r="B87" s="186">
        <f t="shared" ref="B87:AG87" si="27">B84*B86</f>
        <v>-1381072.0489999996</v>
      </c>
      <c r="C87" s="186">
        <f t="shared" si="27"/>
        <v>-483564.04899999988</v>
      </c>
      <c r="D87" s="186">
        <f t="shared" si="27"/>
        <v>0</v>
      </c>
      <c r="E87" s="186">
        <f t="shared" si="27"/>
        <v>0</v>
      </c>
      <c r="F87" s="186">
        <f t="shared" si="27"/>
        <v>0</v>
      </c>
      <c r="G87" s="186">
        <f t="shared" si="27"/>
        <v>-30073480</v>
      </c>
      <c r="H87" s="186">
        <f t="shared" si="27"/>
        <v>-122598132.96000001</v>
      </c>
      <c r="I87" s="186">
        <f t="shared" si="27"/>
        <v>6010406.8128480017</v>
      </c>
      <c r="J87" s="186">
        <f t="shared" si="27"/>
        <v>22043080.417609181</v>
      </c>
      <c r="K87" s="186">
        <f t="shared" si="27"/>
        <v>30334672.748942826</v>
      </c>
      <c r="L87" s="186">
        <f t="shared" si="27"/>
        <v>38360016.162173748</v>
      </c>
      <c r="M87" s="186">
        <f t="shared" si="27"/>
        <v>33280110.303129572</v>
      </c>
      <c r="N87" s="186">
        <f t="shared" si="27"/>
        <v>28500321.447670132</v>
      </c>
      <c r="O87" s="186">
        <f t="shared" si="27"/>
        <v>25674770.305402197</v>
      </c>
      <c r="P87" s="186">
        <f t="shared" si="27"/>
        <v>22256557.926100843</v>
      </c>
      <c r="Q87" s="186">
        <f t="shared" si="27"/>
        <v>19638468.14722031</v>
      </c>
      <c r="R87" s="186">
        <f t="shared" si="27"/>
        <v>17176848.592428103</v>
      </c>
      <c r="S87" s="186">
        <f t="shared" si="27"/>
        <v>14891999.389228277</v>
      </c>
      <c r="T87" s="186">
        <f t="shared" si="27"/>
        <v>13142565.137564169</v>
      </c>
      <c r="U87" s="186">
        <f t="shared" si="27"/>
        <v>11496846.907638934</v>
      </c>
      <c r="V87" s="186">
        <f t="shared" si="27"/>
        <v>9672174.8214386739</v>
      </c>
      <c r="W87" s="186">
        <f t="shared" si="27"/>
        <v>8798963.6560603697</v>
      </c>
      <c r="X87" s="186">
        <f t="shared" si="27"/>
        <v>7698104.9818445528</v>
      </c>
      <c r="Y87" s="186">
        <f t="shared" si="27"/>
        <v>6675528.8669493776</v>
      </c>
      <c r="Z87" s="186">
        <f t="shared" si="27"/>
        <v>5892993.5418564258</v>
      </c>
      <c r="AA87" s="186">
        <f t="shared" si="27"/>
        <v>5156252.7505804356</v>
      </c>
      <c r="AB87" s="186">
        <f t="shared" si="27"/>
        <v>4471697.8853762923</v>
      </c>
      <c r="AC87" s="186">
        <f t="shared" si="27"/>
        <v>3947946.7878385652</v>
      </c>
      <c r="AD87" s="186">
        <f t="shared" si="27"/>
        <v>3352318.7181508262</v>
      </c>
      <c r="AE87" s="186">
        <f t="shared" si="27"/>
        <v>2996250.7234558254</v>
      </c>
      <c r="AF87" s="186">
        <f t="shared" si="27"/>
        <v>2645565.2171008703</v>
      </c>
      <c r="AG87" s="186">
        <f t="shared" si="27"/>
        <v>2312649.2884829952</v>
      </c>
      <c r="AH87" s="186">
        <f>AH84*AH86</f>
        <v>1996139.5057638369</v>
      </c>
      <c r="AI87" s="186">
        <f>AI84*AI86</f>
        <v>1763288.037539185</v>
      </c>
      <c r="AJ87" s="186">
        <f>AJ84*AJ86</f>
        <v>1543652.2767694059</v>
      </c>
      <c r="AK87" s="285"/>
      <c r="AL87"/>
      <c r="AM87"/>
      <c r="AN87"/>
    </row>
    <row r="88" spans="1:40" s="234" customFormat="1" ht="14.25" x14ac:dyDescent="0.2">
      <c r="A88" s="228" t="s">
        <v>473</v>
      </c>
      <c r="B88" s="186">
        <f>SUM($B$87:B87)</f>
        <v>-1381072.0489999996</v>
      </c>
      <c r="C88" s="186">
        <f>SUM($B$87:C87)</f>
        <v>-1864636.0979999995</v>
      </c>
      <c r="D88" s="186">
        <f>SUM($B$87:D87)</f>
        <v>-1864636.0979999995</v>
      </c>
      <c r="E88" s="186">
        <f>SUM($B$87:E87)</f>
        <v>-1864636.0979999995</v>
      </c>
      <c r="F88" s="186">
        <f>SUM($B$87:F87)</f>
        <v>-1864636.0979999995</v>
      </c>
      <c r="G88" s="186">
        <f>SUM($B$87:G87)</f>
        <v>-31938116.098000001</v>
      </c>
      <c r="H88" s="186">
        <f>SUM($B$87:H87)</f>
        <v>-154536249.058</v>
      </c>
      <c r="I88" s="186">
        <f>SUM($B$87:I87)</f>
        <v>-148525842.245152</v>
      </c>
      <c r="J88" s="186">
        <f>SUM($B$87:J87)</f>
        <v>-126482761.82754281</v>
      </c>
      <c r="K88" s="186">
        <f>SUM($B$87:K87)</f>
        <v>-96148089.078599989</v>
      </c>
      <c r="L88" s="186">
        <f>SUM($B$87:L87)</f>
        <v>-57788072.916426241</v>
      </c>
      <c r="M88" s="186">
        <f>SUM($B$87:M87)</f>
        <v>-24507962.613296669</v>
      </c>
      <c r="N88" s="186">
        <f>SUM($B$87:N87)</f>
        <v>3992358.8343734629</v>
      </c>
      <c r="O88" s="186">
        <f>SUM($B$87:O87)</f>
        <v>29667129.13977566</v>
      </c>
      <c r="P88" s="186">
        <f>SUM($B$87:P87)</f>
        <v>51923687.065876499</v>
      </c>
      <c r="Q88" s="186">
        <f>SUM($B$87:Q87)</f>
        <v>71562155.213096812</v>
      </c>
      <c r="R88" s="186">
        <f>SUM($B$87:R87)</f>
        <v>88739003.805524915</v>
      </c>
      <c r="S88" s="186">
        <f>SUM($B$87:S87)</f>
        <v>103631003.1947532</v>
      </c>
      <c r="T88" s="186">
        <f>SUM($B$87:T87)</f>
        <v>116773568.33231737</v>
      </c>
      <c r="U88" s="186">
        <f>SUM($B$87:U87)</f>
        <v>128270415.2399563</v>
      </c>
      <c r="V88" s="186">
        <f>SUM($B$87:V87)</f>
        <v>137942590.06139499</v>
      </c>
      <c r="W88" s="186">
        <f>SUM($B$87:W87)</f>
        <v>146741553.71745536</v>
      </c>
      <c r="X88" s="186">
        <f>SUM($B$87:X87)</f>
        <v>154439658.6992999</v>
      </c>
      <c r="Y88" s="186">
        <f>SUM($B$87:Y87)</f>
        <v>161115187.56624928</v>
      </c>
      <c r="Z88" s="186">
        <f>SUM($B$87:Z87)</f>
        <v>167008181.10810572</v>
      </c>
      <c r="AA88" s="186">
        <f>SUM($B$87:AA87)</f>
        <v>172164433.85868615</v>
      </c>
      <c r="AB88" s="186">
        <f>SUM($B$87:AB87)</f>
        <v>176636131.74406245</v>
      </c>
      <c r="AC88" s="186">
        <f>SUM($B$87:AC87)</f>
        <v>180584078.53190103</v>
      </c>
      <c r="AD88" s="186">
        <f>SUM($B$87:AD87)</f>
        <v>183936397.25005186</v>
      </c>
      <c r="AE88" s="186">
        <f>SUM($B$87:AE87)</f>
        <v>186932647.97350767</v>
      </c>
      <c r="AF88" s="186">
        <f>SUM($B$87:AF87)</f>
        <v>189578213.19060853</v>
      </c>
      <c r="AG88" s="186">
        <f>SUM($B$87:AG87)</f>
        <v>191890862.47909153</v>
      </c>
      <c r="AH88" s="186">
        <f>SUM($B$87:AH87)</f>
        <v>193887001.98485535</v>
      </c>
      <c r="AI88" s="186">
        <f>SUM($B$87:AI87)</f>
        <v>195650290.02239454</v>
      </c>
      <c r="AJ88" s="186">
        <f>SUM($B$87:AJ87)</f>
        <v>197193942.29916394</v>
      </c>
      <c r="AK88" s="285"/>
      <c r="AL88" s="224"/>
      <c r="AM88" s="224"/>
      <c r="AN88" s="224"/>
    </row>
    <row r="89" spans="1:40" s="234" customFormat="1" ht="14.25" x14ac:dyDescent="0.2">
      <c r="A89" s="228" t="s">
        <v>474</v>
      </c>
      <c r="B89" s="191">
        <f>IF((ISERR(IRR($B$84:B84))),0,IF(IRR($B$84:B84)&lt;0,0,IRR($B$84:B84)))</f>
        <v>0</v>
      </c>
      <c r="C89" s="191">
        <f>IF((ISERR(IRR($B$84:C84))),0,IF(IRR($B$84:C84)&lt;0,0,IRR($B$84:C84)))</f>
        <v>0</v>
      </c>
      <c r="D89" s="191">
        <f>IF((ISERR(IRR($B$84:D84))),0,IF(IRR($B$84:D84)&lt;0,0,IRR($B$84:D84)))</f>
        <v>0</v>
      </c>
      <c r="E89" s="191">
        <f>IF((ISERR(IRR($B$84:E84))),0,IF(IRR($B$84:E84)&lt;0,0,IRR($B$84:E84)))</f>
        <v>0</v>
      </c>
      <c r="F89" s="191">
        <f>IF((ISERR(IRR($B$84:F84))),0,IF(IRR($B$84:F84)&lt;0,0,IRR($B$84:F84)))</f>
        <v>0</v>
      </c>
      <c r="G89" s="191">
        <f>IF((ISERR(IRR($B$84:G84))),0,IF(IRR($B$84:G84)&lt;0,0,IRR($B$84:G84)))</f>
        <v>0</v>
      </c>
      <c r="H89" s="191">
        <f>IF((ISERR(IRR($B$84:H84))),0,IF(IRR($B$84:H84)&lt;0,0,IRR($B$84:H84)))</f>
        <v>0</v>
      </c>
      <c r="I89" s="191">
        <f>IF((ISERR(IRR($B$84:I84))),0,IF(IRR($B$84:I84)&lt;0,0,IRR($B$84:I84)))</f>
        <v>0</v>
      </c>
      <c r="J89" s="191">
        <f>IF((ISERR(IRR($B$84:J84))),0,IF(IRR($B$84:J84)&lt;0,0,IRR($B$84:J84)))</f>
        <v>0</v>
      </c>
      <c r="K89" s="191">
        <f>IF((ISERR(IRR($B$84:K84))),0,IF(IRR($B$84:K84)&lt;0,0,IRR($B$84:K84)))</f>
        <v>0</v>
      </c>
      <c r="L89" s="191">
        <f>IF((ISERR(IRR($B$84:L84))),0,IF(IRR($B$84:L84)&lt;0,0,IRR($B$84:L84)))</f>
        <v>0</v>
      </c>
      <c r="M89" s="191">
        <f>IF((ISERR(IRR($B$84:M84))),0,IF(IRR($B$84:M84)&lt;0,0,IRR($B$84:M84)))</f>
        <v>6.001602562539099E-2</v>
      </c>
      <c r="N89" s="191">
        <f>IF((ISERR(IRR($B$84:N84))),0,IF(IRR($B$84:N84)&lt;0,0,IRR($B$84:N84)))</f>
        <v>0.12297664127503594</v>
      </c>
      <c r="O89" s="191">
        <f>IF((ISERR(IRR($B$84:O84))),0,IF(IRR($B$84:O84)&lt;0,0,IRR($B$84:O84)))</f>
        <v>0.16527563084879904</v>
      </c>
      <c r="P89" s="191">
        <f>IF((ISERR(IRR($B$84:P84))),0,IF(IRR($B$84:P84)&lt;0,0,IRR($B$84:P84)))</f>
        <v>0.19384689049635706</v>
      </c>
      <c r="Q89" s="191">
        <f>IF((ISERR(IRR($B$84:Q84))),0,IF(IRR($B$84:Q84)&lt;0,0,IRR($B$84:Q84)))</f>
        <v>0.21420118345956585</v>
      </c>
      <c r="R89" s="191">
        <f>IF((ISERR(IRR($B$84:R84))),0,IF(IRR($B$84:R84)&lt;0,0,IRR($B$84:R84)))</f>
        <v>0.22895185232693693</v>
      </c>
      <c r="S89" s="191">
        <f>IF((ISERR(IRR($B$84:S84))),0,IF(IRR($B$84:S84)&lt;0,0,IRR($B$84:S84)))</f>
        <v>0.23978064044421732</v>
      </c>
      <c r="T89" s="191">
        <f>IF((ISERR(IRR($B$84:T84))),0,IF(IRR($B$84:T84)&lt;0,0,IRR($B$84:T84)))</f>
        <v>0.24801095096259429</v>
      </c>
      <c r="U89" s="191">
        <f>IF((ISERR(IRR($B$84:U84))),0,IF(IRR($B$84:U84)&lt;0,0,IRR($B$84:U84)))</f>
        <v>0.25429412906124926</v>
      </c>
      <c r="V89" s="191">
        <f>IF((ISERR(IRR($B$84:V84))),0,IF(IRR($B$84:V84)&lt;0,0,IRR($B$84:V84)))</f>
        <v>0.25896709727256573</v>
      </c>
      <c r="W89" s="191">
        <f>IF((ISERR(IRR($B$84:W84))),0,IF(IRR($B$84:W84)&lt;0,0,IRR($B$84:W84)))</f>
        <v>0.26276122902419763</v>
      </c>
      <c r="X89" s="191">
        <f>IF((ISERR(IRR($B$84:X84))),0,IF(IRR($B$84:X84)&lt;0,0,IRR($B$84:X84)))</f>
        <v>0.26574337783819635</v>
      </c>
      <c r="Y89" s="191">
        <f>IF((ISERR(IRR($B$84:Y84))),0,IF(IRR($B$84:Y84)&lt;0,0,IRR($B$84:Y84)))</f>
        <v>0.26808308499786038</v>
      </c>
      <c r="Z89" s="191">
        <f>IF((ISERR(IRR($B$84:Z84))),0,IF(IRR($B$84:Z84)&lt;0,0,IRR($B$84:Z84)))</f>
        <v>0.26996272967544743</v>
      </c>
      <c r="AA89" s="191">
        <f>IF((ISERR(IRR($B$84:AA84))),0,IF(IRR($B$84:AA84)&lt;0,0,IRR($B$84:AA84)))</f>
        <v>0.27146660384632471</v>
      </c>
      <c r="AB89" s="191">
        <f>IF((ISERR(IRR($B$84:AB84))),0,IF(IRR($B$84:AB84)&lt;0,0,IRR($B$84:AB84)))</f>
        <v>0.27266444323470673</v>
      </c>
      <c r="AC89" s="191">
        <f>IF((ISERR(IRR($B$84:AC84))),0,IF(IRR($B$84:AC84)&lt;0,0,IRR($B$84:AC84)))</f>
        <v>0.2736393021461323</v>
      </c>
      <c r="AD89" s="191">
        <f>IF((ISERR(IRR($B$84:AD84))),0,IF(IRR($B$84:AD84)&lt;0,0,IRR($B$84:AD84)))</f>
        <v>0.27440491898750219</v>
      </c>
      <c r="AE89" s="191">
        <f>IF((ISERR(IRR($B$84:AE84))),0,IF(IRR($B$84:AE84)&lt;0,0,IRR($B$84:AE84)))</f>
        <v>0.27503960818907092</v>
      </c>
      <c r="AF89" s="191">
        <f>IF((ISERR(IRR($B$84:AF84))),0,IF(IRR($B$84:AF84)&lt;0,0,IRR($B$84:AF84)))</f>
        <v>0.27556044636308141</v>
      </c>
      <c r="AG89" s="191">
        <f>IF((ISERR(IRR($B$84:AG84))),0,IF(IRR($B$84:AG84)&lt;0,0,IRR($B$84:AG84)))</f>
        <v>0.27598442576304949</v>
      </c>
      <c r="AH89" s="191">
        <f>IF((ISERR(IRR($B$84:AH84))),0,IF(IRR($B$84:AH84)&lt;0,0,IRR($B$84:AH84)))</f>
        <v>0.27632583367739683</v>
      </c>
      <c r="AI89" s="191">
        <f>IF((ISERR(IRR($B$84:AI84))),0,IF(IRR($B$84:AI84)&lt;0,0,IRR($B$84:AI84)))</f>
        <v>0.27660762001247852</v>
      </c>
      <c r="AJ89" s="191">
        <f>IF((ISERR(IRR($B$84:AJ84))),0,IF(IRR($B$84:AJ84)&lt;0,0,IRR($B$84:AJ84)))</f>
        <v>0.27683840109343016</v>
      </c>
      <c r="AK89" s="285"/>
      <c r="AL89" s="224"/>
      <c r="AM89" s="224"/>
      <c r="AN89" s="224"/>
    </row>
    <row r="90" spans="1:40" s="234" customFormat="1" ht="14.25" x14ac:dyDescent="0.2">
      <c r="A90" s="228" t="s">
        <v>475</v>
      </c>
      <c r="B90" s="192">
        <f>IF(AND(B85&gt;0,A85&lt;0),(B75-(B85/(B85-A85))),0)</f>
        <v>0</v>
      </c>
      <c r="C90" s="192">
        <f t="shared" ref="C90:AG90" si="28">IF(AND(C85&gt;0,B85&lt;0),(C75-(C85/(C85-B85))),0)</f>
        <v>0</v>
      </c>
      <c r="D90" s="192">
        <f t="shared" si="28"/>
        <v>0</v>
      </c>
      <c r="E90" s="192">
        <f t="shared" si="28"/>
        <v>0</v>
      </c>
      <c r="F90" s="192">
        <f t="shared" si="28"/>
        <v>0</v>
      </c>
      <c r="G90" s="192">
        <f t="shared" si="28"/>
        <v>0</v>
      </c>
      <c r="H90" s="192">
        <f>IF(AND(H85&gt;0,G85&lt;0),(H75-(H85/(H85-G85))),0)</f>
        <v>0</v>
      </c>
      <c r="I90" s="192">
        <f t="shared" si="28"/>
        <v>0</v>
      </c>
      <c r="J90" s="192">
        <f t="shared" si="28"/>
        <v>0</v>
      </c>
      <c r="K90" s="192">
        <f t="shared" si="28"/>
        <v>0</v>
      </c>
      <c r="L90" s="192">
        <f t="shared" si="28"/>
        <v>0</v>
      </c>
      <c r="M90" s="192">
        <f t="shared" si="28"/>
        <v>11.360764456495497</v>
      </c>
      <c r="N90" s="192">
        <f t="shared" si="28"/>
        <v>0</v>
      </c>
      <c r="O90" s="192">
        <f t="shared" si="28"/>
        <v>0</v>
      </c>
      <c r="P90" s="192">
        <f t="shared" si="28"/>
        <v>0</v>
      </c>
      <c r="Q90" s="192">
        <f t="shared" si="28"/>
        <v>0</v>
      </c>
      <c r="R90" s="192">
        <f t="shared" si="28"/>
        <v>0</v>
      </c>
      <c r="S90" s="192">
        <f t="shared" si="28"/>
        <v>0</v>
      </c>
      <c r="T90" s="192">
        <f t="shared" si="28"/>
        <v>0</v>
      </c>
      <c r="U90" s="192">
        <f t="shared" si="28"/>
        <v>0</v>
      </c>
      <c r="V90" s="192">
        <f t="shared" si="28"/>
        <v>0</v>
      </c>
      <c r="W90" s="192">
        <f t="shared" si="28"/>
        <v>0</v>
      </c>
      <c r="X90" s="192">
        <f t="shared" si="28"/>
        <v>0</v>
      </c>
      <c r="Y90" s="192">
        <f t="shared" si="28"/>
        <v>0</v>
      </c>
      <c r="Z90" s="192">
        <f t="shared" si="28"/>
        <v>0</v>
      </c>
      <c r="AA90" s="192">
        <f t="shared" si="28"/>
        <v>0</v>
      </c>
      <c r="AB90" s="192">
        <f t="shared" si="28"/>
        <v>0</v>
      </c>
      <c r="AC90" s="192">
        <f t="shared" si="28"/>
        <v>0</v>
      </c>
      <c r="AD90" s="192">
        <f t="shared" si="28"/>
        <v>0</v>
      </c>
      <c r="AE90" s="192">
        <f t="shared" si="28"/>
        <v>0</v>
      </c>
      <c r="AF90" s="192">
        <f t="shared" si="28"/>
        <v>0</v>
      </c>
      <c r="AG90" s="192">
        <f t="shared" si="28"/>
        <v>0</v>
      </c>
      <c r="AH90" s="192">
        <f>IF(AND(AH85&gt;0,AG85&lt;0),(AH75-(AH85/(AH85-AG85))),0)</f>
        <v>0</v>
      </c>
      <c r="AI90" s="192">
        <f>IF(AND(AI85&gt;0,AH85&lt;0),(AI75-(AI85/(AI85-AH85))),0)</f>
        <v>0</v>
      </c>
      <c r="AJ90" s="192">
        <f>IF(AND(AJ85&gt;0,AI85&lt;0),(AJ75-(AJ85/(AJ85-AI85))),0)</f>
        <v>0</v>
      </c>
      <c r="AK90" s="285"/>
      <c r="AL90" s="224"/>
      <c r="AM90" s="224"/>
      <c r="AN90" s="224"/>
    </row>
    <row r="91" spans="1:40" s="234" customFormat="1" thickBot="1" x14ac:dyDescent="0.25">
      <c r="A91" s="235" t="s">
        <v>476</v>
      </c>
      <c r="B91" s="193">
        <f t="shared" ref="B91:AG91" si="29">IF(AND(B88&gt;0,A88&lt;0),(B75-(B88/(B88-A88))),0)</f>
        <v>0</v>
      </c>
      <c r="C91" s="193">
        <f t="shared" si="29"/>
        <v>0</v>
      </c>
      <c r="D91" s="193">
        <f t="shared" si="29"/>
        <v>0</v>
      </c>
      <c r="E91" s="193">
        <f t="shared" si="29"/>
        <v>0</v>
      </c>
      <c r="F91" s="193">
        <f t="shared" si="29"/>
        <v>0</v>
      </c>
      <c r="G91" s="193">
        <f t="shared" si="29"/>
        <v>0</v>
      </c>
      <c r="H91" s="193">
        <f t="shared" si="29"/>
        <v>0</v>
      </c>
      <c r="I91" s="193">
        <f t="shared" si="29"/>
        <v>0</v>
      </c>
      <c r="J91" s="193">
        <f t="shared" si="29"/>
        <v>0</v>
      </c>
      <c r="K91" s="193">
        <f t="shared" si="29"/>
        <v>0</v>
      </c>
      <c r="L91" s="193">
        <f t="shared" si="29"/>
        <v>0</v>
      </c>
      <c r="M91" s="193">
        <f t="shared" si="29"/>
        <v>0</v>
      </c>
      <c r="N91" s="193">
        <f t="shared" si="29"/>
        <v>12.859918813838508</v>
      </c>
      <c r="O91" s="193">
        <f t="shared" si="29"/>
        <v>0</v>
      </c>
      <c r="P91" s="193">
        <f t="shared" si="29"/>
        <v>0</v>
      </c>
      <c r="Q91" s="193">
        <f t="shared" si="29"/>
        <v>0</v>
      </c>
      <c r="R91" s="193">
        <f t="shared" si="29"/>
        <v>0</v>
      </c>
      <c r="S91" s="193">
        <f t="shared" si="29"/>
        <v>0</v>
      </c>
      <c r="T91" s="193">
        <f t="shared" si="29"/>
        <v>0</v>
      </c>
      <c r="U91" s="193">
        <f t="shared" si="29"/>
        <v>0</v>
      </c>
      <c r="V91" s="193">
        <f t="shared" si="29"/>
        <v>0</v>
      </c>
      <c r="W91" s="193">
        <f t="shared" si="29"/>
        <v>0</v>
      </c>
      <c r="X91" s="193">
        <f t="shared" si="29"/>
        <v>0</v>
      </c>
      <c r="Y91" s="193">
        <f t="shared" si="29"/>
        <v>0</v>
      </c>
      <c r="Z91" s="193">
        <f t="shared" si="29"/>
        <v>0</v>
      </c>
      <c r="AA91" s="193">
        <f t="shared" si="29"/>
        <v>0</v>
      </c>
      <c r="AB91" s="193">
        <f t="shared" si="29"/>
        <v>0</v>
      </c>
      <c r="AC91" s="193">
        <f t="shared" si="29"/>
        <v>0</v>
      </c>
      <c r="AD91" s="193">
        <f t="shared" si="29"/>
        <v>0</v>
      </c>
      <c r="AE91" s="193">
        <f t="shared" si="29"/>
        <v>0</v>
      </c>
      <c r="AF91" s="193">
        <f t="shared" si="29"/>
        <v>0</v>
      </c>
      <c r="AG91" s="193">
        <f t="shared" si="29"/>
        <v>0</v>
      </c>
      <c r="AH91" s="193">
        <f>IF(AND(AH88&gt;0,AG88&lt;0),(AH75-(AH88/(AH88-AG88))),0)</f>
        <v>0</v>
      </c>
      <c r="AI91" s="193">
        <f>IF(AND(AI88&gt;0,AH88&lt;0),(AI75-(AI88/(AI88-AH88))),0)</f>
        <v>0</v>
      </c>
      <c r="AJ91" s="193">
        <f>IF(AND(AJ88&gt;0,AI88&lt;0),(AJ75-(AJ88/(AJ88-AI88))),0)</f>
        <v>0</v>
      </c>
      <c r="AK91" s="285"/>
      <c r="AL91" s="224"/>
      <c r="AM91" s="224"/>
      <c r="AN91" s="224"/>
    </row>
    <row r="92" spans="1:40" s="180" customFormat="1" ht="15.75" x14ac:dyDescent="0.2">
      <c r="A92" s="179"/>
      <c r="B92" s="287">
        <v>2008</v>
      </c>
      <c r="C92" s="287">
        <v>2009</v>
      </c>
      <c r="D92" s="179">
        <v>2010</v>
      </c>
      <c r="E92" s="179">
        <v>2011</v>
      </c>
      <c r="F92" s="179">
        <v>2012</v>
      </c>
      <c r="G92" s="179">
        <v>2013</v>
      </c>
      <c r="H92" s="179">
        <v>2014</v>
      </c>
      <c r="I92" s="179">
        <v>2015</v>
      </c>
      <c r="J92" s="179">
        <v>2016</v>
      </c>
      <c r="K92" s="179">
        <v>2017</v>
      </c>
      <c r="L92" s="179">
        <v>2018</v>
      </c>
      <c r="M92" s="179">
        <v>2019</v>
      </c>
      <c r="N92" s="179">
        <v>2020</v>
      </c>
      <c r="O92" s="179">
        <v>2021</v>
      </c>
      <c r="P92" s="179">
        <v>2022</v>
      </c>
      <c r="Q92" s="179">
        <v>2023</v>
      </c>
      <c r="R92" s="179">
        <v>2024</v>
      </c>
      <c r="S92" s="179">
        <v>2025</v>
      </c>
      <c r="T92" s="179">
        <v>2026</v>
      </c>
      <c r="U92" s="179">
        <v>2027</v>
      </c>
      <c r="V92" s="179">
        <v>2028</v>
      </c>
      <c r="W92" s="179">
        <v>2029</v>
      </c>
      <c r="X92" s="179">
        <v>2030</v>
      </c>
      <c r="Y92" s="179">
        <v>2031</v>
      </c>
      <c r="Z92" s="179">
        <v>2032</v>
      </c>
      <c r="AA92" s="179">
        <v>2033</v>
      </c>
      <c r="AB92" s="179">
        <v>2034</v>
      </c>
      <c r="AC92" s="179">
        <v>2035</v>
      </c>
      <c r="AD92" s="179">
        <v>2036</v>
      </c>
      <c r="AE92" s="179">
        <v>2037</v>
      </c>
      <c r="AF92" s="179">
        <v>2038</v>
      </c>
      <c r="AG92" s="179">
        <v>2039</v>
      </c>
      <c r="AH92" s="179">
        <v>2040</v>
      </c>
      <c r="AI92" s="179">
        <v>2041</v>
      </c>
      <c r="AJ92" s="179">
        <v>2042</v>
      </c>
      <c r="AK92" s="285"/>
      <c r="AL92" s="288"/>
      <c r="AM92" s="288"/>
      <c r="AN92" s="288"/>
    </row>
    <row r="93" spans="1:40" s="234" customFormat="1" ht="15.75" x14ac:dyDescent="0.2">
      <c r="A93" s="384" t="s">
        <v>477</v>
      </c>
      <c r="B93" s="384"/>
      <c r="C93" s="384"/>
      <c r="D93" s="384"/>
      <c r="E93" s="384"/>
      <c r="F93" s="384"/>
      <c r="G93" s="384"/>
      <c r="H93" s="384"/>
      <c r="I93" s="384"/>
      <c r="J93" s="384"/>
      <c r="K93" s="384"/>
      <c r="L93" s="384"/>
      <c r="M93" s="384"/>
      <c r="N93" s="384"/>
      <c r="O93" s="384"/>
      <c r="P93" s="384"/>
      <c r="Q93" s="384"/>
      <c r="R93" s="384"/>
      <c r="S93" s="384"/>
      <c r="T93" s="384"/>
      <c r="U93" s="384"/>
      <c r="V93" s="384"/>
      <c r="W93" s="384"/>
      <c r="X93" s="384"/>
      <c r="Y93" s="384"/>
      <c r="Z93" s="384"/>
      <c r="AA93" s="384"/>
      <c r="AB93" s="384"/>
      <c r="AC93" s="384"/>
      <c r="AD93" s="384"/>
      <c r="AE93" s="384"/>
      <c r="AF93" s="384"/>
      <c r="AG93" s="384"/>
      <c r="AH93" s="289"/>
      <c r="AI93" s="289"/>
      <c r="AJ93" s="289"/>
      <c r="AK93" s="285"/>
      <c r="AL93" s="224"/>
      <c r="AM93" s="224"/>
      <c r="AN93" s="224"/>
    </row>
    <row r="94" spans="1:40" s="234" customFormat="1" ht="70.900000000000006" customHeight="1" x14ac:dyDescent="0.2">
      <c r="A94" s="380" t="s">
        <v>478</v>
      </c>
      <c r="B94" s="380"/>
      <c r="C94" s="380"/>
      <c r="D94" s="380"/>
      <c r="E94" s="380"/>
      <c r="F94" s="380"/>
      <c r="G94" s="380"/>
      <c r="H94" s="380"/>
      <c r="I94" s="380"/>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c r="AH94" s="188"/>
      <c r="AI94" s="188"/>
      <c r="AJ94" s="188"/>
      <c r="AK94" s="285"/>
      <c r="AL94" s="224"/>
      <c r="AM94" s="224"/>
      <c r="AN94" s="224"/>
    </row>
    <row r="95" spans="1:40" s="234" customFormat="1" ht="15.75" hidden="1" x14ac:dyDescent="0.2">
      <c r="A95" s="188"/>
      <c r="B95" s="188"/>
      <c r="C95" s="236"/>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c r="AH95" s="188"/>
      <c r="AI95" s="188"/>
      <c r="AJ95" s="188"/>
      <c r="AK95" s="285"/>
      <c r="AL95" s="224"/>
      <c r="AM95" s="224"/>
      <c r="AN95" s="224"/>
    </row>
    <row r="96" spans="1:40" s="182" customFormat="1" ht="32.25" hidden="1" customHeight="1" x14ac:dyDescent="0.2">
      <c r="A96" s="181" t="s">
        <v>589</v>
      </c>
      <c r="B96" s="290">
        <f>B82*B86</f>
        <v>-6905360</v>
      </c>
      <c r="C96" s="290">
        <f t="shared" ref="C96:AJ96" si="30">C82*C86</f>
        <v>-2417819.9999999995</v>
      </c>
      <c r="D96" s="290">
        <f t="shared" si="30"/>
        <v>0</v>
      </c>
      <c r="E96" s="290">
        <f t="shared" si="30"/>
        <v>0</v>
      </c>
      <c r="F96" s="290">
        <f t="shared" si="30"/>
        <v>0</v>
      </c>
      <c r="G96" s="290">
        <f t="shared" si="30"/>
        <v>-25486000</v>
      </c>
      <c r="H96" s="290">
        <f t="shared" si="30"/>
        <v>-103987000</v>
      </c>
      <c r="I96" s="290">
        <f t="shared" si="30"/>
        <v>-10042086.226400001</v>
      </c>
      <c r="J96" s="290">
        <f>J82*J86</f>
        <v>-12267786.489023378</v>
      </c>
      <c r="K96" s="290">
        <f t="shared" si="30"/>
        <v>-12563740.64945945</v>
      </c>
      <c r="L96" s="290">
        <f>L82*L86</f>
        <v>-6039015.4846514612</v>
      </c>
      <c r="M96" s="290">
        <f t="shared" si="30"/>
        <v>0</v>
      </c>
      <c r="N96" s="290">
        <f t="shared" si="30"/>
        <v>0</v>
      </c>
      <c r="O96" s="290">
        <f t="shared" si="30"/>
        <v>0</v>
      </c>
      <c r="P96" s="290">
        <f t="shared" si="30"/>
        <v>0</v>
      </c>
      <c r="Q96" s="290">
        <f t="shared" si="30"/>
        <v>0</v>
      </c>
      <c r="R96" s="290">
        <f t="shared" si="30"/>
        <v>0</v>
      </c>
      <c r="S96" s="290">
        <f t="shared" si="30"/>
        <v>0</v>
      </c>
      <c r="T96" s="290">
        <f t="shared" si="30"/>
        <v>0</v>
      </c>
      <c r="U96" s="290">
        <f t="shared" si="30"/>
        <v>0</v>
      </c>
      <c r="V96" s="290">
        <f t="shared" si="30"/>
        <v>0</v>
      </c>
      <c r="W96" s="290">
        <f t="shared" si="30"/>
        <v>0</v>
      </c>
      <c r="X96" s="290">
        <f t="shared" si="30"/>
        <v>0</v>
      </c>
      <c r="Y96" s="290">
        <f t="shared" si="30"/>
        <v>0</v>
      </c>
      <c r="Z96" s="290">
        <f t="shared" si="30"/>
        <v>0</v>
      </c>
      <c r="AA96" s="290">
        <f t="shared" si="30"/>
        <v>0</v>
      </c>
      <c r="AB96" s="290">
        <f t="shared" si="30"/>
        <v>0</v>
      </c>
      <c r="AC96" s="290">
        <f t="shared" si="30"/>
        <v>0</v>
      </c>
      <c r="AD96" s="290">
        <f t="shared" si="30"/>
        <v>0</v>
      </c>
      <c r="AE96" s="290">
        <f t="shared" si="30"/>
        <v>0</v>
      </c>
      <c r="AF96" s="290">
        <f t="shared" si="30"/>
        <v>0</v>
      </c>
      <c r="AG96" s="290">
        <f t="shared" si="30"/>
        <v>0</v>
      </c>
      <c r="AH96" s="290">
        <f t="shared" si="30"/>
        <v>0</v>
      </c>
      <c r="AI96" s="290">
        <f t="shared" si="30"/>
        <v>0</v>
      </c>
      <c r="AJ96" s="290">
        <f t="shared" si="30"/>
        <v>0</v>
      </c>
      <c r="AK96" s="291">
        <f>SUM(B96:AJ96)</f>
        <v>-179708808.84953427</v>
      </c>
      <c r="AL96" s="224"/>
      <c r="AM96" s="224"/>
      <c r="AN96" s="224"/>
    </row>
    <row r="97" spans="1:40" s="182" customFormat="1" ht="15.75" hidden="1" x14ac:dyDescent="0.2">
      <c r="A97" s="292">
        <f>AK96</f>
        <v>-179708808.84953427</v>
      </c>
      <c r="B97" s="181"/>
      <c r="C97" s="181"/>
      <c r="D97" s="181"/>
      <c r="E97" s="181"/>
      <c r="F97" s="181"/>
      <c r="G97" s="181"/>
      <c r="H97" s="181"/>
      <c r="I97" s="181"/>
      <c r="J97" s="181"/>
      <c r="K97" s="181"/>
      <c r="L97" s="181"/>
      <c r="M97" s="181"/>
      <c r="N97" s="181"/>
      <c r="O97" s="181"/>
      <c r="P97" s="181"/>
      <c r="Q97" s="181"/>
      <c r="R97" s="181"/>
      <c r="S97" s="181"/>
      <c r="T97" s="181"/>
      <c r="U97" s="181"/>
      <c r="V97" s="181"/>
      <c r="W97" s="181"/>
      <c r="X97" s="181"/>
      <c r="Y97" s="181"/>
      <c r="Z97" s="181"/>
      <c r="AA97" s="181"/>
      <c r="AB97" s="181"/>
      <c r="AC97" s="181"/>
      <c r="AD97" s="181"/>
      <c r="AE97" s="181"/>
      <c r="AF97" s="181"/>
      <c r="AG97" s="181"/>
      <c r="AH97" s="181"/>
      <c r="AI97" s="181"/>
      <c r="AJ97" s="181"/>
      <c r="AK97" s="285"/>
      <c r="AL97" s="224"/>
      <c r="AM97" s="224"/>
      <c r="AN97" s="224"/>
    </row>
    <row r="98" spans="1:40" s="182" customFormat="1" ht="15.75" hidden="1" x14ac:dyDescent="0.2">
      <c r="A98" s="181"/>
      <c r="B98" s="181"/>
      <c r="C98" s="181"/>
      <c r="D98" s="181"/>
      <c r="E98" s="181"/>
      <c r="F98" s="181"/>
      <c r="G98" s="181"/>
      <c r="H98" s="181"/>
      <c r="I98" s="181"/>
      <c r="J98" s="181"/>
      <c r="K98" s="181"/>
      <c r="L98" s="181"/>
      <c r="M98" s="181"/>
      <c r="N98" s="181"/>
      <c r="O98" s="181"/>
      <c r="P98" s="181"/>
      <c r="Q98" s="181"/>
      <c r="R98" s="181"/>
      <c r="S98" s="181"/>
      <c r="T98" s="181"/>
      <c r="U98" s="181"/>
      <c r="V98" s="181"/>
      <c r="W98" s="181"/>
      <c r="X98" s="181"/>
      <c r="Y98" s="181"/>
      <c r="Z98" s="181"/>
      <c r="AA98" s="181"/>
      <c r="AB98" s="181"/>
      <c r="AC98" s="181"/>
      <c r="AD98" s="181"/>
      <c r="AE98" s="181"/>
      <c r="AF98" s="181"/>
      <c r="AG98" s="181"/>
      <c r="AH98" s="181"/>
      <c r="AI98" s="181"/>
      <c r="AJ98" s="181"/>
      <c r="AK98" s="285"/>
      <c r="AL98" s="224"/>
      <c r="AM98" s="224"/>
      <c r="AN98" s="224"/>
    </row>
    <row r="99" spans="1:40" s="182" customFormat="1" ht="15.75" hidden="1" x14ac:dyDescent="0.2">
      <c r="A99" s="181" t="s">
        <v>590</v>
      </c>
      <c r="B99" s="293">
        <f>(G30+-A97)/-A97</f>
        <v>2.0972970304659331</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K99" s="285"/>
      <c r="AL99" s="224"/>
      <c r="AM99" s="224"/>
      <c r="AN99" s="224"/>
    </row>
    <row r="100" spans="1:40" s="182" customFormat="1" ht="15.75" x14ac:dyDescent="0.2">
      <c r="A100" s="181"/>
      <c r="B100" s="237"/>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K100" s="285"/>
      <c r="AL100" s="224"/>
      <c r="AM100" s="224"/>
      <c r="AN100" s="224"/>
    </row>
    <row r="101" spans="1:40" s="234" customFormat="1" ht="15.75" x14ac:dyDescent="0.2">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285"/>
      <c r="AL101" s="224"/>
      <c r="AM101" s="224"/>
      <c r="AN101" s="224"/>
    </row>
  </sheetData>
  <mergeCells count="15">
    <mergeCell ref="A15:H15"/>
    <mergeCell ref="A16:H16"/>
    <mergeCell ref="A18:H18"/>
    <mergeCell ref="A5:H5"/>
    <mergeCell ref="A7:H7"/>
    <mergeCell ref="A9:H9"/>
    <mergeCell ref="A10:H10"/>
    <mergeCell ref="A12:H12"/>
    <mergeCell ref="A13:H13"/>
    <mergeCell ref="A94:I94"/>
    <mergeCell ref="D28:F28"/>
    <mergeCell ref="D29:F29"/>
    <mergeCell ref="D30:F30"/>
    <mergeCell ref="D31:F31"/>
    <mergeCell ref="A93:AG93"/>
  </mergeCells>
  <pageMargins left="0.70866141732283472" right="0.70866141732283472" top="0.37" bottom="0.39"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28" zoomScale="80" zoomScaleSheetLayoutView="80" workbookViewId="0">
      <selection activeCell="C26" sqref="C26"/>
    </sheetView>
  </sheetViews>
  <sheetFormatPr defaultRowHeight="15.75" x14ac:dyDescent="0.25"/>
  <cols>
    <col min="1" max="1" width="9.140625" style="66"/>
    <col min="2" max="2" width="37.7109375" style="66" customWidth="1"/>
    <col min="3" max="4" width="12"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332" t="str">
        <f>'1. паспорт местоположение'!A5:C5</f>
        <v>Год раскрытия информации: 2016 год</v>
      </c>
      <c r="B5" s="332"/>
      <c r="C5" s="332"/>
      <c r="D5" s="332"/>
      <c r="E5" s="332"/>
      <c r="F5" s="332"/>
      <c r="G5" s="332"/>
      <c r="H5" s="332"/>
      <c r="I5" s="332"/>
      <c r="J5" s="332"/>
      <c r="K5" s="332"/>
      <c r="L5" s="332"/>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30" t="s">
        <v>10</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333" t="str">
        <f>'1. паспорт местоположение'!A9:C9</f>
        <v xml:space="preserve">                         АО "Янтарьэнерго"                         </v>
      </c>
      <c r="B9" s="333"/>
      <c r="C9" s="333"/>
      <c r="D9" s="333"/>
      <c r="E9" s="333"/>
      <c r="F9" s="333"/>
      <c r="G9" s="333"/>
      <c r="H9" s="333"/>
      <c r="I9" s="333"/>
      <c r="J9" s="333"/>
      <c r="K9" s="333"/>
      <c r="L9" s="333"/>
    </row>
    <row r="10" spans="1:44" x14ac:dyDescent="0.25">
      <c r="A10" s="327" t="s">
        <v>9</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333" t="str">
        <f>'1. паспорт местоположение'!A12:C12</f>
        <v>А_prj_111001_2484</v>
      </c>
      <c r="B12" s="333"/>
      <c r="C12" s="333"/>
      <c r="D12" s="333"/>
      <c r="E12" s="333"/>
      <c r="F12" s="333"/>
      <c r="G12" s="333"/>
      <c r="H12" s="333"/>
      <c r="I12" s="333"/>
      <c r="J12" s="333"/>
      <c r="K12" s="333"/>
      <c r="L12" s="333"/>
    </row>
    <row r="13" spans="1:44" x14ac:dyDescent="0.25">
      <c r="A13" s="327" t="s">
        <v>8</v>
      </c>
      <c r="B13" s="327"/>
      <c r="C13" s="327"/>
      <c r="D13" s="327"/>
      <c r="E13" s="327"/>
      <c r="F13" s="327"/>
      <c r="G13" s="327"/>
      <c r="H13" s="327"/>
      <c r="I13" s="327"/>
      <c r="J13" s="327"/>
      <c r="K13" s="327"/>
      <c r="L13" s="327"/>
    </row>
    <row r="14" spans="1:44" ht="18.75" x14ac:dyDescent="0.25">
      <c r="A14" s="337"/>
      <c r="B14" s="337"/>
      <c r="C14" s="337"/>
      <c r="D14" s="337"/>
      <c r="E14" s="337"/>
      <c r="F14" s="337"/>
      <c r="G14" s="337"/>
      <c r="H14" s="337"/>
      <c r="I14" s="337"/>
      <c r="J14" s="337"/>
      <c r="K14" s="337"/>
      <c r="L14" s="337"/>
    </row>
    <row r="15" spans="1:44" x14ac:dyDescent="0.25">
      <c r="A15" s="338" t="str">
        <f>'1. паспорт местоположение'!A15:C15</f>
        <v xml:space="preserve">Расширение ПС 110/15кВ О-47 "Борисово" </v>
      </c>
      <c r="B15" s="338"/>
      <c r="C15" s="338"/>
      <c r="D15" s="338"/>
      <c r="E15" s="338"/>
      <c r="F15" s="338"/>
      <c r="G15" s="338"/>
      <c r="H15" s="338"/>
      <c r="I15" s="338"/>
      <c r="J15" s="338"/>
      <c r="K15" s="338"/>
      <c r="L15" s="338"/>
    </row>
    <row r="16" spans="1:44" x14ac:dyDescent="0.25">
      <c r="A16" s="327" t="s">
        <v>7</v>
      </c>
      <c r="B16" s="327"/>
      <c r="C16" s="327"/>
      <c r="D16" s="327"/>
      <c r="E16" s="327"/>
      <c r="F16" s="327"/>
      <c r="G16" s="327"/>
      <c r="H16" s="327"/>
      <c r="I16" s="327"/>
      <c r="J16" s="327"/>
      <c r="K16" s="327"/>
      <c r="L16" s="327"/>
    </row>
    <row r="17" spans="1:12" x14ac:dyDescent="0.25">
      <c r="L17" s="100"/>
    </row>
    <row r="18" spans="1:12" x14ac:dyDescent="0.25">
      <c r="K18" s="99"/>
    </row>
    <row r="19" spans="1:12" x14ac:dyDescent="0.25">
      <c r="A19" s="399" t="s">
        <v>420</v>
      </c>
      <c r="B19" s="399"/>
      <c r="C19" s="399"/>
      <c r="D19" s="399"/>
      <c r="E19" s="399"/>
      <c r="F19" s="399"/>
      <c r="G19" s="399"/>
      <c r="H19" s="399"/>
      <c r="I19" s="399"/>
      <c r="J19" s="399"/>
      <c r="K19" s="399"/>
      <c r="L19" s="399"/>
    </row>
    <row r="20" spans="1:12" x14ac:dyDescent="0.25">
      <c r="A20" s="70"/>
      <c r="B20" s="70"/>
      <c r="C20" s="98"/>
      <c r="D20" s="98"/>
      <c r="E20" s="98"/>
      <c r="F20" s="98"/>
      <c r="G20" s="98"/>
      <c r="H20" s="98"/>
      <c r="I20" s="98"/>
      <c r="J20" s="98"/>
      <c r="K20" s="98"/>
      <c r="L20" s="98"/>
    </row>
    <row r="21" spans="1:12" x14ac:dyDescent="0.25">
      <c r="A21" s="387" t="s">
        <v>218</v>
      </c>
      <c r="B21" s="387" t="s">
        <v>217</v>
      </c>
      <c r="C21" s="392" t="s">
        <v>377</v>
      </c>
      <c r="D21" s="392"/>
      <c r="E21" s="392"/>
      <c r="F21" s="392"/>
      <c r="G21" s="392"/>
      <c r="H21" s="392"/>
      <c r="I21" s="400" t="s">
        <v>216</v>
      </c>
      <c r="J21" s="389" t="s">
        <v>379</v>
      </c>
      <c r="K21" s="387" t="s">
        <v>215</v>
      </c>
      <c r="L21" s="388" t="s">
        <v>378</v>
      </c>
    </row>
    <row r="22" spans="1:12" x14ac:dyDescent="0.25">
      <c r="A22" s="387"/>
      <c r="B22" s="387"/>
      <c r="C22" s="393" t="s">
        <v>3</v>
      </c>
      <c r="D22" s="393"/>
      <c r="E22" s="158"/>
      <c r="F22" s="159"/>
      <c r="G22" s="394" t="s">
        <v>2</v>
      </c>
      <c r="H22" s="395"/>
      <c r="I22" s="400"/>
      <c r="J22" s="390"/>
      <c r="K22" s="387"/>
      <c r="L22" s="388"/>
    </row>
    <row r="23" spans="1:12" ht="47.25" x14ac:dyDescent="0.25">
      <c r="A23" s="387"/>
      <c r="B23" s="387"/>
      <c r="C23" s="97" t="s">
        <v>214</v>
      </c>
      <c r="D23" s="97" t="s">
        <v>213</v>
      </c>
      <c r="E23" s="97" t="s">
        <v>214</v>
      </c>
      <c r="F23" s="97" t="s">
        <v>213</v>
      </c>
      <c r="G23" s="97" t="s">
        <v>214</v>
      </c>
      <c r="H23" s="97" t="s">
        <v>213</v>
      </c>
      <c r="I23" s="400"/>
      <c r="J23" s="391"/>
      <c r="K23" s="387"/>
      <c r="L23" s="388"/>
    </row>
    <row r="24" spans="1:12" x14ac:dyDescent="0.25">
      <c r="A24" s="77">
        <v>1</v>
      </c>
      <c r="B24" s="77">
        <v>2</v>
      </c>
      <c r="C24" s="97">
        <v>3</v>
      </c>
      <c r="D24" s="97">
        <v>4</v>
      </c>
      <c r="E24" s="97">
        <v>5</v>
      </c>
      <c r="F24" s="97">
        <v>6</v>
      </c>
      <c r="G24" s="97">
        <v>7</v>
      </c>
      <c r="H24" s="97">
        <v>8</v>
      </c>
      <c r="I24" s="97">
        <v>9</v>
      </c>
      <c r="J24" s="97">
        <v>10</v>
      </c>
      <c r="K24" s="97">
        <v>11</v>
      </c>
      <c r="L24" s="97">
        <v>12</v>
      </c>
    </row>
    <row r="25" spans="1:12" ht="31.5" x14ac:dyDescent="0.25">
      <c r="A25" s="91">
        <v>1</v>
      </c>
      <c r="B25" s="240" t="s">
        <v>212</v>
      </c>
      <c r="C25" s="90" t="s">
        <v>498</v>
      </c>
      <c r="D25" s="89" t="s">
        <v>498</v>
      </c>
      <c r="E25" s="96"/>
      <c r="F25" s="96"/>
      <c r="G25" s="96"/>
      <c r="H25" s="96"/>
      <c r="I25" s="96"/>
      <c r="J25" s="96"/>
      <c r="K25" s="89"/>
      <c r="L25" s="108"/>
    </row>
    <row r="26" spans="1:12" ht="31.5" x14ac:dyDescent="0.25">
      <c r="A26" s="91">
        <v>1.1000000000000001</v>
      </c>
      <c r="B26" s="241" t="s">
        <v>499</v>
      </c>
      <c r="C26" s="242" t="s">
        <v>500</v>
      </c>
      <c r="D26" s="242" t="s">
        <v>501</v>
      </c>
      <c r="E26" s="96"/>
      <c r="F26" s="96"/>
      <c r="G26" s="242" t="s">
        <v>500</v>
      </c>
      <c r="H26" s="242" t="s">
        <v>501</v>
      </c>
      <c r="I26" s="243">
        <v>100</v>
      </c>
      <c r="J26" s="96"/>
      <c r="K26" s="89"/>
      <c r="L26" s="89"/>
    </row>
    <row r="27" spans="1:12" s="73" customFormat="1" ht="31.5" x14ac:dyDescent="0.25">
      <c r="A27" s="91">
        <v>1.2</v>
      </c>
      <c r="B27" s="241" t="s">
        <v>502</v>
      </c>
      <c r="C27" s="242" t="s">
        <v>503</v>
      </c>
      <c r="D27" s="242" t="s">
        <v>504</v>
      </c>
      <c r="E27" s="96"/>
      <c r="F27" s="96"/>
      <c r="G27" s="242" t="s">
        <v>503</v>
      </c>
      <c r="H27" s="242" t="s">
        <v>504</v>
      </c>
      <c r="I27" s="243">
        <v>100</v>
      </c>
      <c r="J27" s="96"/>
      <c r="K27" s="89"/>
      <c r="L27" s="89"/>
    </row>
    <row r="28" spans="1:12" s="73" customFormat="1" ht="31.5" x14ac:dyDescent="0.25">
      <c r="A28" s="91">
        <v>1.3</v>
      </c>
      <c r="B28" s="241" t="s">
        <v>505</v>
      </c>
      <c r="C28" s="242" t="s">
        <v>506</v>
      </c>
      <c r="D28" s="242" t="s">
        <v>507</v>
      </c>
      <c r="E28" s="96"/>
      <c r="F28" s="96"/>
      <c r="G28" s="242" t="s">
        <v>506</v>
      </c>
      <c r="H28" s="242" t="s">
        <v>507</v>
      </c>
      <c r="I28" s="243">
        <v>100</v>
      </c>
      <c r="J28" s="96"/>
      <c r="K28" s="89"/>
      <c r="L28" s="89"/>
    </row>
    <row r="29" spans="1:12" s="73" customFormat="1" ht="63" x14ac:dyDescent="0.25">
      <c r="A29" s="91">
        <v>1.4</v>
      </c>
      <c r="B29" s="241" t="s">
        <v>508</v>
      </c>
      <c r="C29" s="242" t="s">
        <v>509</v>
      </c>
      <c r="D29" s="242" t="s">
        <v>510</v>
      </c>
      <c r="E29" s="96"/>
      <c r="F29" s="96"/>
      <c r="G29" s="242" t="s">
        <v>509</v>
      </c>
      <c r="H29" s="242" t="s">
        <v>510</v>
      </c>
      <c r="I29" s="243">
        <v>100</v>
      </c>
      <c r="J29" s="96"/>
      <c r="K29" s="89"/>
      <c r="L29" s="89"/>
    </row>
    <row r="30" spans="1:12" s="73" customFormat="1" ht="31.5" x14ac:dyDescent="0.25">
      <c r="A30" s="91">
        <v>1.5</v>
      </c>
      <c r="B30" s="241" t="s">
        <v>211</v>
      </c>
      <c r="C30" s="242" t="s">
        <v>509</v>
      </c>
      <c r="D30" s="242" t="s">
        <v>510</v>
      </c>
      <c r="E30" s="96"/>
      <c r="F30" s="96"/>
      <c r="G30" s="242" t="s">
        <v>509</v>
      </c>
      <c r="H30" s="242" t="s">
        <v>510</v>
      </c>
      <c r="I30" s="243">
        <v>100</v>
      </c>
      <c r="J30" s="96"/>
      <c r="K30" s="89"/>
      <c r="L30" s="89"/>
    </row>
    <row r="31" spans="1:12" s="73" customFormat="1" ht="31.5" x14ac:dyDescent="0.25">
      <c r="A31" s="91">
        <v>1.6</v>
      </c>
      <c r="B31" s="241" t="s">
        <v>210</v>
      </c>
      <c r="C31" s="242" t="s">
        <v>511</v>
      </c>
      <c r="D31" s="242" t="s">
        <v>512</v>
      </c>
      <c r="E31" s="96"/>
      <c r="F31" s="96"/>
      <c r="G31" s="242" t="s">
        <v>511</v>
      </c>
      <c r="H31" s="242" t="s">
        <v>512</v>
      </c>
      <c r="I31" s="243">
        <v>100</v>
      </c>
      <c r="J31" s="96"/>
      <c r="K31" s="89"/>
      <c r="L31" s="89"/>
    </row>
    <row r="32" spans="1:12" s="73" customFormat="1" x14ac:dyDescent="0.25">
      <c r="A32" s="91">
        <v>2</v>
      </c>
      <c r="B32" s="240" t="s">
        <v>209</v>
      </c>
      <c r="C32" s="90" t="s">
        <v>498</v>
      </c>
      <c r="D32" s="89" t="s">
        <v>498</v>
      </c>
      <c r="E32" s="96"/>
      <c r="F32" s="96"/>
      <c r="G32" s="242" t="s">
        <v>498</v>
      </c>
      <c r="H32" s="242" t="s">
        <v>498</v>
      </c>
      <c r="I32" s="244" t="s">
        <v>498</v>
      </c>
      <c r="J32" s="96"/>
      <c r="K32" s="89"/>
      <c r="L32" s="89"/>
    </row>
    <row r="33" spans="1:12" s="73" customFormat="1" ht="31.5" x14ac:dyDescent="0.25">
      <c r="A33" s="91">
        <v>2.1</v>
      </c>
      <c r="B33" s="241" t="s">
        <v>513</v>
      </c>
      <c r="C33" s="242" t="s">
        <v>506</v>
      </c>
      <c r="D33" s="242" t="s">
        <v>507</v>
      </c>
      <c r="E33" s="96"/>
      <c r="F33" s="96"/>
      <c r="G33" s="242" t="s">
        <v>506</v>
      </c>
      <c r="H33" s="242" t="s">
        <v>507</v>
      </c>
      <c r="I33" s="243">
        <v>100</v>
      </c>
      <c r="J33" s="96"/>
      <c r="K33" s="89"/>
      <c r="L33" s="89"/>
    </row>
    <row r="34" spans="1:12" s="73" customFormat="1" ht="63" x14ac:dyDescent="0.25">
      <c r="A34" s="91">
        <v>2.2000000000000002</v>
      </c>
      <c r="B34" s="241" t="s">
        <v>514</v>
      </c>
      <c r="C34" s="242"/>
      <c r="D34" s="242"/>
      <c r="E34" s="95"/>
      <c r="F34" s="95"/>
      <c r="G34" s="242"/>
      <c r="H34" s="242"/>
      <c r="I34" s="243"/>
      <c r="J34" s="95"/>
      <c r="K34" s="95"/>
      <c r="L34" s="89"/>
    </row>
    <row r="35" spans="1:12" s="73" customFormat="1" ht="31.5" x14ac:dyDescent="0.25">
      <c r="A35" s="91">
        <v>2.2999999999999998</v>
      </c>
      <c r="B35" s="241" t="s">
        <v>515</v>
      </c>
      <c r="C35" s="242"/>
      <c r="D35" s="242"/>
      <c r="E35" s="95"/>
      <c r="F35" s="95"/>
      <c r="G35" s="242"/>
      <c r="H35" s="242"/>
      <c r="I35" s="243"/>
      <c r="J35" s="95"/>
      <c r="K35" s="95"/>
      <c r="L35" s="89"/>
    </row>
    <row r="36" spans="1:12" ht="47.25" customHeight="1" x14ac:dyDescent="0.25">
      <c r="A36" s="91">
        <v>3</v>
      </c>
      <c r="B36" s="240" t="s">
        <v>516</v>
      </c>
      <c r="C36" s="90" t="s">
        <v>498</v>
      </c>
      <c r="D36" s="89" t="s">
        <v>498</v>
      </c>
      <c r="E36" s="94"/>
      <c r="F36" s="93"/>
      <c r="G36" s="242"/>
      <c r="H36" s="242"/>
      <c r="I36" s="244" t="s">
        <v>498</v>
      </c>
      <c r="J36" s="92"/>
      <c r="K36" s="396" t="s">
        <v>596</v>
      </c>
      <c r="L36" s="89"/>
    </row>
    <row r="37" spans="1:12" ht="47.25" x14ac:dyDescent="0.25">
      <c r="A37" s="91">
        <v>3.1</v>
      </c>
      <c r="B37" s="241" t="s">
        <v>517</v>
      </c>
      <c r="C37" s="242" t="s">
        <v>518</v>
      </c>
      <c r="D37" s="242" t="s">
        <v>519</v>
      </c>
      <c r="E37" s="94"/>
      <c r="F37" s="93"/>
      <c r="G37" s="242" t="s">
        <v>518</v>
      </c>
      <c r="H37" s="242" t="s">
        <v>519</v>
      </c>
      <c r="I37" s="243">
        <v>100</v>
      </c>
      <c r="J37" s="92"/>
      <c r="K37" s="397"/>
      <c r="L37" s="89"/>
    </row>
    <row r="38" spans="1:12" ht="31.5" x14ac:dyDescent="0.25">
      <c r="A38" s="91">
        <v>3.2</v>
      </c>
      <c r="B38" s="241" t="s">
        <v>208</v>
      </c>
      <c r="C38" s="242" t="s">
        <v>518</v>
      </c>
      <c r="D38" s="242">
        <v>42765</v>
      </c>
      <c r="E38" s="89"/>
      <c r="F38" s="89"/>
      <c r="G38" s="242" t="s">
        <v>518</v>
      </c>
      <c r="H38" s="242"/>
      <c r="I38" s="89"/>
      <c r="J38" s="89"/>
      <c r="K38" s="397"/>
      <c r="L38" s="89"/>
    </row>
    <row r="39" spans="1:12" ht="31.5" x14ac:dyDescent="0.25">
      <c r="A39" s="91">
        <v>3.3</v>
      </c>
      <c r="B39" s="241" t="s">
        <v>207</v>
      </c>
      <c r="C39" s="242" t="s">
        <v>520</v>
      </c>
      <c r="D39" s="242">
        <v>42795</v>
      </c>
      <c r="E39" s="89"/>
      <c r="F39" s="89"/>
      <c r="G39" s="242" t="s">
        <v>520</v>
      </c>
      <c r="H39" s="242"/>
      <c r="I39" s="89"/>
      <c r="J39" s="89"/>
      <c r="K39" s="397"/>
      <c r="L39" s="89"/>
    </row>
    <row r="40" spans="1:12" x14ac:dyDescent="0.25">
      <c r="A40" s="91">
        <v>3.4</v>
      </c>
      <c r="B40" s="241" t="s">
        <v>206</v>
      </c>
      <c r="C40" s="242">
        <v>42795</v>
      </c>
      <c r="D40" s="242">
        <v>42856</v>
      </c>
      <c r="E40" s="89"/>
      <c r="F40" s="89"/>
      <c r="G40" s="242"/>
      <c r="H40" s="242"/>
      <c r="I40" s="89"/>
      <c r="J40" s="89"/>
      <c r="K40" s="397"/>
      <c r="L40" s="89"/>
    </row>
    <row r="41" spans="1:12" x14ac:dyDescent="0.25">
      <c r="A41" s="91">
        <v>3.5</v>
      </c>
      <c r="B41" s="241" t="s">
        <v>521</v>
      </c>
      <c r="C41" s="242">
        <v>42826</v>
      </c>
      <c r="D41" s="242">
        <v>42886</v>
      </c>
      <c r="E41" s="89"/>
      <c r="F41" s="89"/>
      <c r="G41" s="242"/>
      <c r="H41" s="242"/>
      <c r="I41" s="89"/>
      <c r="J41" s="89"/>
      <c r="K41" s="397"/>
      <c r="L41" s="89"/>
    </row>
    <row r="42" spans="1:12" ht="31.5" x14ac:dyDescent="0.25">
      <c r="A42" s="91">
        <v>4</v>
      </c>
      <c r="B42" s="240" t="s">
        <v>205</v>
      </c>
      <c r="C42" s="90" t="s">
        <v>498</v>
      </c>
      <c r="D42" s="89" t="s">
        <v>498</v>
      </c>
      <c r="E42" s="89"/>
      <c r="F42" s="89"/>
      <c r="G42" s="242"/>
      <c r="H42" s="242"/>
      <c r="I42" s="89"/>
      <c r="J42" s="89"/>
      <c r="K42" s="397"/>
      <c r="L42" s="89"/>
    </row>
    <row r="43" spans="1:12" ht="31.5" x14ac:dyDescent="0.25">
      <c r="A43" s="91">
        <v>4.0999999999999996</v>
      </c>
      <c r="B43" s="241" t="s">
        <v>204</v>
      </c>
      <c r="C43" s="242">
        <v>42887</v>
      </c>
      <c r="D43" s="242">
        <v>42892</v>
      </c>
      <c r="E43" s="89"/>
      <c r="F43" s="89"/>
      <c r="G43" s="242"/>
      <c r="H43" s="242"/>
      <c r="I43" s="89"/>
      <c r="J43" s="89"/>
      <c r="K43" s="397"/>
      <c r="L43" s="89"/>
    </row>
    <row r="44" spans="1:12" ht="63" x14ac:dyDescent="0.25">
      <c r="A44" s="91">
        <v>4.2</v>
      </c>
      <c r="B44" s="241" t="s">
        <v>203</v>
      </c>
      <c r="C44" s="242"/>
      <c r="D44" s="242"/>
      <c r="E44" s="89"/>
      <c r="F44" s="89"/>
      <c r="G44" s="89"/>
      <c r="H44" s="89"/>
      <c r="I44" s="89"/>
      <c r="J44" s="89"/>
      <c r="K44" s="397"/>
      <c r="L44" s="89"/>
    </row>
    <row r="45" spans="1:12" ht="31.5" x14ac:dyDescent="0.25">
      <c r="A45" s="91">
        <v>4.3</v>
      </c>
      <c r="B45" s="241" t="s">
        <v>202</v>
      </c>
      <c r="C45" s="242">
        <v>42892</v>
      </c>
      <c r="D45" s="242">
        <v>42916</v>
      </c>
      <c r="E45" s="89"/>
      <c r="F45" s="89"/>
      <c r="G45" s="89"/>
      <c r="H45" s="89"/>
      <c r="I45" s="89"/>
      <c r="J45" s="89"/>
      <c r="K45" s="397"/>
      <c r="L45" s="89"/>
    </row>
    <row r="46" spans="1:12" ht="31.5" x14ac:dyDescent="0.25">
      <c r="A46" s="91">
        <v>4.4000000000000004</v>
      </c>
      <c r="B46" s="241" t="s">
        <v>522</v>
      </c>
      <c r="C46" s="242">
        <v>42892</v>
      </c>
      <c r="D46" s="242">
        <v>42916</v>
      </c>
      <c r="E46" s="89"/>
      <c r="F46" s="89"/>
      <c r="G46" s="89"/>
      <c r="H46" s="89"/>
      <c r="I46" s="89"/>
      <c r="J46" s="89"/>
      <c r="K46" s="398"/>
      <c r="L46" s="89"/>
    </row>
  </sheetData>
  <mergeCells count="22">
    <mergeCell ref="K36:K46"/>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2016-03-31T14:59:33Z</cp:lastPrinted>
  <dcterms:created xsi:type="dcterms:W3CDTF">2015-08-16T15:31:05Z</dcterms:created>
  <dcterms:modified xsi:type="dcterms:W3CDTF">2017-02-07T07:50:05Z</dcterms:modified>
</cp:coreProperties>
</file>