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ввод'!$A$1:$W$64</definedName>
    <definedName name="_xlnm.Print_Area" localSheetId="11">'8. Общие сведения'!$A$1:$B$123</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B93" i="53" l="1"/>
  <c r="B89" i="53" l="1"/>
  <c r="B100" i="53"/>
  <c r="B98" i="53"/>
  <c r="B88" i="53"/>
  <c r="B122" i="57" l="1"/>
  <c r="D26" i="5" l="1"/>
  <c r="Q54" i="15"/>
  <c r="P54" i="15"/>
  <c r="Q45" i="15"/>
  <c r="P45" i="15"/>
  <c r="B117" i="57"/>
  <c r="P26" i="13"/>
  <c r="AD26" i="5" l="1"/>
  <c r="AD33" i="5" s="1"/>
  <c r="B29" i="53" s="1"/>
  <c r="K29" i="5"/>
  <c r="G29" i="5"/>
  <c r="D29" i="5"/>
  <c r="V25" i="15"/>
  <c r="W25" i="15"/>
  <c r="V26" i="15"/>
  <c r="W26" i="15"/>
  <c r="V27" i="15"/>
  <c r="W27" i="15"/>
  <c r="V28" i="15"/>
  <c r="W28" i="15"/>
  <c r="V29" i="15"/>
  <c r="W29" i="15"/>
  <c r="V31" i="15"/>
  <c r="W31" i="15"/>
  <c r="V32" i="15"/>
  <c r="W32" i="15"/>
  <c r="V33" i="15"/>
  <c r="W33" i="15"/>
  <c r="V34" i="15"/>
  <c r="W34" i="15"/>
  <c r="V35" i="15"/>
  <c r="W35" i="15"/>
  <c r="V36" i="15"/>
  <c r="W36" i="15"/>
  <c r="V37" i="15"/>
  <c r="W37" i="15"/>
  <c r="V38" i="15"/>
  <c r="W38" i="15"/>
  <c r="V39" i="15"/>
  <c r="W39" i="15"/>
  <c r="V40" i="15"/>
  <c r="W40" i="15"/>
  <c r="V41" i="15"/>
  <c r="W41" i="15"/>
  <c r="V42" i="15"/>
  <c r="W42" i="15"/>
  <c r="V43" i="15"/>
  <c r="W43" i="15"/>
  <c r="V44" i="15"/>
  <c r="W44" i="15"/>
  <c r="V45" i="15"/>
  <c r="W45" i="15"/>
  <c r="V46" i="15"/>
  <c r="W46" i="15"/>
  <c r="V47" i="15"/>
  <c r="W47" i="15"/>
  <c r="V48" i="15"/>
  <c r="W48" i="15"/>
  <c r="V49" i="15"/>
  <c r="W49" i="15"/>
  <c r="V50" i="15"/>
  <c r="W50" i="15"/>
  <c r="V51" i="15"/>
  <c r="W51" i="15"/>
  <c r="V52" i="15"/>
  <c r="W52" i="15"/>
  <c r="V53" i="15"/>
  <c r="W53" i="15"/>
  <c r="V54" i="15"/>
  <c r="W54" i="15"/>
  <c r="V55" i="15"/>
  <c r="W55" i="15"/>
  <c r="V56" i="15"/>
  <c r="W56" i="15"/>
  <c r="V57" i="15"/>
  <c r="W57" i="15"/>
  <c r="V58" i="15"/>
  <c r="W58" i="15"/>
  <c r="V59" i="15"/>
  <c r="W59" i="15"/>
  <c r="V60" i="15"/>
  <c r="W60" i="15"/>
  <c r="V61" i="15"/>
  <c r="W61" i="15"/>
  <c r="V62" i="15"/>
  <c r="W62" i="15"/>
  <c r="V63" i="15"/>
  <c r="W63" i="15"/>
  <c r="V64" i="15"/>
  <c r="W64" i="15"/>
  <c r="T30" i="15"/>
  <c r="T24" i="15"/>
  <c r="I30" i="15"/>
  <c r="I24" i="15"/>
  <c r="H30" i="15"/>
  <c r="H24" i="15"/>
  <c r="C40" i="7" l="1"/>
  <c r="B25" i="57"/>
  <c r="AE26" i="5"/>
  <c r="D117" i="57"/>
  <c r="D118" i="57" s="1"/>
  <c r="A15" i="57"/>
  <c r="A12" i="57"/>
  <c r="A9" i="57"/>
  <c r="A5" i="57"/>
  <c r="F141" i="57"/>
  <c r="D141" i="57"/>
  <c r="C141" i="57"/>
  <c r="B141" i="57"/>
  <c r="E140" i="57"/>
  <c r="F140" i="57" s="1"/>
  <c r="G140" i="57" s="1"/>
  <c r="H140" i="57" s="1"/>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7" i="57" s="1"/>
  <c r="H137" i="57" s="1"/>
  <c r="G136" i="57"/>
  <c r="H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50" i="57" s="1"/>
  <c r="B59" i="57" s="1"/>
  <c r="G119" i="57"/>
  <c r="G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B52" i="57"/>
  <c r="B47" i="57"/>
  <c r="B45" i="57"/>
  <c r="B46" i="57" s="1"/>
  <c r="B44" i="57"/>
  <c r="B27" i="57"/>
  <c r="I136" i="57" l="1"/>
  <c r="B48" i="57"/>
  <c r="I137" i="57"/>
  <c r="C49" i="57" s="1"/>
  <c r="B49" i="57"/>
  <c r="G141" i="57"/>
  <c r="E141" i="57"/>
  <c r="B29" i="57"/>
  <c r="B81" i="57"/>
  <c r="AQ81" i="57" s="1"/>
  <c r="B54" i="57"/>
  <c r="C67" i="57"/>
  <c r="B80" i="57"/>
  <c r="B79" i="57"/>
  <c r="B66" i="57"/>
  <c r="B68" i="57" s="1"/>
  <c r="D58" i="57"/>
  <c r="C52" i="57"/>
  <c r="C47" i="57"/>
  <c r="C74" i="57"/>
  <c r="G120" i="57"/>
  <c r="I118" i="57"/>
  <c r="I120" i="57" s="1"/>
  <c r="C109" i="57" s="1"/>
  <c r="I140" i="57"/>
  <c r="H141" i="57"/>
  <c r="B73" i="57" s="1"/>
  <c r="B85" i="57" s="1"/>
  <c r="C61" i="57" l="1"/>
  <c r="C60" i="57" s="1"/>
  <c r="B99" i="57"/>
  <c r="J136" i="57"/>
  <c r="C48" i="57"/>
  <c r="B55" i="57"/>
  <c r="B56" i="57" s="1"/>
  <c r="B69" i="57" s="1"/>
  <c r="B77" i="57" s="1"/>
  <c r="C108" i="57"/>
  <c r="C50" i="57" s="1"/>
  <c r="C59" i="57" s="1"/>
  <c r="D109" i="57"/>
  <c r="J140" i="57"/>
  <c r="B75" i="57"/>
  <c r="I141" i="57"/>
  <c r="C73" i="57" s="1"/>
  <c r="C85" i="57" s="1"/>
  <c r="C99" i="57" s="1"/>
  <c r="D52" i="57"/>
  <c r="D47" i="57"/>
  <c r="D74" i="57"/>
  <c r="E58" i="57"/>
  <c r="F76" i="57"/>
  <c r="C76" i="57"/>
  <c r="D67" i="57"/>
  <c r="K136" i="57" l="1"/>
  <c r="D48" i="57"/>
  <c r="J137" i="57"/>
  <c r="B70" i="57"/>
  <c r="B71" i="57" s="1"/>
  <c r="B72" i="57" s="1"/>
  <c r="D76" i="57"/>
  <c r="E67" i="57"/>
  <c r="E52" i="57"/>
  <c r="E47" i="57"/>
  <c r="E74" i="57"/>
  <c r="F58" i="57"/>
  <c r="K140" i="57"/>
  <c r="K141" i="57" s="1"/>
  <c r="E73" i="57" s="1"/>
  <c r="E85" i="57" s="1"/>
  <c r="E99" i="57" s="1"/>
  <c r="E109" i="57"/>
  <c r="D108" i="57"/>
  <c r="C80" i="57"/>
  <c r="C66" i="57"/>
  <c r="C68" i="57" s="1"/>
  <c r="C79" i="57"/>
  <c r="B82" i="57"/>
  <c r="J141" i="57"/>
  <c r="D73" i="57" s="1"/>
  <c r="D85" i="57" s="1"/>
  <c r="D99" i="57" s="1"/>
  <c r="C53" i="57"/>
  <c r="K137" i="57" l="1"/>
  <c r="D49" i="57"/>
  <c r="D61" i="57" s="1"/>
  <c r="D60" i="57" s="1"/>
  <c r="D66" i="57" s="1"/>
  <c r="D68" i="57" s="1"/>
  <c r="E48" i="57"/>
  <c r="L136" i="57"/>
  <c r="D50" i="57"/>
  <c r="D59" i="57" s="1"/>
  <c r="E108" i="57"/>
  <c r="F109" i="57"/>
  <c r="F74" i="57"/>
  <c r="G58" i="57"/>
  <c r="F52" i="57"/>
  <c r="F47" i="57"/>
  <c r="E76" i="57"/>
  <c r="F67" i="57"/>
  <c r="C55" i="57"/>
  <c r="D53" i="57" s="1"/>
  <c r="B78" i="57"/>
  <c r="B83" i="57" s="1"/>
  <c r="C75" i="57"/>
  <c r="D80" i="57"/>
  <c r="L140" i="57"/>
  <c r="D79" i="57" l="1"/>
  <c r="M136" i="57"/>
  <c r="F48" i="57"/>
  <c r="E50" i="57"/>
  <c r="E59" i="57" s="1"/>
  <c r="L137" i="57"/>
  <c r="E49" i="57"/>
  <c r="E61" i="57" s="1"/>
  <c r="E60" i="57" s="1"/>
  <c r="D55" i="57"/>
  <c r="G109" i="57"/>
  <c r="F108" i="57"/>
  <c r="D75" i="57"/>
  <c r="C82" i="57"/>
  <c r="C56" i="57"/>
  <c r="C69" i="57" s="1"/>
  <c r="E80" i="57"/>
  <c r="M140" i="57"/>
  <c r="M141" i="57"/>
  <c r="G73" i="57" s="1"/>
  <c r="G85" i="57" s="1"/>
  <c r="G99" i="57" s="1"/>
  <c r="G67" i="57"/>
  <c r="H58" i="57"/>
  <c r="G52" i="57"/>
  <c r="G47" i="57"/>
  <c r="G74" i="57"/>
  <c r="L141" i="57"/>
  <c r="F73" i="57" s="1"/>
  <c r="F85" i="57" s="1"/>
  <c r="F99" i="57" s="1"/>
  <c r="B86" i="57"/>
  <c r="B84" i="57"/>
  <c r="B89" i="57" s="1"/>
  <c r="B88" i="57"/>
  <c r="E79" i="57" l="1"/>
  <c r="E66" i="57"/>
  <c r="E68" i="57" s="1"/>
  <c r="E75" i="57" s="1"/>
  <c r="N136" i="57"/>
  <c r="G48" i="57"/>
  <c r="F49" i="57"/>
  <c r="F61" i="57" s="1"/>
  <c r="F60" i="57" s="1"/>
  <c r="M137" i="57"/>
  <c r="B87" i="57"/>
  <c r="B90" i="57" s="1"/>
  <c r="C77" i="57"/>
  <c r="C70" i="57"/>
  <c r="D82" i="57"/>
  <c r="D56" i="57"/>
  <c r="D69" i="57" s="1"/>
  <c r="H67" i="57"/>
  <c r="G76" i="57"/>
  <c r="E53" i="57"/>
  <c r="I58" i="57"/>
  <c r="H74" i="57"/>
  <c r="H52" i="57"/>
  <c r="H47" i="57"/>
  <c r="N140" i="57"/>
  <c r="N141" i="57" s="1"/>
  <c r="H73" i="57" s="1"/>
  <c r="H85" i="57" s="1"/>
  <c r="H99" i="57" s="1"/>
  <c r="H109" i="57"/>
  <c r="G108" i="57"/>
  <c r="N137" i="57" l="1"/>
  <c r="G49" i="57"/>
  <c r="G61" i="57" s="1"/>
  <c r="G60" i="57" s="1"/>
  <c r="O136" i="57"/>
  <c r="H48" i="57"/>
  <c r="F50" i="57"/>
  <c r="F59" i="57" s="1"/>
  <c r="I109" i="57"/>
  <c r="H108" i="57"/>
  <c r="H76" i="57"/>
  <c r="I67" i="57"/>
  <c r="C71" i="57"/>
  <c r="C72" i="57" s="1"/>
  <c r="O140" i="57"/>
  <c r="I52" i="57"/>
  <c r="I47" i="57"/>
  <c r="I74" i="57"/>
  <c r="J58" i="57"/>
  <c r="D77" i="57"/>
  <c r="D70" i="57"/>
  <c r="E55" i="57"/>
  <c r="F53" i="57" s="1"/>
  <c r="H49" i="57" l="1"/>
  <c r="H61" i="57" s="1"/>
  <c r="H60" i="57" s="1"/>
  <c r="O137" i="57"/>
  <c r="I48" i="57"/>
  <c r="P136" i="57"/>
  <c r="F80" i="57"/>
  <c r="F66" i="57"/>
  <c r="F68" i="57" s="1"/>
  <c r="F75" i="57" s="1"/>
  <c r="F79" i="57"/>
  <c r="H50" i="57"/>
  <c r="H59" i="57" s="1"/>
  <c r="G50" i="57"/>
  <c r="G59" i="57" s="1"/>
  <c r="F55" i="57"/>
  <c r="E56" i="57"/>
  <c r="E69" i="57" s="1"/>
  <c r="E82" i="57"/>
  <c r="J67" i="57"/>
  <c r="I76" i="57"/>
  <c r="J74" i="57"/>
  <c r="J52" i="57"/>
  <c r="J47" i="57"/>
  <c r="K58" i="57"/>
  <c r="P140" i="57"/>
  <c r="J109" i="57"/>
  <c r="I108" i="57"/>
  <c r="D71" i="57"/>
  <c r="O141" i="57"/>
  <c r="I73" i="57" s="1"/>
  <c r="I85" i="57" s="1"/>
  <c r="I99" i="57" s="1"/>
  <c r="C78" i="57"/>
  <c r="C83" i="57" s="1"/>
  <c r="H66" i="57" l="1"/>
  <c r="H68" i="57" s="1"/>
  <c r="H75" i="57" s="1"/>
  <c r="H80" i="57"/>
  <c r="G66" i="57"/>
  <c r="G68" i="57" s="1"/>
  <c r="G75" i="57" s="1"/>
  <c r="G80" i="57"/>
  <c r="G79" i="57"/>
  <c r="H79" i="57" s="1"/>
  <c r="P137" i="57"/>
  <c r="I49" i="57"/>
  <c r="I61" i="57" s="1"/>
  <c r="I60" i="57" s="1"/>
  <c r="Q136" i="57"/>
  <c r="J48" i="57"/>
  <c r="Q140" i="57"/>
  <c r="Q141" i="57"/>
  <c r="K73" i="57" s="1"/>
  <c r="K85" i="57" s="1"/>
  <c r="K99" i="57" s="1"/>
  <c r="J76" i="57"/>
  <c r="K67" i="57"/>
  <c r="E77" i="57"/>
  <c r="E70" i="57"/>
  <c r="P141" i="57"/>
  <c r="J73" i="57" s="1"/>
  <c r="J85" i="57" s="1"/>
  <c r="J99" i="57" s="1"/>
  <c r="F82" i="57"/>
  <c r="F56" i="57"/>
  <c r="F69" i="57" s="1"/>
  <c r="D72" i="57"/>
  <c r="L58" i="57"/>
  <c r="K52" i="57"/>
  <c r="K47" i="57"/>
  <c r="K74" i="57"/>
  <c r="G53" i="57"/>
  <c r="C86" i="57"/>
  <c r="C84" i="57"/>
  <c r="C89" i="57" s="1"/>
  <c r="C88" i="57"/>
  <c r="D78" i="57"/>
  <c r="D83" i="57" s="1"/>
  <c r="D86" i="57" s="1"/>
  <c r="J108" i="57"/>
  <c r="K109" i="57"/>
  <c r="K48" i="57" l="1"/>
  <c r="R136" i="57"/>
  <c r="Q137" i="57"/>
  <c r="J49" i="57"/>
  <c r="J61" i="57" s="1"/>
  <c r="J60" i="57" s="1"/>
  <c r="I50" i="57"/>
  <c r="I59" i="57" s="1"/>
  <c r="D84" i="57"/>
  <c r="D89" i="57" s="1"/>
  <c r="G55" i="57"/>
  <c r="H53" i="57" s="1"/>
  <c r="F77" i="57"/>
  <c r="F70" i="57"/>
  <c r="K108" i="57"/>
  <c r="L109" i="57"/>
  <c r="D87" i="57"/>
  <c r="C87" i="57"/>
  <c r="C90" i="57" s="1"/>
  <c r="R140" i="57"/>
  <c r="R141" i="57" s="1"/>
  <c r="L73" i="57" s="1"/>
  <c r="L85" i="57" s="1"/>
  <c r="L99" i="57" s="1"/>
  <c r="D88" i="57"/>
  <c r="L74" i="57"/>
  <c r="M58" i="57"/>
  <c r="L52" i="57"/>
  <c r="L47" i="57"/>
  <c r="L67" i="57"/>
  <c r="K76" i="57"/>
  <c r="E71" i="57"/>
  <c r="E72" i="57" s="1"/>
  <c r="R137" i="57" l="1"/>
  <c r="K49" i="57"/>
  <c r="K61" i="57" s="1"/>
  <c r="K60" i="57" s="1"/>
  <c r="J50" i="57"/>
  <c r="J59" i="57" s="1"/>
  <c r="S136" i="57"/>
  <c r="L48" i="57"/>
  <c r="I66" i="57"/>
  <c r="I68" i="57" s="1"/>
  <c r="I75" i="57" s="1"/>
  <c r="I79" i="57"/>
  <c r="I80" i="57"/>
  <c r="M109" i="57"/>
  <c r="L108" i="57"/>
  <c r="H55" i="57"/>
  <c r="I53" i="57"/>
  <c r="N58" i="57"/>
  <c r="M52" i="57"/>
  <c r="M47" i="57"/>
  <c r="M74" i="57"/>
  <c r="E78" i="57"/>
  <c r="E83" i="57" s="1"/>
  <c r="M67" i="57"/>
  <c r="L76" i="57"/>
  <c r="S140" i="57"/>
  <c r="D90" i="57"/>
  <c r="F71" i="57"/>
  <c r="F72" i="57" s="1"/>
  <c r="G82" i="57"/>
  <c r="G56" i="57"/>
  <c r="G69" i="57" s="1"/>
  <c r="J80" i="57" l="1"/>
  <c r="J66" i="57"/>
  <c r="J68" i="57" s="1"/>
  <c r="J75" i="57" s="1"/>
  <c r="J79" i="57"/>
  <c r="K79" i="57" s="1"/>
  <c r="L49" i="57"/>
  <c r="L61" i="57" s="1"/>
  <c r="L60" i="57" s="1"/>
  <c r="S137" i="57"/>
  <c r="M48" i="57"/>
  <c r="T136" i="57"/>
  <c r="K50" i="57"/>
  <c r="K59" i="57" s="1"/>
  <c r="T141" i="57"/>
  <c r="N73" i="57" s="1"/>
  <c r="N85" i="57" s="1"/>
  <c r="N99" i="57" s="1"/>
  <c r="T140" i="57"/>
  <c r="I55" i="57"/>
  <c r="N109" i="57"/>
  <c r="M108" i="57"/>
  <c r="S141" i="57"/>
  <c r="M73" i="57" s="1"/>
  <c r="M85" i="57" s="1"/>
  <c r="M99" i="57" s="1"/>
  <c r="E86" i="57"/>
  <c r="E84" i="57"/>
  <c r="E89" i="57" s="1"/>
  <c r="E88" i="57"/>
  <c r="H56" i="57"/>
  <c r="H69" i="57" s="1"/>
  <c r="H82" i="57"/>
  <c r="G77" i="57"/>
  <c r="G70" i="57"/>
  <c r="M76" i="57"/>
  <c r="N67" i="57"/>
  <c r="F78" i="57"/>
  <c r="F83" i="57" s="1"/>
  <c r="F86" i="57" s="1"/>
  <c r="N74" i="57"/>
  <c r="N52" i="57"/>
  <c r="N47" i="57"/>
  <c r="O58" i="57"/>
  <c r="K80" i="57" l="1"/>
  <c r="K66" i="57"/>
  <c r="K68" i="57" s="1"/>
  <c r="K75" i="57" s="1"/>
  <c r="T137" i="57"/>
  <c r="M49" i="57"/>
  <c r="M61" i="57" s="1"/>
  <c r="M60" i="57" s="1"/>
  <c r="M50" i="57"/>
  <c r="M59" i="57" s="1"/>
  <c r="N48" i="57"/>
  <c r="U136" i="57"/>
  <c r="L50" i="57"/>
  <c r="L59" i="57" s="1"/>
  <c r="M80" i="57" s="1"/>
  <c r="G71" i="57"/>
  <c r="G72" i="57"/>
  <c r="H77" i="57"/>
  <c r="H70" i="57"/>
  <c r="F84" i="57"/>
  <c r="F89" i="57" s="1"/>
  <c r="I82" i="57"/>
  <c r="I56" i="57"/>
  <c r="I69" i="57" s="1"/>
  <c r="M66" i="57"/>
  <c r="M68" i="57" s="1"/>
  <c r="N76" i="57"/>
  <c r="O67" i="57"/>
  <c r="F88" i="57"/>
  <c r="O109" i="57"/>
  <c r="N108" i="57"/>
  <c r="P58" i="57"/>
  <c r="O52" i="57"/>
  <c r="O47" i="57"/>
  <c r="O74" i="57"/>
  <c r="F87" i="57"/>
  <c r="E87" i="57"/>
  <c r="E90" i="57" s="1"/>
  <c r="J53" i="57"/>
  <c r="U141" i="57"/>
  <c r="O73" i="57" s="1"/>
  <c r="O85" i="57" s="1"/>
  <c r="O99" i="57" s="1"/>
  <c r="U140" i="57"/>
  <c r="U137" i="57" l="1"/>
  <c r="N49" i="57"/>
  <c r="N61" i="57" s="1"/>
  <c r="N60" i="57" s="1"/>
  <c r="N50" i="57"/>
  <c r="N59" i="57" s="1"/>
  <c r="N66" i="57" s="1"/>
  <c r="N68" i="57" s="1"/>
  <c r="V136" i="57"/>
  <c r="O48" i="57"/>
  <c r="L66" i="57"/>
  <c r="L68" i="57" s="1"/>
  <c r="L75" i="57" s="1"/>
  <c r="L80" i="57"/>
  <c r="L79" i="57"/>
  <c r="M79" i="57" s="1"/>
  <c r="M75" i="57"/>
  <c r="I77" i="57"/>
  <c r="I70" i="57"/>
  <c r="J55" i="57"/>
  <c r="F90" i="57"/>
  <c r="P52" i="57"/>
  <c r="P47" i="57"/>
  <c r="P74" i="57"/>
  <c r="Q58" i="57"/>
  <c r="O108" i="57"/>
  <c r="P109" i="57"/>
  <c r="P67" i="57"/>
  <c r="O76" i="57"/>
  <c r="G78" i="57"/>
  <c r="G83" i="57" s="1"/>
  <c r="V140" i="57"/>
  <c r="H71" i="57"/>
  <c r="H72" i="57" s="1"/>
  <c r="H78" i="57" l="1"/>
  <c r="H83" i="57" s="1"/>
  <c r="H84" i="57" s="1"/>
  <c r="N79" i="57"/>
  <c r="N80" i="57"/>
  <c r="W136" i="57"/>
  <c r="P48" i="57"/>
  <c r="V137" i="57"/>
  <c r="O49" i="57"/>
  <c r="O61" i="57" s="1"/>
  <c r="O60" i="57" s="1"/>
  <c r="W140" i="57"/>
  <c r="W141" i="57" s="1"/>
  <c r="Q73" i="57" s="1"/>
  <c r="Q85" i="57" s="1"/>
  <c r="Q99" i="57" s="1"/>
  <c r="I71" i="57"/>
  <c r="I72" i="57" s="1"/>
  <c r="Q74" i="57"/>
  <c r="R58" i="57"/>
  <c r="Q52" i="57"/>
  <c r="Q47" i="57"/>
  <c r="J82" i="57"/>
  <c r="J56" i="57"/>
  <c r="J69" i="57" s="1"/>
  <c r="G86" i="57"/>
  <c r="G84" i="57"/>
  <c r="G89" i="57" s="1"/>
  <c r="G88" i="57"/>
  <c r="P76" i="57"/>
  <c r="Q67" i="57"/>
  <c r="N75" i="57"/>
  <c r="K53" i="57"/>
  <c r="V141" i="57"/>
  <c r="P73" i="57" s="1"/>
  <c r="P85" i="57" s="1"/>
  <c r="P99" i="57" s="1"/>
  <c r="Q109" i="57"/>
  <c r="P108" i="57"/>
  <c r="H88" i="57" l="1"/>
  <c r="H86" i="57"/>
  <c r="H87" i="57" s="1"/>
  <c r="X136" i="57"/>
  <c r="Q48" i="57"/>
  <c r="W137" i="57"/>
  <c r="P49" i="57"/>
  <c r="P61" i="57" s="1"/>
  <c r="P60" i="57" s="1"/>
  <c r="O50" i="57"/>
  <c r="O59" i="57" s="1"/>
  <c r="Q76" i="57"/>
  <c r="R67" i="57"/>
  <c r="K55" i="57"/>
  <c r="G87" i="57"/>
  <c r="G90" i="57" s="1"/>
  <c r="H89" i="57"/>
  <c r="I78" i="57"/>
  <c r="I83" i="57" s="1"/>
  <c r="Q108" i="57"/>
  <c r="R109" i="57"/>
  <c r="J77" i="57"/>
  <c r="J70" i="57"/>
  <c r="R74" i="57"/>
  <c r="S58" i="57"/>
  <c r="R52" i="57"/>
  <c r="R47" i="57"/>
  <c r="X140" i="57"/>
  <c r="O79" i="57" l="1"/>
  <c r="O80" i="57"/>
  <c r="O66" i="57"/>
  <c r="O68" i="57" s="1"/>
  <c r="O75" i="57" s="1"/>
  <c r="R48" i="57"/>
  <c r="Y136" i="57"/>
  <c r="Q49" i="57"/>
  <c r="Q61" i="57" s="1"/>
  <c r="Q60" i="57" s="1"/>
  <c r="X137" i="57"/>
  <c r="P50" i="57"/>
  <c r="P59" i="57" s="1"/>
  <c r="J71" i="57"/>
  <c r="J78" i="57" s="1"/>
  <c r="J83" i="57" s="1"/>
  <c r="S109" i="57"/>
  <c r="R108" i="57"/>
  <c r="K82" i="57"/>
  <c r="K56" i="57"/>
  <c r="K69" i="57" s="1"/>
  <c r="R76" i="57"/>
  <c r="S67" i="57"/>
  <c r="Y140" i="57"/>
  <c r="T58" i="57"/>
  <c r="S52" i="57"/>
  <c r="S47" i="57"/>
  <c r="S74" i="57"/>
  <c r="I86" i="57"/>
  <c r="I84" i="57"/>
  <c r="I89" i="57" s="1"/>
  <c r="I88" i="57"/>
  <c r="H90" i="57"/>
  <c r="L53" i="57"/>
  <c r="X141" i="57"/>
  <c r="R73" i="57" s="1"/>
  <c r="R85" i="57" s="1"/>
  <c r="R99" i="57" s="1"/>
  <c r="P80" i="57" l="1"/>
  <c r="P66" i="57"/>
  <c r="P68" i="57" s="1"/>
  <c r="P75" i="57" s="1"/>
  <c r="S48" i="57"/>
  <c r="Z136" i="57"/>
  <c r="Q50" i="57"/>
  <c r="Q59" i="57" s="1"/>
  <c r="Y137" i="57"/>
  <c r="R49" i="57"/>
  <c r="R61" i="57" s="1"/>
  <c r="R60" i="57" s="1"/>
  <c r="P79" i="57"/>
  <c r="J86" i="57"/>
  <c r="J87" i="57" s="1"/>
  <c r="J88" i="57"/>
  <c r="J84" i="57"/>
  <c r="J89" i="57" s="1"/>
  <c r="S76" i="57"/>
  <c r="T67" i="57"/>
  <c r="S108" i="57"/>
  <c r="T109" i="57"/>
  <c r="I87" i="57"/>
  <c r="I90" i="57" s="1"/>
  <c r="T52" i="57"/>
  <c r="T47" i="57"/>
  <c r="T74" i="57"/>
  <c r="U58" i="57"/>
  <c r="Z140" i="57"/>
  <c r="K77" i="57"/>
  <c r="K70" i="57"/>
  <c r="J72" i="57"/>
  <c r="L55" i="57"/>
  <c r="Y141" i="57"/>
  <c r="S73" i="57" s="1"/>
  <c r="S85" i="57" s="1"/>
  <c r="S99" i="57" s="1"/>
  <c r="AA136" i="57" l="1"/>
  <c r="T48" i="57"/>
  <c r="S49" i="57"/>
  <c r="S61" i="57" s="1"/>
  <c r="S60" i="57" s="1"/>
  <c r="Z137" i="57"/>
  <c r="Q80" i="57"/>
  <c r="Q66" i="57"/>
  <c r="Q68" i="57" s="1"/>
  <c r="Q75" i="57" s="1"/>
  <c r="Q79" i="57"/>
  <c r="R50" i="57"/>
  <c r="R59" i="57" s="1"/>
  <c r="J90" i="57"/>
  <c r="L56" i="57"/>
  <c r="L69" i="57" s="1"/>
  <c r="L82" i="57"/>
  <c r="AA140" i="57"/>
  <c r="U52" i="57"/>
  <c r="U47" i="57"/>
  <c r="U74" i="57"/>
  <c r="V58" i="57"/>
  <c r="U109" i="57"/>
  <c r="T108" i="57"/>
  <c r="M53" i="57"/>
  <c r="K71" i="57"/>
  <c r="K78" i="57" s="1"/>
  <c r="K83" i="57" s="1"/>
  <c r="U67" i="57"/>
  <c r="T76" i="57"/>
  <c r="Z141" i="57"/>
  <c r="T73" i="57" s="1"/>
  <c r="T85" i="57" s="1"/>
  <c r="T99" i="57" s="1"/>
  <c r="S50" i="57" l="1"/>
  <c r="S59" i="57" s="1"/>
  <c r="R79" i="57"/>
  <c r="R80" i="57"/>
  <c r="R66" i="57"/>
  <c r="R68" i="57" s="1"/>
  <c r="R75" i="57" s="1"/>
  <c r="AA137" i="57"/>
  <c r="T49" i="57"/>
  <c r="T61" i="57" s="1"/>
  <c r="T60" i="57" s="1"/>
  <c r="U48" i="57"/>
  <c r="AB136" i="57"/>
  <c r="K72" i="57"/>
  <c r="M55" i="57"/>
  <c r="N53" i="57"/>
  <c r="AB141" i="57"/>
  <c r="V73" i="57" s="1"/>
  <c r="V85" i="57" s="1"/>
  <c r="V99" i="57" s="1"/>
  <c r="AB140" i="57"/>
  <c r="L77" i="57"/>
  <c r="L70" i="57"/>
  <c r="U76" i="57"/>
  <c r="V67" i="57"/>
  <c r="K86" i="57"/>
  <c r="K87" i="57" s="1"/>
  <c r="K90" i="57" s="1"/>
  <c r="K84" i="57"/>
  <c r="K89" i="57" s="1"/>
  <c r="K88" i="57"/>
  <c r="V109" i="57"/>
  <c r="U108" i="57"/>
  <c r="V74" i="57"/>
  <c r="W58" i="57"/>
  <c r="V52" i="57"/>
  <c r="V47" i="57"/>
  <c r="AA141" i="57"/>
  <c r="U73" i="57" s="1"/>
  <c r="U85" i="57" s="1"/>
  <c r="U99" i="57" s="1"/>
  <c r="U49" i="57" l="1"/>
  <c r="U61" i="57" s="1"/>
  <c r="U60" i="57" s="1"/>
  <c r="AB137" i="57"/>
  <c r="T50" i="57"/>
  <c r="T59" i="57" s="1"/>
  <c r="V48" i="57"/>
  <c r="AC136" i="57"/>
  <c r="S66" i="57"/>
  <c r="S68" i="57" s="1"/>
  <c r="S75" i="57" s="1"/>
  <c r="S80" i="57"/>
  <c r="S79" i="57"/>
  <c r="X58" i="57"/>
  <c r="W52" i="57"/>
  <c r="W47" i="57"/>
  <c r="W74" i="57"/>
  <c r="V76" i="57"/>
  <c r="W67" i="57"/>
  <c r="L71" i="57"/>
  <c r="L78" i="57" s="1"/>
  <c r="L83" i="57" s="1"/>
  <c r="N55" i="57"/>
  <c r="M82" i="57"/>
  <c r="M56" i="57"/>
  <c r="M69" i="57" s="1"/>
  <c r="W109" i="57"/>
  <c r="V108" i="57"/>
  <c r="AC140" i="57"/>
  <c r="AD136" i="57" l="1"/>
  <c r="W48" i="57"/>
  <c r="AC137" i="57"/>
  <c r="V49" i="57"/>
  <c r="V61" i="57" s="1"/>
  <c r="V60" i="57" s="1"/>
  <c r="T79" i="57"/>
  <c r="T80" i="57"/>
  <c r="T66" i="57"/>
  <c r="T68" i="57" s="1"/>
  <c r="T75" i="57" s="1"/>
  <c r="V50" i="57"/>
  <c r="V59" i="57" s="1"/>
  <c r="V66" i="57" s="1"/>
  <c r="V68" i="57" s="1"/>
  <c r="U50" i="57"/>
  <c r="U59" i="57" s="1"/>
  <c r="L86" i="57"/>
  <c r="L87" i="57" s="1"/>
  <c r="L88" i="57"/>
  <c r="B105" i="57" s="1"/>
  <c r="L84" i="57"/>
  <c r="L89" i="57" s="1"/>
  <c r="G28" i="57" s="1"/>
  <c r="C105" i="57" s="1"/>
  <c r="AD140" i="57"/>
  <c r="AD141" i="57"/>
  <c r="X73" i="57" s="1"/>
  <c r="X85" i="57" s="1"/>
  <c r="X99" i="57" s="1"/>
  <c r="M77" i="57"/>
  <c r="M70" i="57"/>
  <c r="AC141" i="57"/>
  <c r="W73" i="57" s="1"/>
  <c r="W85" i="57" s="1"/>
  <c r="W99" i="57" s="1"/>
  <c r="L72" i="57"/>
  <c r="N82" i="57"/>
  <c r="N56" i="57"/>
  <c r="N69" i="57" s="1"/>
  <c r="X67" i="57"/>
  <c r="W76" i="57"/>
  <c r="X109" i="57"/>
  <c r="W108" i="57"/>
  <c r="O53" i="57"/>
  <c r="X74" i="57"/>
  <c r="Y58" i="57"/>
  <c r="X52" i="57"/>
  <c r="X47" i="57"/>
  <c r="V80" i="57" l="1"/>
  <c r="AD137" i="57"/>
  <c r="W49" i="57"/>
  <c r="W61" i="57" s="1"/>
  <c r="W60" i="57" s="1"/>
  <c r="W50" i="57"/>
  <c r="W59" i="57" s="1"/>
  <c r="W66" i="57" s="1"/>
  <c r="W68" i="57" s="1"/>
  <c r="U66" i="57"/>
  <c r="U68" i="57" s="1"/>
  <c r="U75" i="57" s="1"/>
  <c r="U80" i="57"/>
  <c r="U79" i="57"/>
  <c r="V79" i="57" s="1"/>
  <c r="AE136" i="57"/>
  <c r="X48" i="57"/>
  <c r="Y109" i="57"/>
  <c r="X108" i="57"/>
  <c r="M71" i="57"/>
  <c r="M78" i="57" s="1"/>
  <c r="M83" i="57" s="1"/>
  <c r="Y52" i="57"/>
  <c r="Y47" i="57"/>
  <c r="Y74" i="57"/>
  <c r="Z58" i="57"/>
  <c r="O55" i="57"/>
  <c r="X76" i="57"/>
  <c r="Y67" i="57"/>
  <c r="V75" i="57"/>
  <c r="G30" i="57"/>
  <c r="A105" i="57" s="1"/>
  <c r="L90" i="57"/>
  <c r="G29" i="57" s="1"/>
  <c r="D105" i="57" s="1"/>
  <c r="W80" i="57"/>
  <c r="N77" i="57"/>
  <c r="N70" i="57"/>
  <c r="AE140" i="57"/>
  <c r="M72" i="57" l="1"/>
  <c r="W79" i="57"/>
  <c r="AF136" i="57"/>
  <c r="Y48" i="57"/>
  <c r="AE137" i="57"/>
  <c r="X49" i="57"/>
  <c r="X61" i="57" s="1"/>
  <c r="X60" i="57" s="1"/>
  <c r="N71" i="57"/>
  <c r="N78" i="57" s="1"/>
  <c r="N83" i="57" s="1"/>
  <c r="W75" i="57"/>
  <c r="O82" i="57"/>
  <c r="O56" i="57"/>
  <c r="O69" i="57" s="1"/>
  <c r="Z109" i="57"/>
  <c r="Y108" i="57"/>
  <c r="P53" i="57"/>
  <c r="AF140" i="57"/>
  <c r="Y76" i="57"/>
  <c r="Z67" i="57"/>
  <c r="Z52" i="57"/>
  <c r="Z47" i="57"/>
  <c r="AA58" i="57"/>
  <c r="Z74" i="57"/>
  <c r="M86" i="57"/>
  <c r="M87" i="57" s="1"/>
  <c r="M90" i="57" s="1"/>
  <c r="M84" i="57"/>
  <c r="M89" i="57" s="1"/>
  <c r="M88" i="57"/>
  <c r="AE141" i="57"/>
  <c r="Y73" i="57" s="1"/>
  <c r="Y85" i="57" s="1"/>
  <c r="Y99" i="57" s="1"/>
  <c r="X50" i="57" l="1"/>
  <c r="X59" i="57" s="1"/>
  <c r="Z48" i="57"/>
  <c r="AG136" i="57"/>
  <c r="Y50" i="57"/>
  <c r="Y59" i="57" s="1"/>
  <c r="Y49" i="57"/>
  <c r="Y61" i="57" s="1"/>
  <c r="Y60" i="57" s="1"/>
  <c r="AF137" i="57"/>
  <c r="N72" i="57"/>
  <c r="Z76" i="57"/>
  <c r="AA67" i="57"/>
  <c r="P55" i="57"/>
  <c r="O77" i="57"/>
  <c r="O70" i="57"/>
  <c r="AA74" i="57"/>
  <c r="AB58" i="57"/>
  <c r="AA52" i="57"/>
  <c r="AA47" i="57"/>
  <c r="N86" i="57"/>
  <c r="N87" i="57" s="1"/>
  <c r="N90" i="57" s="1"/>
  <c r="N84" i="57"/>
  <c r="N89" i="57" s="1"/>
  <c r="N88" i="57"/>
  <c r="AG140" i="57"/>
  <c r="AG141" i="57"/>
  <c r="AA73" i="57" s="1"/>
  <c r="AA85" i="57" s="1"/>
  <c r="AA99" i="57" s="1"/>
  <c r="Y66" i="57"/>
  <c r="Y68" i="57" s="1"/>
  <c r="AF141" i="57"/>
  <c r="Z73" i="57" s="1"/>
  <c r="Z85" i="57" s="1"/>
  <c r="Z99" i="57" s="1"/>
  <c r="Z108" i="57"/>
  <c r="AA109" i="57"/>
  <c r="AA48" i="57" l="1"/>
  <c r="AH136" i="57"/>
  <c r="Z50" i="57"/>
  <c r="Z59" i="57" s="1"/>
  <c r="Z49" i="57"/>
  <c r="Z61" i="57" s="1"/>
  <c r="Z60" i="57" s="1"/>
  <c r="AG137" i="57"/>
  <c r="Y80" i="57"/>
  <c r="X66" i="57"/>
  <c r="X68" i="57" s="1"/>
  <c r="X75" i="57" s="1"/>
  <c r="X80" i="57"/>
  <c r="X79" i="57"/>
  <c r="Y79" i="57" s="1"/>
  <c r="Y75" i="57"/>
  <c r="P82" i="57"/>
  <c r="P56" i="57"/>
  <c r="P69" i="57" s="1"/>
  <c r="AA108" i="57"/>
  <c r="AB109" i="57"/>
  <c r="AB74" i="57"/>
  <c r="AC58" i="57"/>
  <c r="AB52" i="57"/>
  <c r="AB47" i="57"/>
  <c r="Q53" i="57"/>
  <c r="AH140" i="57"/>
  <c r="AH141" i="57"/>
  <c r="AB73" i="57" s="1"/>
  <c r="AB85" i="57" s="1"/>
  <c r="AB99" i="57" s="1"/>
  <c r="O71" i="57"/>
  <c r="O78" i="57" s="1"/>
  <c r="O83" i="57" s="1"/>
  <c r="AB67" i="57"/>
  <c r="AA76" i="57"/>
  <c r="AQ67" i="57"/>
  <c r="Z66" i="57" l="1"/>
  <c r="Z68" i="57" s="1"/>
  <c r="Z79" i="57"/>
  <c r="AI136" i="57"/>
  <c r="AB48" i="57"/>
  <c r="Z80" i="57"/>
  <c r="AA49" i="57"/>
  <c r="AA61" i="57" s="1"/>
  <c r="AA60" i="57" s="1"/>
  <c r="AH137" i="57"/>
  <c r="AA50" i="57"/>
  <c r="AA59" i="57" s="1"/>
  <c r="O72" i="57"/>
  <c r="Z75" i="57"/>
  <c r="Q55" i="57"/>
  <c r="P77" i="57"/>
  <c r="P70" i="57"/>
  <c r="O86" i="57"/>
  <c r="O87" i="57" s="1"/>
  <c r="O90" i="57" s="1"/>
  <c r="O88" i="57"/>
  <c r="O84" i="57"/>
  <c r="O89" i="57" s="1"/>
  <c r="AB76" i="57"/>
  <c r="AC67" i="57"/>
  <c r="AI140" i="57"/>
  <c r="AC109" i="57"/>
  <c r="AB108" i="57"/>
  <c r="AC74" i="57"/>
  <c r="AD58" i="57"/>
  <c r="AC52" i="57"/>
  <c r="AC47" i="57"/>
  <c r="AA79" i="57" l="1"/>
  <c r="AA80" i="57"/>
  <c r="AA66" i="57"/>
  <c r="AA68" i="57" s="1"/>
  <c r="AA75" i="57" s="1"/>
  <c r="AI137" i="57"/>
  <c r="AB49" i="57"/>
  <c r="AB61" i="57" s="1"/>
  <c r="AB60" i="57" s="1"/>
  <c r="AB66" i="57" s="1"/>
  <c r="AB68" i="57" s="1"/>
  <c r="AB50" i="57"/>
  <c r="AB59" i="57" s="1"/>
  <c r="AC48" i="57"/>
  <c r="AJ136" i="57"/>
  <c r="AB80" i="57"/>
  <c r="AC76" i="57"/>
  <c r="AD67" i="57"/>
  <c r="Q82" i="57"/>
  <c r="Q56" i="57"/>
  <c r="Q69" i="57" s="1"/>
  <c r="AC108" i="57"/>
  <c r="AD109" i="57"/>
  <c r="P71" i="57"/>
  <c r="P78" i="57" s="1"/>
  <c r="P83" i="57" s="1"/>
  <c r="AJ140" i="57"/>
  <c r="AD74" i="57"/>
  <c r="AD52" i="57"/>
  <c r="AD47" i="57"/>
  <c r="AE58" i="57"/>
  <c r="AI141" i="57"/>
  <c r="AC73" i="57" s="1"/>
  <c r="AC85" i="57" s="1"/>
  <c r="AC99" i="57" s="1"/>
  <c r="R53" i="57"/>
  <c r="AB79" i="57" l="1"/>
  <c r="AD48" i="57"/>
  <c r="AK136" i="57"/>
  <c r="AJ137" i="57"/>
  <c r="AC49" i="57"/>
  <c r="AC61" i="57" s="1"/>
  <c r="AC60" i="57" s="1"/>
  <c r="P72" i="57"/>
  <c r="AD76" i="57"/>
  <c r="AE67" i="57"/>
  <c r="AB75" i="57"/>
  <c r="AF58" i="57"/>
  <c r="AE52" i="57"/>
  <c r="AE47" i="57"/>
  <c r="AE74" i="57"/>
  <c r="P86" i="57"/>
  <c r="P87" i="57" s="1"/>
  <c r="P90" i="57" s="1"/>
  <c r="P88" i="57"/>
  <c r="P84" i="57"/>
  <c r="P89" i="57" s="1"/>
  <c r="AE109" i="57"/>
  <c r="AD108" i="57"/>
  <c r="AK141" i="57"/>
  <c r="AE73" i="57" s="1"/>
  <c r="AE85" i="57" s="1"/>
  <c r="AE99" i="57" s="1"/>
  <c r="AK140" i="57"/>
  <c r="Q77" i="57"/>
  <c r="Q70" i="57"/>
  <c r="R55" i="57"/>
  <c r="S53" i="57" s="1"/>
  <c r="AJ141" i="57"/>
  <c r="AD73" i="57" s="1"/>
  <c r="AD85" i="57" s="1"/>
  <c r="AD99" i="57" s="1"/>
  <c r="AL136" i="57" l="1"/>
  <c r="AE48" i="57"/>
  <c r="AK137" i="57"/>
  <c r="AD49" i="57"/>
  <c r="AD61" i="57" s="1"/>
  <c r="AD60" i="57" s="1"/>
  <c r="AC50" i="57"/>
  <c r="AC59" i="57" s="1"/>
  <c r="S55" i="57"/>
  <c r="T53" i="57" s="1"/>
  <c r="AE108" i="57"/>
  <c r="AF109" i="57"/>
  <c r="AF67" i="57"/>
  <c r="AE76" i="57"/>
  <c r="Q71" i="57"/>
  <c r="Q78" i="57" s="1"/>
  <c r="Q83" i="57" s="1"/>
  <c r="AF74" i="57"/>
  <c r="AF52" i="57"/>
  <c r="AF47" i="57"/>
  <c r="AG58" i="57"/>
  <c r="R82" i="57"/>
  <c r="R56" i="57"/>
  <c r="R69" i="57" s="1"/>
  <c r="AL140" i="57"/>
  <c r="AL141" i="57"/>
  <c r="AF73" i="57" s="1"/>
  <c r="AF85" i="57" s="1"/>
  <c r="AF99" i="57" s="1"/>
  <c r="AC66" i="57" l="1"/>
  <c r="AC68" i="57" s="1"/>
  <c r="AC75" i="57" s="1"/>
  <c r="AC80" i="57"/>
  <c r="AC79" i="57"/>
  <c r="AF48" i="57"/>
  <c r="AM136" i="57"/>
  <c r="AL137" i="57"/>
  <c r="AE49" i="57"/>
  <c r="AE61" i="57" s="1"/>
  <c r="AE60" i="57" s="1"/>
  <c r="AD50" i="57"/>
  <c r="AD59" i="57" s="1"/>
  <c r="Q72" i="57"/>
  <c r="Q86" i="57"/>
  <c r="Q87" i="57" s="1"/>
  <c r="Q90" i="57" s="1"/>
  <c r="Q84" i="57"/>
  <c r="Q89" i="57" s="1"/>
  <c r="Q88" i="57"/>
  <c r="R77" i="57"/>
  <c r="R70" i="57"/>
  <c r="AG109" i="57"/>
  <c r="AF108" i="57"/>
  <c r="T55" i="57"/>
  <c r="AM140" i="57"/>
  <c r="AM141" i="57"/>
  <c r="AG73" i="57" s="1"/>
  <c r="AG85" i="57" s="1"/>
  <c r="AG99" i="57" s="1"/>
  <c r="AG74" i="57"/>
  <c r="AH58" i="57"/>
  <c r="AG52" i="57"/>
  <c r="AG47" i="57"/>
  <c r="S82" i="57"/>
  <c r="S56" i="57"/>
  <c r="S69" i="57" s="1"/>
  <c r="AF76" i="57"/>
  <c r="AG67" i="57"/>
  <c r="AR67" i="57"/>
  <c r="AM137" i="57" l="1"/>
  <c r="AF49" i="57"/>
  <c r="AF61" i="57" s="1"/>
  <c r="AF60" i="57" s="1"/>
  <c r="AE50" i="57"/>
  <c r="AE59" i="57" s="1"/>
  <c r="AD80" i="57"/>
  <c r="AD79" i="57"/>
  <c r="AD66" i="57"/>
  <c r="AD68" i="57" s="1"/>
  <c r="AD75" i="57" s="1"/>
  <c r="AN136" i="57"/>
  <c r="AG48" i="57"/>
  <c r="T56" i="57"/>
  <c r="T69" i="57" s="1"/>
  <c r="T82" i="57"/>
  <c r="R71" i="57"/>
  <c r="R78" i="57" s="1"/>
  <c r="R83" i="57" s="1"/>
  <c r="R72" i="57"/>
  <c r="AN140" i="57"/>
  <c r="AH67" i="57"/>
  <c r="AG76" i="57"/>
  <c r="S77" i="57"/>
  <c r="S70" i="57"/>
  <c r="AH74" i="57"/>
  <c r="AI58" i="57"/>
  <c r="AH52" i="57"/>
  <c r="AH47" i="57"/>
  <c r="U53" i="57"/>
  <c r="AG108" i="57"/>
  <c r="AH109" i="57"/>
  <c r="AG49" i="57" l="1"/>
  <c r="AG61" i="57" s="1"/>
  <c r="AG60" i="57" s="1"/>
  <c r="AN137" i="57"/>
  <c r="AG50" i="57"/>
  <c r="AG59" i="57" s="1"/>
  <c r="AG66" i="57" s="1"/>
  <c r="AG68" i="57" s="1"/>
  <c r="AF50" i="57"/>
  <c r="AF59" i="57" s="1"/>
  <c r="AG80" i="57" s="1"/>
  <c r="AH48" i="57"/>
  <c r="AO136" i="57"/>
  <c r="AE80" i="57"/>
  <c r="AE66" i="57"/>
  <c r="AE68" i="57" s="1"/>
  <c r="AE75" i="57" s="1"/>
  <c r="AE79" i="57"/>
  <c r="AJ58" i="57"/>
  <c r="AI52" i="57"/>
  <c r="AI47" i="57"/>
  <c r="AI74" i="57"/>
  <c r="U55" i="57"/>
  <c r="V53" i="57" s="1"/>
  <c r="AH76" i="57"/>
  <c r="AI67" i="57"/>
  <c r="AO140" i="57"/>
  <c r="T77" i="57"/>
  <c r="T70" i="57"/>
  <c r="S71" i="57"/>
  <c r="S78" i="57" s="1"/>
  <c r="S83" i="57" s="1"/>
  <c r="AN141" i="57"/>
  <c r="AH73" i="57" s="1"/>
  <c r="AH85" i="57" s="1"/>
  <c r="AH99" i="57" s="1"/>
  <c r="AI109" i="57"/>
  <c r="AH108" i="57"/>
  <c r="R86" i="57"/>
  <c r="R87" i="57" s="1"/>
  <c r="R90" i="57" s="1"/>
  <c r="R88" i="57"/>
  <c r="R84" i="57"/>
  <c r="R89" i="57" s="1"/>
  <c r="AH49" i="57" l="1"/>
  <c r="AH61" i="57" s="1"/>
  <c r="AH60" i="57" s="1"/>
  <c r="AO137" i="57"/>
  <c r="AF80" i="57"/>
  <c r="AF79" i="57"/>
  <c r="AG79" i="57" s="1"/>
  <c r="AF66" i="57"/>
  <c r="AF68" i="57" s="1"/>
  <c r="AF75" i="57" s="1"/>
  <c r="AP136" i="57"/>
  <c r="AI48" i="57"/>
  <c r="S86" i="57"/>
  <c r="S87" i="57" s="1"/>
  <c r="S90" i="57" s="1"/>
  <c r="S84" i="57"/>
  <c r="S89" i="57" s="1"/>
  <c r="S88" i="57"/>
  <c r="T71" i="57"/>
  <c r="T78" i="57" s="1"/>
  <c r="T83" i="57" s="1"/>
  <c r="AP140" i="57"/>
  <c r="AP141" i="57"/>
  <c r="AJ73" i="57" s="1"/>
  <c r="AJ85" i="57" s="1"/>
  <c r="AJ99" i="57" s="1"/>
  <c r="V55" i="57"/>
  <c r="AO141" i="57"/>
  <c r="AI73" i="57" s="1"/>
  <c r="AI85" i="57" s="1"/>
  <c r="AI99" i="57" s="1"/>
  <c r="U82" i="57"/>
  <c r="U56" i="57"/>
  <c r="U69" i="57" s="1"/>
  <c r="AG75" i="57"/>
  <c r="AJ109" i="57"/>
  <c r="AI108" i="57"/>
  <c r="S72" i="57"/>
  <c r="AI76" i="57"/>
  <c r="AJ67" i="57"/>
  <c r="AJ74" i="57"/>
  <c r="AJ52" i="57"/>
  <c r="AJ47" i="57"/>
  <c r="AK58" i="57"/>
  <c r="AQ136" i="57" l="1"/>
  <c r="AJ48" i="57"/>
  <c r="AP137" i="57"/>
  <c r="AI49" i="57"/>
  <c r="AI61" i="57" s="1"/>
  <c r="AI60" i="57" s="1"/>
  <c r="AI66" i="57" s="1"/>
  <c r="AI68" i="57" s="1"/>
  <c r="AI50" i="57"/>
  <c r="AI59" i="57" s="1"/>
  <c r="AH50" i="57"/>
  <c r="AH59" i="57" s="1"/>
  <c r="T86" i="57"/>
  <c r="T87" i="57" s="1"/>
  <c r="T90" i="57" s="1"/>
  <c r="T88" i="57"/>
  <c r="T84" i="57"/>
  <c r="T89" i="57" s="1"/>
  <c r="AQ141" i="57"/>
  <c r="AK73" i="57" s="1"/>
  <c r="AK85" i="57" s="1"/>
  <c r="AK99" i="57" s="1"/>
  <c r="AQ140" i="57"/>
  <c r="AI80" i="57"/>
  <c r="U77" i="57"/>
  <c r="U70" i="57"/>
  <c r="V82" i="57"/>
  <c r="V56" i="57"/>
  <c r="V69" i="57" s="1"/>
  <c r="AK74" i="57"/>
  <c r="AK52" i="57"/>
  <c r="AK47" i="57"/>
  <c r="AL58" i="57"/>
  <c r="AK67" i="57"/>
  <c r="AJ76" i="57"/>
  <c r="AK109" i="57"/>
  <c r="AJ108" i="57"/>
  <c r="W53" i="57"/>
  <c r="T72" i="57"/>
  <c r="AR136" i="57" l="1"/>
  <c r="AK48" i="57"/>
  <c r="AQ137" i="57"/>
  <c r="AJ49" i="57"/>
  <c r="AJ61" i="57" s="1"/>
  <c r="AJ60" i="57" s="1"/>
  <c r="AH80" i="57"/>
  <c r="AH66" i="57"/>
  <c r="AH68" i="57" s="1"/>
  <c r="AH75" i="57" s="1"/>
  <c r="AH79" i="57"/>
  <c r="AI79" i="57" s="1"/>
  <c r="AJ50" i="57"/>
  <c r="AJ59" i="57" s="1"/>
  <c r="U71" i="57"/>
  <c r="U78" i="57" s="1"/>
  <c r="U83" i="57" s="1"/>
  <c r="W55" i="57"/>
  <c r="X53" i="57" s="1"/>
  <c r="AK76" i="57"/>
  <c r="AL67" i="57"/>
  <c r="AL74" i="57"/>
  <c r="AM58" i="57"/>
  <c r="AL52" i="57"/>
  <c r="AL47" i="57"/>
  <c r="V77" i="57"/>
  <c r="V70" i="57"/>
  <c r="AK108" i="57"/>
  <c r="AL109" i="57"/>
  <c r="AI75" i="57"/>
  <c r="AR141" i="57"/>
  <c r="AL73" i="57" s="1"/>
  <c r="AL85" i="57" s="1"/>
  <c r="AL99" i="57" s="1"/>
  <c r="AR140" i="57"/>
  <c r="U72" i="57" l="1"/>
  <c r="AJ79" i="57"/>
  <c r="AJ66" i="57"/>
  <c r="AJ68" i="57" s="1"/>
  <c r="AJ80" i="57"/>
  <c r="AR137" i="57"/>
  <c r="AK49" i="57"/>
  <c r="AK61" i="57" s="1"/>
  <c r="AK60" i="57" s="1"/>
  <c r="AL48" i="57"/>
  <c r="AS136" i="57"/>
  <c r="AL108" i="57"/>
  <c r="AM109" i="57"/>
  <c r="U86" i="57"/>
  <c r="U87" i="57" s="1"/>
  <c r="U90" i="57" s="1"/>
  <c r="U84" i="57"/>
  <c r="U89" i="57" s="1"/>
  <c r="U88" i="57"/>
  <c r="X55" i="57"/>
  <c r="Y53" i="57" s="1"/>
  <c r="AJ75" i="57"/>
  <c r="AL76" i="57"/>
  <c r="AM67" i="57"/>
  <c r="V71" i="57"/>
  <c r="V78" i="57" s="1"/>
  <c r="V83" i="57" s="1"/>
  <c r="AN58" i="57"/>
  <c r="AM52" i="57"/>
  <c r="AM47" i="57"/>
  <c r="AM74" i="57"/>
  <c r="AS140" i="57"/>
  <c r="W82" i="57"/>
  <c r="W56" i="57"/>
  <c r="W69" i="57" s="1"/>
  <c r="AK50" i="57" l="1"/>
  <c r="AK59" i="57" s="1"/>
  <c r="AT136" i="57"/>
  <c r="AM48" i="57"/>
  <c r="AS137" i="57"/>
  <c r="AL49" i="57"/>
  <c r="AL61" i="57" s="1"/>
  <c r="AL60" i="57" s="1"/>
  <c r="V72" i="57"/>
  <c r="V86" i="57"/>
  <c r="V87" i="57" s="1"/>
  <c r="V90" i="57" s="1"/>
  <c r="V84" i="57"/>
  <c r="V89" i="57" s="1"/>
  <c r="V88" i="57"/>
  <c r="Y55" i="57"/>
  <c r="Z53" i="57"/>
  <c r="W77" i="57"/>
  <c r="W70" i="57"/>
  <c r="X56" i="57"/>
  <c r="X69" i="57" s="1"/>
  <c r="X82" i="57"/>
  <c r="AN109" i="57"/>
  <c r="AM108" i="57"/>
  <c r="AT140" i="57"/>
  <c r="AT141" i="57" s="1"/>
  <c r="AN73" i="57" s="1"/>
  <c r="AN85" i="57" s="1"/>
  <c r="AN99" i="57" s="1"/>
  <c r="AS141" i="57"/>
  <c r="AM73" i="57" s="1"/>
  <c r="AM85" i="57" s="1"/>
  <c r="AM99" i="57" s="1"/>
  <c r="AN74" i="57"/>
  <c r="AO58" i="57"/>
  <c r="AN52" i="57"/>
  <c r="AN47" i="57"/>
  <c r="AN67" i="57"/>
  <c r="AM76" i="57"/>
  <c r="AL50" i="57" l="1"/>
  <c r="AL59" i="57" s="1"/>
  <c r="AN48" i="57"/>
  <c r="AU136" i="57"/>
  <c r="AT137" i="57"/>
  <c r="AM49" i="57"/>
  <c r="AM61" i="57" s="1"/>
  <c r="AM60" i="57" s="1"/>
  <c r="AK79" i="57"/>
  <c r="AK80" i="57"/>
  <c r="AK66" i="57"/>
  <c r="AK68" i="57" s="1"/>
  <c r="AK75" i="57" s="1"/>
  <c r="AO52" i="57"/>
  <c r="AO47" i="57"/>
  <c r="AO74" i="57"/>
  <c r="AP58" i="57"/>
  <c r="AO109" i="57"/>
  <c r="AN108" i="57"/>
  <c r="Z55" i="57"/>
  <c r="AN76" i="57"/>
  <c r="AO67" i="57"/>
  <c r="Y82" i="57"/>
  <c r="Y56" i="57"/>
  <c r="Y69" i="57" s="1"/>
  <c r="AU140" i="57"/>
  <c r="AU141" i="57" s="1"/>
  <c r="AO73" i="57" s="1"/>
  <c r="AO85" i="57" s="1"/>
  <c r="AO99" i="57" s="1"/>
  <c r="X77" i="57"/>
  <c r="X70" i="57"/>
  <c r="W71" i="57"/>
  <c r="W78" i="57" s="1"/>
  <c r="W83" i="57" s="1"/>
  <c r="AV136" i="57" l="1"/>
  <c r="AO48" i="57"/>
  <c r="AM50" i="57"/>
  <c r="AM59" i="57" s="1"/>
  <c r="AN50" i="57"/>
  <c r="AN59" i="57" s="1"/>
  <c r="AN66" i="57" s="1"/>
  <c r="AN68" i="57" s="1"/>
  <c r="AU137" i="57"/>
  <c r="AN49" i="57"/>
  <c r="AN61" i="57" s="1"/>
  <c r="AN60" i="57" s="1"/>
  <c r="AL79" i="57"/>
  <c r="AL80" i="57"/>
  <c r="AL66" i="57"/>
  <c r="AL68" i="57" s="1"/>
  <c r="AL75" i="57" s="1"/>
  <c r="W72" i="57"/>
  <c r="W86" i="57"/>
  <c r="W87" i="57" s="1"/>
  <c r="W90" i="57" s="1"/>
  <c r="W84" i="57"/>
  <c r="W89" i="57" s="1"/>
  <c r="W88" i="57"/>
  <c r="AO108" i="57"/>
  <c r="AP109" i="57"/>
  <c r="AP108" i="57" s="1"/>
  <c r="AV140" i="57"/>
  <c r="Z82" i="57"/>
  <c r="Z56" i="57"/>
  <c r="Z69" i="57" s="1"/>
  <c r="X71" i="57"/>
  <c r="X78" i="57" s="1"/>
  <c r="AA53" i="57"/>
  <c r="X83" i="57"/>
  <c r="Y77" i="57"/>
  <c r="Y70" i="57"/>
  <c r="AP67" i="57"/>
  <c r="AO76" i="57"/>
  <c r="AP52" i="57"/>
  <c r="AP47" i="57"/>
  <c r="AP74" i="57"/>
  <c r="AN80" i="57" l="1"/>
  <c r="AM80" i="57"/>
  <c r="AM66" i="57"/>
  <c r="AM68" i="57" s="1"/>
  <c r="AM75" i="57" s="1"/>
  <c r="AM79" i="57"/>
  <c r="AN79" i="57" s="1"/>
  <c r="AO49" i="57"/>
  <c r="AO61" i="57" s="1"/>
  <c r="AO60" i="57" s="1"/>
  <c r="AV137" i="57"/>
  <c r="AW136" i="57"/>
  <c r="AX136" i="57" s="1"/>
  <c r="AY136" i="57" s="1"/>
  <c r="AP48" i="57"/>
  <c r="X86" i="57"/>
  <c r="X87" i="57" s="1"/>
  <c r="X90" i="57" s="1"/>
  <c r="X84" i="57"/>
  <c r="X89" i="57" s="1"/>
  <c r="X88" i="57"/>
  <c r="Z77" i="57"/>
  <c r="Z70" i="57"/>
  <c r="AP76" i="57"/>
  <c r="AS67" i="57"/>
  <c r="AA55" i="57"/>
  <c r="X72" i="57"/>
  <c r="Y71" i="57"/>
  <c r="Y78" i="57" s="1"/>
  <c r="Y83" i="57" s="1"/>
  <c r="Y72" i="57"/>
  <c r="AW140" i="57"/>
  <c r="AW141" i="57"/>
  <c r="AN75" i="57"/>
  <c r="AV141" i="57"/>
  <c r="AP73" i="57" s="1"/>
  <c r="AP85" i="57" s="1"/>
  <c r="AP99" i="57" s="1"/>
  <c r="AQ99" i="57" s="1"/>
  <c r="A100" i="57" s="1"/>
  <c r="AW137" i="57" l="1"/>
  <c r="AX137" i="57" s="1"/>
  <c r="AY137" i="57" s="1"/>
  <c r="AP49" i="57"/>
  <c r="AO50" i="57"/>
  <c r="AO59" i="57" s="1"/>
  <c r="AX140" i="57"/>
  <c r="AX141" i="57"/>
  <c r="AA82" i="57"/>
  <c r="AA56" i="57"/>
  <c r="AA69" i="57" s="1"/>
  <c r="Z71" i="57"/>
  <c r="Z78" i="57" s="1"/>
  <c r="Z83" i="57" s="1"/>
  <c r="Y86" i="57"/>
  <c r="Y87" i="57" s="1"/>
  <c r="Y90" i="57" s="1"/>
  <c r="Y88" i="57"/>
  <c r="Y84" i="57"/>
  <c r="Y89" i="57" s="1"/>
  <c r="AB53" i="57"/>
  <c r="AO79" i="57" l="1"/>
  <c r="AO80" i="57"/>
  <c r="AO66" i="57"/>
  <c r="AO68" i="57" s="1"/>
  <c r="AO75" i="57" s="1"/>
  <c r="AP50" i="57"/>
  <c r="AP59" i="57" s="1"/>
  <c r="AP61" i="57"/>
  <c r="AP60" i="57" s="1"/>
  <c r="AA77" i="57"/>
  <c r="AA70" i="57"/>
  <c r="Z86" i="57"/>
  <c r="Z87" i="57" s="1"/>
  <c r="Z90" i="57" s="1"/>
  <c r="Z84" i="57"/>
  <c r="Z89" i="57" s="1"/>
  <c r="Z88" i="57"/>
  <c r="AB55" i="57"/>
  <c r="Z72" i="57"/>
  <c r="AY140" i="57"/>
  <c r="AY141" i="57" s="1"/>
  <c r="AP80" i="57" l="1"/>
  <c r="AP79" i="57"/>
  <c r="AP66" i="57"/>
  <c r="AP68" i="57" s="1"/>
  <c r="AP75" i="57" s="1"/>
  <c r="AB56" i="57"/>
  <c r="AB69" i="57" s="1"/>
  <c r="AB82" i="57"/>
  <c r="AA71" i="57"/>
  <c r="AA78" i="57" s="1"/>
  <c r="AA83" i="57" s="1"/>
  <c r="AC53" i="57"/>
  <c r="AA86" i="57" l="1"/>
  <c r="AA87" i="57" s="1"/>
  <c r="AA90" i="57" s="1"/>
  <c r="AA84" i="57"/>
  <c r="AA89" i="57" s="1"/>
  <c r="AA88" i="57"/>
  <c r="AC55" i="57"/>
  <c r="AD53" i="57" s="1"/>
  <c r="AB77" i="57"/>
  <c r="AB70" i="57"/>
  <c r="AA72" i="57"/>
  <c r="AB71" i="57" l="1"/>
  <c r="AB78" i="57" s="1"/>
  <c r="AB83" i="57" s="1"/>
  <c r="AD55" i="57"/>
  <c r="AC82" i="57"/>
  <c r="AC56" i="57"/>
  <c r="AC69" i="57" s="1"/>
  <c r="AC77" i="57" l="1"/>
  <c r="AC70" i="57"/>
  <c r="AB86" i="57"/>
  <c r="AB87" i="57" s="1"/>
  <c r="AB90" i="57" s="1"/>
  <c r="AB84" i="57"/>
  <c r="AB89" i="57" s="1"/>
  <c r="AB88" i="57"/>
  <c r="AD82" i="57"/>
  <c r="AD56" i="57"/>
  <c r="AD69" i="57" s="1"/>
  <c r="AB72" i="57"/>
  <c r="AE53" i="57"/>
  <c r="AD77" i="57" l="1"/>
  <c r="AD70" i="57"/>
  <c r="AC71" i="57"/>
  <c r="AC78" i="57" s="1"/>
  <c r="AC83" i="57" s="1"/>
  <c r="AE55" i="57"/>
  <c r="AF53" i="57" s="1"/>
  <c r="AC86" i="57" l="1"/>
  <c r="AC87" i="57" s="1"/>
  <c r="AC90" i="57" s="1"/>
  <c r="AC88" i="57"/>
  <c r="AC84" i="57"/>
  <c r="AC89" i="57" s="1"/>
  <c r="AF55" i="57"/>
  <c r="AD71" i="57"/>
  <c r="AD78" i="57" s="1"/>
  <c r="AD83" i="57" s="1"/>
  <c r="AD72" i="57"/>
  <c r="AE56" i="57"/>
  <c r="AE69" i="57" s="1"/>
  <c r="AE82" i="57"/>
  <c r="AC72" i="57"/>
  <c r="AD86" i="57" l="1"/>
  <c r="AD87" i="57" s="1"/>
  <c r="AD90" i="57" s="1"/>
  <c r="AD88" i="57"/>
  <c r="AD84" i="57"/>
  <c r="AD89" i="57" s="1"/>
  <c r="AF82" i="57"/>
  <c r="AF56" i="57"/>
  <c r="AF69" i="57" s="1"/>
  <c r="AE77" i="57"/>
  <c r="AE70" i="57"/>
  <c r="AG53" i="57"/>
  <c r="AE71" i="57" l="1"/>
  <c r="AE78" i="57" s="1"/>
  <c r="AE83" i="57" s="1"/>
  <c r="AF77" i="57"/>
  <c r="AF70" i="57"/>
  <c r="AG55" i="57"/>
  <c r="AH53" i="57" s="1"/>
  <c r="AH55" i="57" l="1"/>
  <c r="AE86" i="57"/>
  <c r="AE87" i="57" s="1"/>
  <c r="AE90" i="57" s="1"/>
  <c r="AE88" i="57"/>
  <c r="AE84" i="57"/>
  <c r="AE89" i="57" s="1"/>
  <c r="AG82" i="57"/>
  <c r="AG56" i="57"/>
  <c r="AG69" i="57" s="1"/>
  <c r="AF71" i="57"/>
  <c r="AF78" i="57" s="1"/>
  <c r="AF83" i="57" s="1"/>
  <c r="AE72" i="57"/>
  <c r="AF72" i="57" l="1"/>
  <c r="AF86" i="57"/>
  <c r="AF87" i="57" s="1"/>
  <c r="AF90" i="57" s="1"/>
  <c r="AF84" i="57"/>
  <c r="AF89" i="57" s="1"/>
  <c r="AF88" i="57"/>
  <c r="AG77" i="57"/>
  <c r="AG70" i="57"/>
  <c r="AH82" i="57"/>
  <c r="AH56" i="57"/>
  <c r="AH69" i="57" s="1"/>
  <c r="AI53" i="57"/>
  <c r="AI55" i="57" l="1"/>
  <c r="AJ53" i="57" s="1"/>
  <c r="AH77" i="57"/>
  <c r="AH70" i="57"/>
  <c r="AG71" i="57"/>
  <c r="AG78" i="57" s="1"/>
  <c r="AG83" i="57" s="1"/>
  <c r="AG72" i="57" l="1"/>
  <c r="AG86" i="57"/>
  <c r="AG87" i="57" s="1"/>
  <c r="AG90" i="57" s="1"/>
  <c r="AG84" i="57"/>
  <c r="AG89" i="57" s="1"/>
  <c r="AG88" i="57"/>
  <c r="AJ55" i="57"/>
  <c r="AK53" i="57" s="1"/>
  <c r="AH71" i="57"/>
  <c r="AH78" i="57" s="1"/>
  <c r="AH83" i="57" s="1"/>
  <c r="AI82" i="57"/>
  <c r="AI56" i="57"/>
  <c r="AI69" i="57" s="1"/>
  <c r="AH72" i="57" l="1"/>
  <c r="AH86" i="57"/>
  <c r="AH87" i="57" s="1"/>
  <c r="AH90" i="57" s="1"/>
  <c r="AH84" i="57"/>
  <c r="AH89" i="57" s="1"/>
  <c r="AH88" i="57"/>
  <c r="AK55" i="57"/>
  <c r="AL53" i="57" s="1"/>
  <c r="AI77" i="57"/>
  <c r="AI70" i="57"/>
  <c r="AJ82" i="57"/>
  <c r="AJ56" i="57"/>
  <c r="AJ69" i="57" s="1"/>
  <c r="AJ77" i="57" l="1"/>
  <c r="AJ70" i="57"/>
  <c r="AL55" i="57"/>
  <c r="AK82" i="57"/>
  <c r="AK56" i="57"/>
  <c r="AK69" i="57" s="1"/>
  <c r="AI71" i="57"/>
  <c r="AI78" i="57" s="1"/>
  <c r="AI83" i="57" s="1"/>
  <c r="AI72" i="57" l="1"/>
  <c r="AI86" i="57"/>
  <c r="AI87" i="57" s="1"/>
  <c r="AI90" i="57" s="1"/>
  <c r="AI88" i="57"/>
  <c r="AI84" i="57"/>
  <c r="AI89" i="57" s="1"/>
  <c r="AL82" i="57"/>
  <c r="AL56" i="57"/>
  <c r="AL69" i="57" s="1"/>
  <c r="AK77" i="57"/>
  <c r="AK70" i="57"/>
  <c r="AJ71" i="57"/>
  <c r="AJ78" i="57" s="1"/>
  <c r="AM53" i="57"/>
  <c r="AJ83" i="57"/>
  <c r="AL77" i="57" l="1"/>
  <c r="AL70" i="57"/>
  <c r="AJ72" i="57"/>
  <c r="AJ86" i="57"/>
  <c r="AJ87" i="57" s="1"/>
  <c r="AJ90" i="57" s="1"/>
  <c r="AJ84" i="57"/>
  <c r="AJ89" i="57" s="1"/>
  <c r="AJ88" i="57"/>
  <c r="AK71" i="57"/>
  <c r="AK78" i="57" s="1"/>
  <c r="AK83" i="57" s="1"/>
  <c r="AM55" i="57"/>
  <c r="AK72" i="57" l="1"/>
  <c r="AL71" i="57"/>
  <c r="AL78" i="57" s="1"/>
  <c r="AL83" i="57" s="1"/>
  <c r="AL72" i="57"/>
  <c r="AK86" i="57"/>
  <c r="AK87" i="57" s="1"/>
  <c r="AK90" i="57" s="1"/>
  <c r="AK84" i="57"/>
  <c r="AK89" i="57" s="1"/>
  <c r="AK88" i="57"/>
  <c r="AM82" i="57"/>
  <c r="AM56" i="57"/>
  <c r="AM69" i="57" s="1"/>
  <c r="AN53" i="57"/>
  <c r="AN55" i="57" l="1"/>
  <c r="AO53" i="57" s="1"/>
  <c r="AM77" i="57"/>
  <c r="AM70" i="57"/>
  <c r="AL86" i="57"/>
  <c r="AL87" i="57" s="1"/>
  <c r="AL90" i="57" s="1"/>
  <c r="AL84" i="57"/>
  <c r="AL89" i="57" s="1"/>
  <c r="AL88" i="57"/>
  <c r="AO55" i="57" l="1"/>
  <c r="AP53" i="57" s="1"/>
  <c r="AP55" i="57" s="1"/>
  <c r="AM71" i="57"/>
  <c r="AM78" i="57" s="1"/>
  <c r="AM83" i="57" s="1"/>
  <c r="AN56" i="57"/>
  <c r="AN69" i="57" s="1"/>
  <c r="AN82" i="57"/>
  <c r="AM86" i="57" l="1"/>
  <c r="AM87" i="57" s="1"/>
  <c r="AM90" i="57" s="1"/>
  <c r="AM88" i="57"/>
  <c r="AM84" i="57"/>
  <c r="AM89" i="57" s="1"/>
  <c r="AP82" i="57"/>
  <c r="AP56" i="57"/>
  <c r="AP69" i="57" s="1"/>
  <c r="AM72" i="57"/>
  <c r="AN77" i="57"/>
  <c r="AN70" i="57"/>
  <c r="AO56" i="57"/>
  <c r="AO69" i="57" s="1"/>
  <c r="AO82" i="57"/>
  <c r="AP77" i="57" l="1"/>
  <c r="AP70" i="57"/>
  <c r="AN71" i="57"/>
  <c r="AN78" i="57" s="1"/>
  <c r="AN83" i="57" s="1"/>
  <c r="AO77" i="57"/>
  <c r="AO70" i="57"/>
  <c r="AN86" i="57" l="1"/>
  <c r="AN87" i="57" s="1"/>
  <c r="AN90" i="57" s="1"/>
  <c r="AN84" i="57"/>
  <c r="AN89" i="57" s="1"/>
  <c r="AN88" i="57"/>
  <c r="AN72" i="57"/>
  <c r="AP71" i="57"/>
  <c r="AO71" i="57"/>
  <c r="AO78" i="57" s="1"/>
  <c r="AO83" i="57" s="1"/>
  <c r="AO72" i="57" l="1"/>
  <c r="AP78" i="57"/>
  <c r="AP83" i="57" s="1"/>
  <c r="AP88" i="57" s="1"/>
  <c r="AO86" i="57"/>
  <c r="AO87" i="57" s="1"/>
  <c r="AO90" i="57" s="1"/>
  <c r="AO88" i="57"/>
  <c r="AO84" i="57"/>
  <c r="AO89" i="57" s="1"/>
  <c r="AP72" i="57"/>
  <c r="AP84" i="57" l="1"/>
  <c r="AP89" i="57" s="1"/>
  <c r="AP86" i="57"/>
  <c r="AP87" i="57"/>
  <c r="AP90" i="57" l="1"/>
  <c r="A101" i="57"/>
  <c r="B102" i="57" s="1"/>
  <c r="R26" i="14" l="1"/>
  <c r="S23" i="12" l="1"/>
  <c r="I23" i="12"/>
  <c r="J23" i="12"/>
  <c r="H23" i="12"/>
  <c r="C23" i="6" l="1"/>
  <c r="B114" i="53"/>
  <c r="B27" i="53" l="1"/>
  <c r="B90" i="53" s="1"/>
  <c r="B87" i="53" l="1"/>
  <c r="B94" i="53"/>
  <c r="K30" i="15"/>
  <c r="L30" i="15"/>
  <c r="M30" i="15"/>
  <c r="N30" i="15"/>
  <c r="O30" i="15"/>
  <c r="P30" i="15"/>
  <c r="W30" i="15" s="1"/>
  <c r="Y30" i="15" s="1"/>
  <c r="Q30" i="15"/>
  <c r="R30" i="15"/>
  <c r="S30" i="15"/>
  <c r="U30" i="15"/>
  <c r="J30" i="15"/>
  <c r="V30" i="15" l="1"/>
  <c r="B38" i="53"/>
  <c r="B42" i="53"/>
  <c r="Q24" i="15" l="1"/>
  <c r="P24" i="15"/>
  <c r="L24" i="15" l="1"/>
  <c r="W24" i="15" s="1"/>
  <c r="C49" i="7" l="1"/>
  <c r="D24" i="15"/>
  <c r="E24" i="15"/>
  <c r="F24" i="15"/>
  <c r="G24" i="15"/>
  <c r="Y24" i="15" s="1"/>
  <c r="J24" i="15"/>
  <c r="K24" i="15"/>
  <c r="M24" i="15"/>
  <c r="N24" i="15"/>
  <c r="O24" i="15"/>
  <c r="R24" i="15"/>
  <c r="S24" i="15"/>
  <c r="U24" i="15"/>
  <c r="C24" i="15"/>
  <c r="A5" i="53"/>
  <c r="V24" i="15" l="1"/>
  <c r="C48" i="7"/>
  <c r="B22" i="53" l="1"/>
  <c r="A15" i="53"/>
  <c r="B21" i="53" s="1"/>
  <c r="A12" i="53"/>
  <c r="A9" i="53"/>
  <c r="B68" i="53"/>
  <c r="B99" i="53"/>
  <c r="B97" i="53"/>
  <c r="B66" i="53"/>
  <c r="B49" i="53"/>
  <c r="B32" i="53"/>
  <c r="B80" i="53"/>
  <c r="B30" i="53" l="1"/>
  <c r="B34" i="53"/>
  <c r="B55" i="53"/>
  <c r="B63" i="53"/>
  <c r="B76" i="53"/>
  <c r="B46" i="53"/>
  <c r="B51" i="53"/>
  <c r="B59" i="53"/>
  <c r="B72" i="53"/>
  <c r="B83" i="53" l="1"/>
  <c r="A15" i="12"/>
  <c r="A8" i="17" l="1"/>
  <c r="E9" i="14"/>
  <c r="A15" i="5" l="1"/>
  <c r="A12" i="5"/>
  <c r="B29" i="5" s="1"/>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<sst xmlns="http://schemas.openxmlformats.org/spreadsheetml/2006/main" count="1163" uniqueCount="727">
  <si>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</si>
  <si>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</si>
  <si>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</si>
  <si>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</si>
  <si>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</si>
  <si>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</si>
  <si>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</si>
  <si>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</si>
  <si>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</si>
  <si>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</si>
  <si>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</si>
  <si>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</si>
  <si>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</si>
  <si>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</si>
  <si>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</si>
  <si>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</si>
  <si>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</si>
  <si>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</si>
  <si>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</si>
  <si>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</si>
  <si>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</si>
  <si>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</si>
  <si>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</si>
  <si>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</si>
  <si>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</si>
  <si>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</si>
  <si>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</si>
  <si>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</si>
  <si>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</si>
  <si>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</si>
  <si>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</si>
  <si>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</si>
  <si>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</si>
  <si>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</si>
  <si>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</si>
  <si>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</si>
  <si>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</si>
  <si>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</si>
  <si>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</si>
  <si>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</si>
  <si>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</si>
  <si>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</si>
  <si>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</si>
  <si>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</si>
  <si>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</si>
  <si>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</si>
  <si>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</si>
  <si>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</si>
  <si>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</si>
  <si>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</si>
  <si>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</si>
  <si>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</si>
  <si>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</si>
  <si>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</si>
  <si>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</si>
  <si>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</si>
  <si>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</si>
  <si>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</si>
  <si>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</si>
  <si>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</si>
  <si>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</si>
  <si>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</si>
  <si>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</si>
  <si>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</si>
  <si>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</si>
  <si>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</si>
  <si>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</si>
  <si>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</si>
  <si>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</si>
  <si>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</si>
  <si>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</si>
  <si>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</si>
  <si>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</si>
  <si>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</si>
  <si>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</si>
  <si>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</si>
  <si>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</si>
  <si>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</si>
  <si>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</si>
  <si>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</si>
  <si>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</si>
  <si>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</si>
  <si>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</si>
  <si>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</si>
  <si>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</si>
  <si>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</si>
  <si>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</si>
  <si>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</si>
  <si>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</si>
  <si>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</si>
  <si>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</si>
  <si>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</si>
  <si>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</si>
  <si>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</si>
  <si>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</si>
  <si>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</si>
  <si>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</si>
  <si>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</si>
  <si>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</si>
  <si>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</si>
  <si>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</si>
  <si>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</si>
  <si>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</si>
  <si>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</si>
  <si>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</si>
  <si>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</si>
  <si>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</si>
  <si>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</si>
  <si>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</si>
  <si>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</si>
  <si>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</si>
  <si>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</si>
  <si>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</si>
  <si>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</si>
  <si>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</si>
  <si>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</si>
  <si>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</si>
  <si>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</si>
  <si>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</si>
  <si>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</si>
  <si>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</si>
  <si>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</si>
  <si>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</si>
  <si>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</si>
  <si>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</si>
  <si>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</si>
  <si>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</si>
  <si>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</si>
  <si>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</si>
  <si>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</si>
  <si>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</si>
  <si>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</si>
  <si>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</si>
  <si>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</si>
  <si>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</si>
  <si>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</si>
  <si>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</si>
  <si>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</si>
  <si>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</si>
  <si>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</si>
  <si>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</si>
  <si>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</si>
  <si>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</si>
  <si>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</si>
  <si>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</si>
  <si>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</si>
  <si>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</si>
  <si>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</si>
  <si>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</si>
  <si>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</si>
  <si>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</si>
  <si>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</si>
  <si>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</si>
  <si>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</si>
  <si>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</si>
  <si>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</si>
  <si>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</si>
  <si>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</si>
  <si>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</si>
  <si>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</si>
  <si>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</si>
  <si>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</si>
  <si>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</si>
  <si>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</si>
  <si>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</si>
  <si>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</si>
  <si>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</si>
  <si>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</si>
  <si>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</si>
  <si>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</si>
  <si>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</si>
  <si>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</si>
  <si>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</si>
  <si>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</si>
  <si>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</si>
  <si>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</si>
  <si>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</si>
  <si>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</si>
  <si>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</si>
  <si>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</si>
  <si>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</si>
  <si>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</si>
  <si>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</si>
  <si>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</si>
  <si>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</si>
  <si>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</si>
  <si>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</si>
  <si>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</si>
  <si>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</si>
  <si>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</si>
  <si>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</si>
  <si>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</si>
  <si>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</si>
  <si>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</si>
  <si>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</si>
  <si>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</si>
  <si>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</si>
  <si>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</si>
  <si>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</si>
  <si>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</si>
  <si>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</si>
  <si>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</si>
  <si>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</si>
  <si>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</si>
  <si>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</si>
  <si>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</si>
  <si>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</si>
  <si>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</si>
  <si>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</si>
  <si>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</si>
  <si>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</si>
  <si>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</si>
  <si>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</si>
  <si>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</si>
  <si>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</si>
  <si>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</si>
  <si>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</si>
  <si>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</si>
  <si>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</si>
  <si>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</si>
  <si>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</si>
  <si>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</si>
  <si>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</si>
  <si>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</si>
  <si>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</si>
  <si>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</si>
  <si>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</si>
  <si>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</si>
  <si>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</si>
  <si>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</si>
  <si>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</si>
  <si>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</si>
  <si>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</si>
  <si>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</si>
  <si>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</si>
  <si>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</si>
  <si>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</si>
  <si>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</si>
  <si>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</si>
  <si>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</si>
  <si>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</si>
  <si>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</si>
  <si>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</si>
  <si>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</si>
  <si>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</si>
  <si>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</si>
  <si>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</si>
  <si>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</si>
  <si>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</si>
  <si>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</si>
  <si>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</si>
  <si>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</si>
  <si>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</si>
  <si>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</si>
  <si>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</si>
  <si>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</si>
  <si>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</si>
  <si>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</si>
  <si>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</si>
  <si>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</si>
  <si>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</si>
  <si>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</si>
  <si>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</si>
  <si>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</si>
  <si>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</si>
  <si>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</si>
  <si>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</si>
  <si>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</si>
  <si>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</si>
  <si>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</si>
  <si>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</si>
  <si>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</si>
  <si>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</si>
  <si>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</si>
  <si>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</si>
  <si>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</si>
  <si>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</si>
  <si>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</si>
  <si>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</si>
  <si>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</si>
  <si>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</si>
  <si>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</si>
  <si>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</si>
  <si>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</si>
  <si>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</si>
  <si>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</si>
  <si>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</si>
  <si>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</si>
  <si>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</si>
  <si>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</si>
  <si>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</si>
  <si>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</si>
  <si>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</si>
  <si>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</si>
  <si>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</si>
  <si>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</si>
  <si>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</si>
  <si>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</si>
  <si>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</si>
  <si>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</si>
  <si>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</si>
  <si>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</si>
  <si>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</si>
  <si>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</si>
  <si>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</si>
  <si>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</si>
  <si>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</si>
  <si>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</si>
  <si>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</si>
  <si>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</si>
  <si>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</si>
  <si>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</si>
  <si>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</si>
  <si>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</si>
  <si>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</si>
  <si>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</si>
  <si>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</si>
  <si>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</si>
  <si>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</si>
  <si>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</si>
  <si>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</si>
  <si>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</si>
  <si>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</si>
  <si>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</si>
  <si>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</si>
  <si>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</si>
  <si>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</si>
  <si>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</si>
  <si>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</si>
  <si>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</si>
  <si>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</si>
  <si>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</si>
  <si>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</si>
  <si>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</si>
  <si>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</si>
  <si>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</si>
  <si>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</si>
  <si>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</si>
  <si>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</si>
  <si>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</si>
  <si>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</si>
  <si>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</si>
  <si>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</si>
  <si>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</si>
  <si>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</si>
  <si>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</si>
  <si>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</si>
  <si>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</si>
  <si>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</si>
  <si>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</si>
  <si>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</si>
  <si>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</si>
  <si>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</si>
  <si>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</si>
  <si>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</si>
  <si>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</si>
  <si>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</si>
  <si>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</si>
  <si>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</si>
  <si>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</si>
  <si>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</si>
  <si>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</si>
  <si>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</si>
  <si>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</si>
  <si>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</si>
  <si>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</si>
  <si>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</si>
  <si>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</si>
  <si>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</si>
  <si>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</si>
  <si>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</si>
  <si>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</si>
  <si>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</si>
  <si>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</si>
  <si>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</si>
  <si>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</si>
  <si>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</si>
  <si>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</si>
  <si>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</si>
  <si>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</si>
  <si>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</si>
  <si>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</si>
  <si>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</si>
  <si>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</si>
  <si>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</si>
  <si>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</si>
  <si>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</si>
  <si>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</si>
  <si>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</si>
  <si>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</si>
  <si>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</si>
  <si>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</si>
  <si>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</si>
  <si>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</si>
  <si>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</si>
  <si>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</si>
  <si>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</si>
  <si>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</si>
  <si>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</si>
  <si>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</si>
  <si>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</si>
  <si>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</si>
  <si>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</si>
  <si>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</si>
  <si>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</si>
  <si>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</si>
  <si>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</si>
  <si>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</si>
  <si>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</si>
  <si>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</si>
  <si>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</si>
  <si>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</si>
  <si>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</si>
  <si>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</si>
  <si>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</si>
  <si>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</si>
  <si>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</si>
  <si>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</si>
  <si>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</si>
  <si>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</si>
  <si>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</si>
  <si>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</si>
  <si>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</si>
  <si>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</si>
  <si>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</si>
  <si>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</si>
  <si>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</si>
  <si>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</si>
  <si>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</si>
  <si>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</si>
  <si>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</si>
  <si>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</si>
  <si>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</si>
  <si>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</si>
  <si>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</si>
  <si>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</si>
  <si>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</si>
  <si>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</si>
  <si>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</si>
  <si>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</si>
  <si>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</si>
  <si>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</si>
  <si>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</si>
  <si>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</si>
  <si>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</si>
  <si>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</si>
  <si>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</si>
  <si>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</si>
  <si>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</si>
  <si>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</si>
  <si>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</si>
  <si>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</si>
  <si>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</si>
  <si>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</si>
  <si>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</si>
  <si>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</si>
  <si>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</si>
  <si>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</si>
  <si>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</si>
  <si>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</si>
  <si>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</si>
  <si>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</si>
  <si>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</si>
  <si>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</si>
  <si>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</si>
  <si>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</si>
  <si>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</si>
  <si>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</si>
  <si>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</si>
  <si>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</si>
  <si>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</si>
  <si>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</si>
  <si>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</si>
  <si>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</si>
  <si>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</si>
  <si>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</si>
  <si>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</si>
  <si>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</si>
  <si>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</si>
  <si>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</si>
  <si>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</si>
  <si>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</si>
  <si>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</si>
  <si>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</si>
  <si>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</si>
  <si>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</si>
  <si>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</si>
  <si>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</si>
  <si>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</si>
  <si>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</si>
  <si>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</si>
  <si>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</si>
  <si>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</si>
  <si>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</si>
  <si>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</si>
  <si>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</si>
  <si>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</si>
  <si>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</si>
  <si>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</si>
  <si>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</si>
  <si>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</si>
  <si>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</si>
  <si>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</si>
  <si>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</si>
  <si>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</si>
  <si>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</si>
  <si>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</si>
  <si>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</si>
  <si>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</si>
  <si>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</si>
  <si>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</si>
  <si>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</si>
  <si>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</si>
  <si>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</si>
  <si>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</si>
  <si>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</si>
  <si>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</si>
  <si>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</si>
  <si>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</si>
  <si>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</si>
  <si>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</si>
  <si>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</si>
  <si>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</si>
  <si>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</si>
  <si>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</si>
  <si>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</si>
  <si>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</si>
  <si>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</si>
  <si>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</si>
  <si>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</si>
  <si>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</si>
  <si>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</si>
  <si>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</si>
  <si>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</si>
  <si>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</si>
  <si>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</si>
  <si>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</si>
  <si>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</si>
  <si>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</si>
  <si>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</si>
  <si>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</si>
  <si>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</si>
  <si>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</si>
  <si>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</si>
  <si>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</si>
  <si>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</si>
  <si>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</si>
  <si>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</si>
  <si>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</si>
  <si>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</si>
  <si>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</si>
  <si>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</si>
  <si>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</si>
  <si>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</si>
  <si>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</si>
  <si>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</si>
  <si>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</si>
  <si>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</si>
  <si>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</si>
  <si>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</si>
  <si>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</si>
  <si>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</si>
  <si>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</si>
  <si>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</si>
  <si>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</si>
  <si>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</si>
  <si>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</si>
  <si>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</si>
  <si>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</si>
  <si>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</si>
  <si>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</si>
  <si>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</si>
  <si>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</si>
  <si>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</si>
  <si>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</si>
  <si>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</si>
  <si>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</si>
  <si>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</si>
  <si>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</si>
  <si>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</si>
  <si>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</si>
  <si>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</si>
  <si>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</si>
  <si>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</si>
  <si>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</si>
  <si>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</si>
  <si>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</si>
  <si>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</si>
  <si>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</si>
  <si>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</si>
  <si>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</si>
  <si>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</si>
  <si>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</si>
  <si>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</si>
  <si>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</si>
  <si>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</si>
  <si>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</si>
  <si>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</si>
  <si>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</si>
  <si>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</si>
  <si>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</si>
  <si>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</si>
  <si>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</si>
  <si>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</si>
  <si>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</si>
  <si>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</si>
  <si>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</si>
  <si>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</si>
  <si>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</si>
  <si>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</si>
  <si>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</si>
  <si>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</si>
  <si>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</si>
  <si>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</si>
  <si>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</si>
  <si>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</si>
  <si>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</si>
  <si>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</si>
  <si>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</si>
  <si>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</si>
  <si>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</si>
  <si>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</si>
  <si>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</si>
  <si>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</si>
  <si>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</si>
  <si>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</si>
  <si>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</si>
  <si>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</si>
  <si>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</si>
  <si>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</si>
  <si>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</si>
  <si>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</si>
  <si>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</si>
  <si>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</si>
  <si>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</si>
  <si>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</si>
  <si>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</si>
  <si>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</si>
  <si>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</si>
  <si>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</si>
  <si>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</si>
  <si>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</si>
  <si>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</si>
  <si>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</si>
  <si>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</si>
  <si>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</si>
  <si>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</si>
  <si>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</si>
  <si>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новое строительство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</si>
  <si>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</si>
  <si>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</si>
  <si>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</si>
  <si>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</si>
  <si>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</si>
  <si>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</si>
  <si>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</si>
  <si>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</si>
  <si>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</si>
  <si>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</si>
  <si>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</si>
  <si>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</si>
  <si>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</si>
  <si>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</si>
  <si>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</si>
  <si>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0.4 кВ</t>
  </si>
  <si>
    <t>ТМГ</t>
  </si>
  <si>
    <t>Т-1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</si>
  <si>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</si>
  <si>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ВЗ</t>
  </si>
  <si>
    <t>I_3710</t>
  </si>
  <si>
    <t>1080/10/13 д/с №2 от 29.09.2017</t>
  </si>
  <si>
    <t>г. Гусев, ул. Победы, д. № 6, кад. № 39:04:010115:11</t>
  </si>
  <si>
    <t>нежилое здание-кинотеатр</t>
  </si>
  <si>
    <t>Нижние контакты стоек предохранителей в РУ 0,4 кВ от ТП новой (п.10.1.)</t>
  </si>
  <si>
    <t xml:space="preserve">10.1. В рассечку кабельной линии (КЛ) 15 кВ №14 на участке (от ТП 6  до ТП 8) построить трансформаторную подстанцию напряжением ТП 15/0,4 кВ. Место строительства, количество и мощность трансформаторов определить проектной документацией.
10.2. От проектируемой ТП объекта (п.10.1.) до места рассечки  (КЛ) 15 кВ №14 на участке (от ТП 6  до ТП 8) проложить два участка КЛ 15 кВ протяженностью по 0,1 км (ориентировочно),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
10.2.1. В месте рассечки  (КЛ) 15 кВ №14 на участке (от ТП 6  до ТП 8)  выполнить монтаж соединительных муфт 15 кВ.
</t>
  </si>
  <si>
    <t>Договор технологического присоединения № 1080/10/13 д/с №2 от 29.09.2017 
Постановление Правительства Российской Федерации от 27 декабря 2004 г. № 861;
Техническое задание №9382/17-31 .</t>
  </si>
  <si>
    <t>ООО "Энергия" договор ПИР № 020/07/18 от 30.05.2018 в ценах 2018 года без НДС, млн. руб.</t>
  </si>
  <si>
    <t>ООО "Энергия" договор ПИР № 020/07/18 от 30.05.2018</t>
  </si>
  <si>
    <t>не относится</t>
  </si>
  <si>
    <t>СМР</t>
  </si>
  <si>
    <t>Выполнение строительно-монтажных работ по объекту "Строительство БКТП 15/0,4 кВ, 2-х участков КЛ 15 кВ от БКТП Новой до места врезки в КЛ 15 кВ № 14 на ул. Победы в г. Гусеве"</t>
  </si>
  <si>
    <t>"Янтарьэнерго" АО ДКС (юр.лица)</t>
  </si>
  <si>
    <t>ПСД</t>
  </si>
  <si>
    <t>ОЗП ЕП</t>
  </si>
  <si>
    <t>"ПРОФЭНЕРГОСТРОЙ" ООО</t>
  </si>
  <si>
    <t xml:space="preserve"> 31907755868 </t>
  </si>
  <si>
    <t xml:space="preserve">https://rosseti.roseltorg.ru/ </t>
  </si>
  <si>
    <t>148131</t>
  </si>
  <si>
    <t>Строительство БКТП 15/0,4 кВ, 2-х участков КЛ 15 кВ от БКТП Новой до места врезки в КЛ 15 кВ №14 на ул. Победы в г. Гусеве</t>
  </si>
  <si>
    <t>2022</t>
  </si>
  <si>
    <t xml:space="preserve"> по состоянию на 01.01.2020</t>
  </si>
  <si>
    <t xml:space="preserve"> по состоянию на 01.01.2022</t>
  </si>
  <si>
    <t xml:space="preserve">факт 2020 года </t>
  </si>
  <si>
    <t xml:space="preserve">факт 2018 года </t>
  </si>
  <si>
    <t xml:space="preserve">факт 2019 года </t>
  </si>
  <si>
    <t>2021 год</t>
  </si>
  <si>
    <t>2022 год</t>
  </si>
  <si>
    <t>2023 год</t>
  </si>
  <si>
    <t>не требуется, хоз.способ</t>
  </si>
  <si>
    <t>растогнут</t>
  </si>
  <si>
    <t>Акционерное общество "Россети Янтарь"</t>
  </si>
  <si>
    <t>АО "Россети Янтарь"</t>
  </si>
  <si>
    <t>ПИР</t>
  </si>
  <si>
    <t>Выполнение проектных работ по объекту "Строительство БКТП 15/0,4 кВ, 2-х участков КЛ 15 кВ от БКТП Новой до места врезки в КЛ 15 кВ № 14 на ул. Победы в г. Гусеве"</t>
  </si>
  <si>
    <t>УР</t>
  </si>
  <si>
    <t>СЦ</t>
  </si>
  <si>
    <t>ООО "Энергия"</t>
  </si>
  <si>
    <t>ООО "Балтийская электромонтажная компания"</t>
  </si>
  <si>
    <t>ООО "Янтарьэнергосервис"</t>
  </si>
  <si>
    <t>без НДС</t>
  </si>
  <si>
    <t>ПСД, утв. Приказом № 639 от 06.09.2018</t>
  </si>
  <si>
    <t>ТП-8 15/0,4 кВ</t>
  </si>
  <si>
    <t>Замена в ТП-8 трансформатора 15/0,4 кВ 400 кВА на 630 кВА</t>
  </si>
  <si>
    <t>ТП 15/0,4 кВ 0,65 млн.руб./МВА</t>
  </si>
  <si>
    <t>Ожидание подачи ЛФВТУ</t>
  </si>
  <si>
    <t>З</t>
  </si>
  <si>
    <t>Сметная стоимость проекта в ценах 2022 года с НДС, млн. руб.</t>
  </si>
  <si>
    <t>0,63 (0,23) МВА</t>
  </si>
  <si>
    <t>ООО "ПрофЭнергоСтрой" договор № 797 от 08.07.2019 - расторгнут 27.08.2021; хоз.способ Южный РЭС АО "Россети Янтарь"</t>
  </si>
  <si>
    <t>силовой трансформатор 15/0,4 кВ 0,63 МВА</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</si>
  <si>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</si>
  <si>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</si>
  <si>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</si>
  <si>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</si>
  <si>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2018-2019 года, млн рублей</t>
  </si>
  <si>
    <t>Работы, выполненные хоз.способом Южный РЭС АО "Россети Янтарь" в ценах 2022 года, млн рублей</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</si>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</sst>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8"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7" fillId="0" borderId="1" xfId="49" applyNumberFormat="1" applyFont="1" applyBorder="1" applyAlignment="1">
      <alignment horizontal="center" vertical="center"/>
    </xf>
    <xf numFmtId="0" fontId="11" fillId="0" borderId="55" xfId="62" applyNumberFormat="1" applyFont="1" applyBorder="1" applyAlignment="1">
      <alignment vertical="center" wrapText="1"/>
    </xf>
    <xf numFmtId="0" fontId="71" fillId="0" borderId="46" xfId="1" applyFont="1" applyBorder="1" applyAlignment="1">
      <alignment horizontal="left" vertical="top" wrapText="1"/>
    </xf>
    <xf numFmtId="0" fontId="11" fillId="0" borderId="56" xfId="1" applyFont="1" applyBorder="1" applyAlignment="1">
      <alignment vertical="center"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0" fontId="7" fillId="0" borderId="58" xfId="1" applyFont="1" applyBorder="1" applyAlignment="1">
      <alignment horizontal="left" vertical="center"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1" fontId="40" fillId="0" borderId="58" xfId="67" applyNumberFormat="1" applyFont="1" applyFill="1" applyBorder="1" applyAlignment="1">
      <alignment horizontal="center" vertical="center"/>
    </xf>
    <xf numFmtId="172" fontId="41" fillId="0" borderId="58" xfId="67" applyNumberFormat="1" applyFont="1" applyFill="1" applyBorder="1" applyAlignment="1">
      <alignment vertical="center"/>
    </xf>
    <xf numFmtId="173" fontId="41" fillId="0" borderId="58" xfId="67" applyNumberFormat="1" applyFont="1" applyFill="1" applyBorder="1" applyAlignment="1">
      <alignment vertical="center"/>
    </xf>
    <xf numFmtId="175" fontId="79" fillId="0" borderId="58" xfId="67" applyNumberFormat="1" applyFont="1" applyFill="1" applyBorder="1" applyAlignment="1">
      <alignment vertical="center"/>
    </xf>
    <xf numFmtId="0" fontId="82" fillId="24" borderId="58" xfId="62" applyFont="1" applyFill="1" applyBorder="1" applyAlignment="1">
      <alignment horizontal="center" vertical="center" wrapText="1"/>
    </xf>
    <xf numFmtId="175" fontId="62" fillId="24" borderId="58" xfId="62" applyNumberFormat="1" applyFont="1" applyFill="1" applyBorder="1" applyAlignment="1">
      <alignment horizontal="center" vertical="center" wrapText="1"/>
    </xf>
    <xf numFmtId="9" fontId="62" fillId="24" borderId="58" xfId="62" applyNumberFormat="1" applyFont="1" applyFill="1" applyBorder="1" applyAlignment="1">
      <alignment horizontal="center" vertical="center" wrapText="1"/>
    </xf>
    <xf numFmtId="4" fontId="62" fillId="24"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5"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5"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5" borderId="58" xfId="68" applyFont="1" applyFill="1" applyBorder="1" applyAlignment="1">
      <alignment horizontal="center" vertical="center"/>
    </xf>
    <xf numFmtId="0" fontId="44" fillId="26"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62" fillId="0" borderId="58" xfId="62" applyFont="1" applyBorder="1" applyAlignment="1">
      <alignment wrapText="1"/>
    </xf>
    <xf numFmtId="4" fontId="62" fillId="26" borderId="58" xfId="62" applyNumberFormat="1" applyFont="1" applyFill="1" applyBorder="1" applyAlignment="1">
      <alignment horizontal="center"/>
    </xf>
    <xf numFmtId="3" fontId="62" fillId="26" borderId="58" xfId="62" applyNumberFormat="1" applyFont="1" applyFill="1" applyBorder="1" applyAlignment="1">
      <alignment horizontal="center"/>
    </xf>
    <xf numFmtId="4" fontId="62" fillId="0" borderId="58" xfId="62" applyNumberFormat="1" applyFont="1" applyFill="1" applyBorder="1" applyAlignment="1">
      <alignment horizontal="center"/>
    </xf>
    <xf numFmtId="4" fontId="62" fillId="25" borderId="58" xfId="62" applyNumberFormat="1" applyFont="1" applyFill="1" applyBorder="1" applyAlignment="1">
      <alignment horizontal="center"/>
    </xf>
    <xf numFmtId="10" fontId="62" fillId="25" borderId="58" xfId="62" applyNumberFormat="1" applyFont="1" applyFill="1" applyBorder="1" applyAlignment="1">
      <alignment horizontal="center"/>
    </xf>
    <xf numFmtId="0" fontId="62" fillId="29" borderId="58" xfId="62" applyFont="1" applyFill="1" applyBorder="1" applyAlignment="1">
      <alignment horizontal="left" vertical="center" wrapText="1"/>
    </xf>
    <xf numFmtId="0" fontId="62" fillId="29" borderId="58" xfId="62" applyFont="1" applyFill="1" applyBorder="1" applyAlignment="1">
      <alignment horizontal="center" wrapText="1"/>
    </xf>
    <xf numFmtId="0" fontId="62" fillId="0" borderId="58" xfId="62" applyFont="1" applyBorder="1"/>
    <xf numFmtId="0" fontId="62" fillId="29" borderId="58" xfId="62" applyFont="1" applyFill="1" applyBorder="1"/>
    <xf numFmtId="10" fontId="62" fillId="29" borderId="58" xfId="62" applyNumberFormat="1" applyFont="1" applyFill="1" applyBorder="1"/>
    <xf numFmtId="10" fontId="36" fillId="29" borderId="58" xfId="67" applyNumberFormat="1" applyFont="1" applyFill="1" applyBorder="1" applyAlignment="1">
      <alignment vertical="center"/>
    </xf>
    <xf numFmtId="3" fontId="7" fillId="29" borderId="58" xfId="67" applyNumberFormat="1" applyFont="1" applyFill="1" applyBorder="1" applyAlignment="1">
      <alignment horizontal="right" vertical="center"/>
    </xf>
    <xf numFmtId="168" fontId="36" fillId="29" borderId="58"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3" fillId="0" borderId="58" xfId="1" applyFill="1" applyBorder="1" applyAlignment="1">
      <alignment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58" xfId="2" applyFont="1" applyFill="1" applyBorder="1" applyAlignment="1">
      <alignment horizontal="center" vertical="center" wrapText="1"/>
    </xf>
    <xf numFmtId="177" fontId="11" fillId="0" borderId="0" xfId="2" applyNumberFormat="1" applyFont="1"/>
    <xf numFmtId="168" fontId="36" fillId="0" borderId="0" xfId="49"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0" fillId="31" borderId="31" xfId="2" applyFont="1" applyFill="1" applyBorder="1" applyAlignment="1">
      <alignment horizontal="justify" vertical="top" wrapText="1"/>
    </xf>
    <xf numFmtId="4" fontId="40" fillId="32"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-39598.020497042584</c:v>
                </c:pt>
                <c:pt idx="1">
                  <c:v>163096.07854389265</c:v>
                </c:pt>
                <c:pt idx="2">
                  <c:v>282491.93282715278</c:v>
                </c:pt>
                <c:pt idx="3">
                  <c:v>370311.40234437038</c:v>
                </c:pt>
                <c:pt idx="4">
                  <c:v>320191.74644420465</c:v>
                </c:pt>
                <c:pt idx="5">
                  <c:v>276856.48110414122</c:v>
                </c:pt>
                <c:pt idx="6">
                  <c:v>239387.08092133366</c:v>
                </c:pt>
                <c:pt idx="7">
                  <c:v>206989.40574392839</c:v>
                </c:pt>
                <c:pt idx="8">
                  <c:v>178976.85187757647</c:v>
                </c:pt>
                <c:pt idx="9">
                  <c:v>154755.78637648126</c:v>
                </c:pt>
                <c:pt idx="10">
                  <c:v>133812.95491427407</c:v>
                </c:pt>
              </c:numCache>
            </c:numRef>
          </c:val>
          <c:smooth val="0"/>
          <c:extLst>
            <c:ext xmlns:c16="http://schemas.microsoft.com/office/drawing/2014/chart" uri="{C3380CC4-5D6E-409C-BE32-E72D297353CC}">
              <c16:uniqueId val="{00000000-1C78-47F5-BFF4-5840884EF4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-39598.020497042584</c:v>
                </c:pt>
                <c:pt idx="1">
                  <c:v>123498.05804685007</c:v>
                </c:pt>
                <c:pt idx="2">
                  <c:v>405989.99087400286</c:v>
                </c:pt>
                <c:pt idx="3">
                  <c:v>776301.39321837318</c:v>
                </c:pt>
                <c:pt idx="4">
                  <c:v>1096493.1396625778</c:v>
                </c:pt>
                <c:pt idx="5">
                  <c:v>1373349.6207667189</c:v>
                </c:pt>
                <c:pt idx="6">
                  <c:v>1612736.7016880526</c:v>
                </c:pt>
                <c:pt idx="7">
                  <c:v>1819726.107431981</c:v>
                </c:pt>
                <c:pt idx="8">
                  <c:v>1998702.9593095575</c:v>
                </c:pt>
                <c:pt idx="9">
                  <c:v>2153458.7456860389</c:v>
                </c:pt>
                <c:pt idx="10">
                  <c:v>2287271.700600313</c:v>
                </c:pt>
              </c:numCache>
            </c:numRef>
          </c:val>
          <c:smooth val="0"/>
          <c:extLst>
            <c:ext xmlns:c16="http://schemas.microsoft.com/office/drawing/2014/chart" uri="{C3380CC4-5D6E-409C-BE32-E72D297353CC}">
              <c16:uniqueId val="{00000001-1C78-47F5-BFF4-5840884EF478}"/>
            </c:ext>
          </c:extLst>
        </c:ser>
        <c:dLbls>
          <c:showLegendKey val="0"/>
          <c:showVal val="0"/>
          <c:showCatName val="0"/>
          <c:showSerName val="0"/>
          <c:showPercent val="0"/>
          <c:showBubbleSize val="0"/>
        </c:dLbls>
        <c:smooth val="0"/>
        <c:axId val="789411344"/>
        <c:axId val="789411736"/>
      </c:lineChart>
      <c:catAx>
        <c:axId val="7894113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9411736"/>
        <c:crosses val="autoZero"/>
        <c:auto val="1"/>
        <c:lblAlgn val="ctr"/>
        <c:lblOffset val="100"/>
        <c:noMultiLvlLbl val="0"/>
      </c:catAx>
      <c:valAx>
        <c:axId val="789411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94113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7D4B-45CD-B64A-F5E385FD47A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7D4B-45CD-B64A-F5E385FD47AE}"/>
            </c:ext>
          </c:extLst>
        </c:ser>
        <c:dLbls>
          <c:showLegendKey val="0"/>
          <c:showVal val="0"/>
          <c:showCatName val="0"/>
          <c:showSerName val="0"/>
          <c:showPercent val="0"/>
          <c:showBubbleSize val="0"/>
        </c:dLbls>
        <c:smooth val="0"/>
        <c:axId val="789412128"/>
        <c:axId val="789412912"/>
      </c:lineChart>
      <c:catAx>
        <c:axId val="789412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9412912"/>
        <c:crosses val="autoZero"/>
        <c:auto val="1"/>
        <c:lblAlgn val="ctr"/>
        <c:lblOffset val="100"/>
        <c:noMultiLvlLbl val="0"/>
      </c:catAx>
      <c:valAx>
        <c:axId val="789412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94121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6C16-45AB-95B4-CF86045E3F09}"/>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6C16-45AB-95B4-CF86045E3F09}"/>
            </c:ext>
          </c:extLst>
        </c:ser>
        <c:dLbls>
          <c:showLegendKey val="0"/>
          <c:showVal val="0"/>
          <c:showCatName val="0"/>
          <c:showSerName val="0"/>
          <c:showPercent val="0"/>
          <c:showBubbleSize val="0"/>
        </c:dLbls>
        <c:smooth val="0"/>
        <c:axId val="725574360"/>
        <c:axId val="725574752"/>
      </c:lineChart>
      <c:catAx>
        <c:axId val="725574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74752"/>
        <c:crosses val="autoZero"/>
        <c:auto val="1"/>
        <c:lblAlgn val="ctr"/>
        <c:lblOffset val="100"/>
        <c:noMultiLvlLbl val="0"/>
      </c:catAx>
      <c:valAx>
        <c:axId val="725574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574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9" customWidth="1"/>
    <col min="2" max="2" width="53.5703125" style="299" customWidth="1"/>
    <col min="3" max="3" width="89"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6" customFormat="1" ht="18.75" customHeight="1" x14ac:dyDescent="0.2">
      <c r="A1" s="280"/>
      <c r="C1" s="281" t="s">
        <v>66</v>
      </c>
    </row>
    <row r="2" spans="1:22" s="16" customFormat="1" ht="18.75" customHeight="1" x14ac:dyDescent="0.3">
      <c r="A2" s="280"/>
      <c r="C2" s="282" t="s">
        <v>8</v>
      </c>
    </row>
    <row r="3" spans="1:22" s="16" customFormat="1" ht="18.75" x14ac:dyDescent="0.3">
      <c r="A3" s="283"/>
      <c r="C3" s="282" t="s">
        <v>65</v>
      </c>
    </row>
    <row r="4" spans="1:22" s="16" customFormat="1" ht="18.75" x14ac:dyDescent="0.3">
      <c r="A4" s="283"/>
      <c r="H4" s="282"/>
    </row>
    <row r="5" spans="1:22" s="16" customFormat="1" ht="15.75" x14ac:dyDescent="0.25">
      <c r="A5" s="405" t="s">
        <v>726</v>
      </c>
      <c r="B5" s="405"/>
      <c r="C5" s="405"/>
      <c r="D5" s="161"/>
      <c r="E5" s="161"/>
      <c r="F5" s="161"/>
      <c r="G5" s="161"/>
      <c r="H5" s="161"/>
      <c r="I5" s="161"/>
      <c r="J5" s="161"/>
    </row>
    <row r="6" spans="1:22" s="16" customFormat="1" ht="18.75" x14ac:dyDescent="0.3">
      <c r="A6" s="283"/>
      <c r="H6" s="282"/>
    </row>
    <row r="7" spans="1:22" s="16" customFormat="1" ht="18.75" x14ac:dyDescent="0.2">
      <c r="A7" s="409" t="s">
        <v>7</v>
      </c>
      <c r="B7" s="409"/>
      <c r="C7" s="409"/>
      <c r="D7" s="284"/>
      <c r="E7" s="284"/>
      <c r="F7" s="284"/>
      <c r="G7" s="284"/>
      <c r="H7" s="284"/>
      <c r="I7" s="284"/>
      <c r="J7" s="284"/>
      <c r="K7" s="284"/>
      <c r="L7" s="284"/>
      <c r="M7" s="284"/>
      <c r="N7" s="284"/>
      <c r="O7" s="284"/>
      <c r="P7" s="284"/>
      <c r="Q7" s="284"/>
      <c r="R7" s="284"/>
      <c r="S7" s="284"/>
      <c r="T7" s="284"/>
      <c r="U7" s="284"/>
      <c r="V7" s="284"/>
    </row>
    <row r="8" spans="1:22" s="16"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8.75" x14ac:dyDescent="0.2">
      <c r="A9" s="410" t="s">
        <v>700</v>
      </c>
      <c r="B9" s="410"/>
      <c r="C9" s="410"/>
      <c r="D9" s="286"/>
      <c r="E9" s="286"/>
      <c r="F9" s="286"/>
      <c r="G9" s="286"/>
      <c r="H9" s="286"/>
      <c r="I9" s="284"/>
      <c r="J9" s="284"/>
      <c r="K9" s="284"/>
      <c r="L9" s="284"/>
      <c r="M9" s="284"/>
      <c r="N9" s="284"/>
      <c r="O9" s="284"/>
      <c r="P9" s="284"/>
      <c r="Q9" s="284"/>
      <c r="R9" s="284"/>
      <c r="S9" s="284"/>
      <c r="T9" s="284"/>
      <c r="U9" s="284"/>
      <c r="V9" s="284"/>
    </row>
    <row r="10" spans="1:22" s="16" customFormat="1" ht="18.75" x14ac:dyDescent="0.2">
      <c r="A10" s="406" t="s">
        <v>6</v>
      </c>
      <c r="B10" s="406"/>
      <c r="C10" s="406"/>
      <c r="D10" s="287"/>
      <c r="E10" s="287"/>
      <c r="F10" s="287"/>
      <c r="G10" s="287"/>
      <c r="H10" s="287"/>
      <c r="I10" s="284"/>
      <c r="J10" s="284"/>
      <c r="K10" s="284"/>
      <c r="L10" s="284"/>
      <c r="M10" s="284"/>
      <c r="N10" s="284"/>
      <c r="O10" s="284"/>
      <c r="P10" s="284"/>
      <c r="Q10" s="284"/>
      <c r="R10" s="284"/>
      <c r="S10" s="284"/>
      <c r="T10" s="284"/>
      <c r="U10" s="284"/>
      <c r="V10" s="284"/>
    </row>
    <row r="11" spans="1:22" s="16"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8.75" x14ac:dyDescent="0.2">
      <c r="A12" s="408" t="s">
        <v>669</v>
      </c>
      <c r="B12" s="408"/>
      <c r="C12" s="408"/>
      <c r="D12" s="286"/>
      <c r="E12" s="286"/>
      <c r="F12" s="286"/>
      <c r="G12" s="286"/>
      <c r="H12" s="286"/>
      <c r="I12" s="284"/>
      <c r="J12" s="284"/>
      <c r="K12" s="284"/>
      <c r="L12" s="284"/>
      <c r="M12" s="284"/>
      <c r="N12" s="284"/>
      <c r="O12" s="284"/>
      <c r="P12" s="284"/>
      <c r="Q12" s="284"/>
      <c r="R12" s="284"/>
      <c r="S12" s="284"/>
      <c r="T12" s="284"/>
      <c r="U12" s="284"/>
      <c r="V12" s="284"/>
    </row>
    <row r="13" spans="1:22" s="16" customFormat="1" ht="18.75" x14ac:dyDescent="0.2">
      <c r="A13" s="406" t="s">
        <v>5</v>
      </c>
      <c r="B13" s="406"/>
      <c r="C13" s="406"/>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39" customHeight="1" x14ac:dyDescent="0.2">
      <c r="A15" s="411" t="s">
        <v>688</v>
      </c>
      <c r="B15" s="412"/>
      <c r="C15" s="412"/>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06" t="s">
        <v>4</v>
      </c>
      <c r="B16" s="406"/>
      <c r="C16" s="406"/>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07" t="s">
        <v>511</v>
      </c>
      <c r="B18" s="408"/>
      <c r="C18" s="408"/>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8" t="s">
        <v>62</v>
      </c>
      <c r="B22" s="296" t="s">
        <v>347</v>
      </c>
      <c r="C22" s="158" t="s">
        <v>583</v>
      </c>
      <c r="D22" s="294"/>
      <c r="E22" s="294"/>
      <c r="F22" s="294"/>
      <c r="G22" s="294"/>
      <c r="H22" s="294"/>
      <c r="I22" s="278"/>
      <c r="J22" s="278"/>
      <c r="K22" s="278"/>
      <c r="L22" s="278"/>
      <c r="M22" s="278"/>
      <c r="N22" s="278"/>
      <c r="O22" s="278"/>
      <c r="P22" s="278"/>
      <c r="Q22" s="278"/>
      <c r="R22" s="278"/>
      <c r="S22" s="278"/>
      <c r="T22" s="295"/>
      <c r="U22" s="295"/>
      <c r="V22" s="295"/>
    </row>
    <row r="23" spans="1:22" s="289" customFormat="1" ht="78.75" x14ac:dyDescent="0.2">
      <c r="A23" s="28" t="s">
        <v>61</v>
      </c>
      <c r="B23" s="36" t="s">
        <v>620</v>
      </c>
      <c r="C23" s="386" t="s">
        <v>667</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2"/>
      <c r="B24" s="403"/>
      <c r="C24" s="404"/>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8" t="s">
        <v>60</v>
      </c>
      <c r="B25" s="158" t="s">
        <v>460</v>
      </c>
      <c r="C25" s="35" t="s">
        <v>637</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8" t="s">
        <v>59</v>
      </c>
      <c r="B26" s="158"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8" t="s">
        <v>57</v>
      </c>
      <c r="B27" s="158" t="s">
        <v>71</v>
      </c>
      <c r="C27" s="297" t="s">
        <v>653</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8" t="s">
        <v>56</v>
      </c>
      <c r="B28" s="158"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8" t="s">
        <v>54</v>
      </c>
      <c r="B29" s="158"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8" t="s">
        <v>52</v>
      </c>
      <c r="B30" s="158"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8" t="s">
        <v>70</v>
      </c>
      <c r="B31" s="158"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8" t="s">
        <v>68</v>
      </c>
      <c r="B32" s="158"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8" t="s">
        <v>67</v>
      </c>
      <c r="B33" s="158" t="s">
        <v>466</v>
      </c>
      <c r="C33" s="346" t="s">
        <v>678</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8" t="s">
        <v>480</v>
      </c>
      <c r="B34" s="158" t="s">
        <v>467</v>
      </c>
      <c r="C34" s="35" t="s">
        <v>628</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8" t="s">
        <v>470</v>
      </c>
      <c r="B35" s="158" t="s">
        <v>69</v>
      </c>
      <c r="C35" s="35" t="s">
        <v>628</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8" t="s">
        <v>481</v>
      </c>
      <c r="B36" s="158"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8" t="s">
        <v>471</v>
      </c>
      <c r="B37" s="158" t="s">
        <v>469</v>
      </c>
      <c r="C37" s="35"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8" t="s">
        <v>482</v>
      </c>
      <c r="B38" s="158" t="s">
        <v>228</v>
      </c>
      <c r="C38" s="35" t="s">
        <v>628</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2"/>
      <c r="B39" s="403"/>
      <c r="C39" s="404"/>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8" t="s">
        <v>472</v>
      </c>
      <c r="B40" s="158" t="s">
        <v>524</v>
      </c>
      <c r="C40" s="387" t="str">
        <f>CONCATENATE("∆P15тп_тр = ",'3.1. паспорт Техсостояние ПС'!P26," МВА;  
SТПпотр=",'2. паспорт  ТП'!H23," МВт; Nсд_тпр=",'2. паспорт  ТП'!A22," договор; Фтз=",ROUND('5. анализ эконом эфф'!B122,2)," млн.руб.")</f>
        <v>∆P15тп_тр = 0,23 МВА;  
SТПпотр=0,5 МВт; Nсд_тпр=1 договор; Фтз=0,46 млн.руб.</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8" t="s">
        <v>483</v>
      </c>
      <c r="B41" s="158" t="s">
        <v>506</v>
      </c>
      <c r="C41" s="300" t="s">
        <v>629</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8" t="s">
        <v>473</v>
      </c>
      <c r="B42" s="158" t="s">
        <v>521</v>
      </c>
      <c r="C42" s="300" t="s">
        <v>629</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8" t="s">
        <v>486</v>
      </c>
      <c r="B43" s="158" t="s">
        <v>487</v>
      </c>
      <c r="C43" s="300" t="s">
        <v>637</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8" t="s">
        <v>474</v>
      </c>
      <c r="B44" s="158" t="s">
        <v>512</v>
      </c>
      <c r="C44" s="300" t="s">
        <v>637</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8" t="s">
        <v>507</v>
      </c>
      <c r="B45" s="158" t="s">
        <v>513</v>
      </c>
      <c r="C45" s="300" t="s">
        <v>637</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8" t="s">
        <v>475</v>
      </c>
      <c r="B46" s="158" t="s">
        <v>514</v>
      </c>
      <c r="C46" s="300" t="s">
        <v>637</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2"/>
      <c r="B47" s="403"/>
      <c r="C47" s="404"/>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8" t="s">
        <v>508</v>
      </c>
      <c r="B48" s="158" t="s">
        <v>522</v>
      </c>
      <c r="C48" s="301" t="str">
        <f>CONCATENATE(ROUND('6.2. Паспорт фин осв ввод'!W24,2)," млн.руб.")</f>
        <v>0,29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8" t="s">
        <v>476</v>
      </c>
      <c r="B49" s="158" t="s">
        <v>523</v>
      </c>
      <c r="C49" s="301" t="str">
        <f>CONCATENATE(ROUND('6.2. Паспорт фин осв ввод'!W30,2)," млн.руб.")</f>
        <v>0,24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P28" sqref="P28"/>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9" width="12.85546875" style="61" hidden="1" customWidth="1"/>
    <col min="10" max="13" width="9" style="61" customWidth="1"/>
    <col min="14" max="21" width="9" style="60" customWidth="1"/>
    <col min="22" max="22" width="13.140625" style="60" customWidth="1"/>
    <col min="23" max="23" width="24.85546875" style="60" customWidth="1"/>
    <col min="24" max="24" width="10" style="60" bestFit="1" customWidth="1"/>
    <col min="25" max="16384" width="9.140625" style="60"/>
  </cols>
  <sheetData>
    <row r="1" spans="1:23" ht="18.75" x14ac:dyDescent="0.25">
      <c r="A1" s="61"/>
      <c r="B1" s="61"/>
      <c r="C1" s="61"/>
      <c r="D1" s="61"/>
      <c r="E1" s="61"/>
      <c r="F1" s="61"/>
      <c r="N1" s="61"/>
      <c r="O1" s="61"/>
      <c r="W1" s="39" t="s">
        <v>66</v>
      </c>
    </row>
    <row r="2" spans="1:23" ht="18.75" x14ac:dyDescent="0.3">
      <c r="A2" s="61"/>
      <c r="B2" s="61"/>
      <c r="C2" s="61"/>
      <c r="D2" s="61"/>
      <c r="E2" s="61"/>
      <c r="F2" s="61"/>
      <c r="N2" s="61"/>
      <c r="O2" s="61"/>
      <c r="W2" s="15" t="s">
        <v>8</v>
      </c>
    </row>
    <row r="3" spans="1:23" ht="18.75" x14ac:dyDescent="0.3">
      <c r="A3" s="61"/>
      <c r="B3" s="61"/>
      <c r="C3" s="61"/>
      <c r="D3" s="61"/>
      <c r="E3" s="61"/>
      <c r="F3" s="61"/>
      <c r="N3" s="61"/>
      <c r="O3" s="61"/>
      <c r="W3" s="15" t="s">
        <v>65</v>
      </c>
    </row>
    <row r="4" spans="1:23"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row>
    <row r="5" spans="1:23" ht="18.75" x14ac:dyDescent="0.3">
      <c r="A5" s="61"/>
      <c r="B5" s="61"/>
      <c r="C5" s="61"/>
      <c r="D5" s="61"/>
      <c r="E5" s="61"/>
      <c r="F5" s="61"/>
      <c r="N5" s="61"/>
      <c r="O5" s="61"/>
      <c r="W5" s="15"/>
    </row>
    <row r="6" spans="1:23"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row>
    <row r="7" spans="1:23" ht="18.75" x14ac:dyDescent="0.25">
      <c r="A7" s="13"/>
      <c r="B7" s="13"/>
      <c r="C7" s="13"/>
      <c r="D7" s="13"/>
      <c r="E7" s="13"/>
      <c r="F7" s="13"/>
      <c r="G7" s="13"/>
      <c r="H7" s="154"/>
      <c r="I7" s="154"/>
      <c r="J7" s="13"/>
      <c r="K7" s="13"/>
      <c r="L7" s="84"/>
      <c r="M7" s="84"/>
      <c r="N7" s="84"/>
      <c r="O7" s="84"/>
      <c r="P7" s="84"/>
      <c r="Q7" s="84"/>
      <c r="R7" s="84"/>
      <c r="S7" s="84"/>
      <c r="T7" s="84"/>
      <c r="U7" s="84"/>
      <c r="V7" s="84"/>
      <c r="W7" s="84"/>
    </row>
    <row r="8" spans="1:23" x14ac:dyDescent="0.25">
      <c r="A8" s="415" t="str">
        <f>'1. паспорт местоположение'!A9:C9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415"/>
      <c r="U8" s="415"/>
      <c r="V8" s="415"/>
      <c r="W8" s="415"/>
    </row>
    <row r="9" spans="1:23"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row>
    <row r="10" spans="1:23" ht="18.75" x14ac:dyDescent="0.25">
      <c r="A10" s="13"/>
      <c r="B10" s="13"/>
      <c r="C10" s="13"/>
      <c r="D10" s="13"/>
      <c r="E10" s="13"/>
      <c r="F10" s="13"/>
      <c r="G10" s="13"/>
      <c r="H10" s="154"/>
      <c r="I10" s="154"/>
      <c r="J10" s="13"/>
      <c r="K10" s="13"/>
      <c r="L10" s="84"/>
      <c r="M10" s="84"/>
      <c r="N10" s="84"/>
      <c r="O10" s="84"/>
      <c r="P10" s="84"/>
      <c r="Q10" s="84"/>
      <c r="R10" s="84"/>
      <c r="S10" s="84"/>
      <c r="T10" s="84"/>
      <c r="U10" s="84"/>
      <c r="V10" s="84"/>
      <c r="W10" s="84"/>
    </row>
    <row r="11" spans="1:23" x14ac:dyDescent="0.25">
      <c r="A11" s="415" t="str">
        <f>'1. паспорт местоположение'!A12:C12</f>
        <v>I_3710</v>
      </c>
      <c r="B11" s="415"/>
      <c r="C11" s="415"/>
      <c r="D11" s="415"/>
      <c r="E11" s="415"/>
      <c r="F11" s="415"/>
      <c r="G11" s="415"/>
      <c r="H11" s="415"/>
      <c r="I11" s="415"/>
      <c r="J11" s="415"/>
      <c r="K11" s="415"/>
      <c r="L11" s="415"/>
      <c r="M11" s="415"/>
      <c r="N11" s="415"/>
      <c r="O11" s="415"/>
      <c r="P11" s="415"/>
      <c r="Q11" s="415"/>
      <c r="R11" s="415"/>
      <c r="S11" s="415"/>
      <c r="T11" s="415"/>
      <c r="U11" s="415"/>
      <c r="V11" s="415"/>
      <c r="W11" s="415"/>
    </row>
    <row r="12" spans="1:23"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row>
    <row r="13" spans="1:23"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row>
    <row r="14" spans="1:23" x14ac:dyDescent="0.25">
      <c r="A14" s="415" t="str">
        <f>'1. паспорт местоположение'!A15</f>
        <v>Строительство БКТП 15/0,4 кВ, 2-х участков КЛ 15 кВ от БКТП Новой до места врезки в КЛ 15 кВ №14 на ул. Победы в г. Гусеве</v>
      </c>
      <c r="B14" s="415"/>
      <c r="C14" s="415"/>
      <c r="D14" s="415"/>
      <c r="E14" s="415"/>
      <c r="F14" s="415"/>
      <c r="G14" s="415"/>
      <c r="H14" s="415"/>
      <c r="I14" s="415"/>
      <c r="J14" s="415"/>
      <c r="K14" s="415"/>
      <c r="L14" s="415"/>
      <c r="M14" s="415"/>
      <c r="N14" s="415"/>
      <c r="O14" s="415"/>
      <c r="P14" s="415"/>
      <c r="Q14" s="415"/>
      <c r="R14" s="415"/>
      <c r="S14" s="415"/>
      <c r="T14" s="415"/>
      <c r="U14" s="415"/>
      <c r="V14" s="415"/>
      <c r="W14" s="415"/>
    </row>
    <row r="15" spans="1:23"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row>
    <row r="16" spans="1:23"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row>
    <row r="17" spans="1:26" x14ac:dyDescent="0.25">
      <c r="A17" s="61"/>
      <c r="N17" s="61"/>
      <c r="O17" s="61"/>
      <c r="P17" s="61"/>
      <c r="Q17" s="61"/>
      <c r="R17" s="61"/>
      <c r="S17" s="61"/>
      <c r="T17" s="61"/>
      <c r="U17" s="61"/>
      <c r="V17" s="61"/>
    </row>
    <row r="18" spans="1:26" x14ac:dyDescent="0.25">
      <c r="A18" s="498" t="s">
        <v>496</v>
      </c>
      <c r="B18" s="498"/>
      <c r="C18" s="498"/>
      <c r="D18" s="498"/>
      <c r="E18" s="498"/>
      <c r="F18" s="498"/>
      <c r="G18" s="498"/>
      <c r="H18" s="498"/>
      <c r="I18" s="498"/>
      <c r="J18" s="498"/>
      <c r="K18" s="498"/>
      <c r="L18" s="498"/>
      <c r="M18" s="498"/>
      <c r="N18" s="498"/>
      <c r="O18" s="498"/>
      <c r="P18" s="498"/>
      <c r="Q18" s="498"/>
      <c r="R18" s="498"/>
      <c r="S18" s="498"/>
      <c r="T18" s="498"/>
      <c r="U18" s="498"/>
      <c r="V18" s="498"/>
      <c r="W18" s="498"/>
    </row>
    <row r="19" spans="1:26" x14ac:dyDescent="0.25">
      <c r="A19" s="61"/>
      <c r="B19" s="61"/>
      <c r="C19" s="61"/>
      <c r="D19" s="61"/>
      <c r="E19" s="61"/>
      <c r="F19" s="61"/>
      <c r="N19" s="61"/>
      <c r="O19" s="61"/>
      <c r="P19" s="61"/>
      <c r="Q19" s="61"/>
      <c r="R19" s="61"/>
      <c r="S19" s="61"/>
      <c r="T19" s="61"/>
      <c r="U19" s="61"/>
      <c r="V19" s="61"/>
    </row>
    <row r="20" spans="1:26" ht="33" customHeight="1" x14ac:dyDescent="0.25">
      <c r="A20" s="494" t="s">
        <v>184</v>
      </c>
      <c r="B20" s="494" t="s">
        <v>183</v>
      </c>
      <c r="C20" s="477" t="s">
        <v>182</v>
      </c>
      <c r="D20" s="477"/>
      <c r="E20" s="497" t="s">
        <v>181</v>
      </c>
      <c r="F20" s="497"/>
      <c r="G20" s="494" t="s">
        <v>692</v>
      </c>
      <c r="H20" s="494" t="s">
        <v>693</v>
      </c>
      <c r="I20" s="494" t="s">
        <v>694</v>
      </c>
      <c r="J20" s="488" t="s">
        <v>695</v>
      </c>
      <c r="K20" s="489"/>
      <c r="L20" s="489"/>
      <c r="M20" s="489"/>
      <c r="N20" s="488" t="s">
        <v>696</v>
      </c>
      <c r="O20" s="489"/>
      <c r="P20" s="489"/>
      <c r="Q20" s="489"/>
      <c r="R20" s="488" t="s">
        <v>697</v>
      </c>
      <c r="S20" s="489"/>
      <c r="T20" s="489"/>
      <c r="U20" s="489"/>
      <c r="V20" s="499" t="s">
        <v>180</v>
      </c>
      <c r="W20" s="500"/>
      <c r="X20" s="82"/>
      <c r="Y20" s="82"/>
      <c r="Z20" s="82"/>
    </row>
    <row r="21" spans="1:26" ht="99.75" customHeight="1" x14ac:dyDescent="0.25">
      <c r="A21" s="495"/>
      <c r="B21" s="495"/>
      <c r="C21" s="477"/>
      <c r="D21" s="477"/>
      <c r="E21" s="497"/>
      <c r="F21" s="497"/>
      <c r="G21" s="495"/>
      <c r="H21" s="495"/>
      <c r="I21" s="495"/>
      <c r="J21" s="477" t="s">
        <v>2</v>
      </c>
      <c r="K21" s="477"/>
      <c r="L21" s="477" t="s">
        <v>636</v>
      </c>
      <c r="M21" s="477"/>
      <c r="N21" s="477" t="s">
        <v>2</v>
      </c>
      <c r="O21" s="477"/>
      <c r="P21" s="477" t="s">
        <v>636</v>
      </c>
      <c r="Q21" s="477"/>
      <c r="R21" s="477" t="s">
        <v>2</v>
      </c>
      <c r="S21" s="477"/>
      <c r="T21" s="477" t="s">
        <v>636</v>
      </c>
      <c r="U21" s="477"/>
      <c r="V21" s="501"/>
      <c r="W21" s="502"/>
    </row>
    <row r="22" spans="1:26" ht="89.25" customHeight="1" x14ac:dyDescent="0.25">
      <c r="A22" s="484"/>
      <c r="B22" s="484"/>
      <c r="C22" s="79" t="s">
        <v>2</v>
      </c>
      <c r="D22" s="79" t="s">
        <v>179</v>
      </c>
      <c r="E22" s="81" t="s">
        <v>690</v>
      </c>
      <c r="F22" s="81" t="s">
        <v>691</v>
      </c>
      <c r="G22" s="484"/>
      <c r="H22" s="484"/>
      <c r="I22" s="484"/>
      <c r="J22" s="80" t="s">
        <v>477</v>
      </c>
      <c r="K22" s="80" t="s">
        <v>478</v>
      </c>
      <c r="L22" s="80" t="s">
        <v>477</v>
      </c>
      <c r="M22" s="80" t="s">
        <v>478</v>
      </c>
      <c r="N22" s="80" t="s">
        <v>477</v>
      </c>
      <c r="O22" s="80" t="s">
        <v>478</v>
      </c>
      <c r="P22" s="80" t="s">
        <v>477</v>
      </c>
      <c r="Q22" s="80" t="s">
        <v>478</v>
      </c>
      <c r="R22" s="80" t="s">
        <v>477</v>
      </c>
      <c r="S22" s="80" t="s">
        <v>478</v>
      </c>
      <c r="T22" s="80" t="s">
        <v>477</v>
      </c>
      <c r="U22" s="80" t="s">
        <v>478</v>
      </c>
      <c r="V22" s="79" t="s">
        <v>2</v>
      </c>
      <c r="W22" s="269" t="s">
        <v>9</v>
      </c>
    </row>
    <row r="23" spans="1:26" ht="19.5" customHeight="1" x14ac:dyDescent="0.25">
      <c r="A23" s="72">
        <v>1</v>
      </c>
      <c r="B23" s="72">
        <v>2</v>
      </c>
      <c r="C23" s="72">
        <v>3</v>
      </c>
      <c r="D23" s="72">
        <v>4</v>
      </c>
      <c r="E23" s="72">
        <v>5</v>
      </c>
      <c r="F23" s="72">
        <v>6</v>
      </c>
      <c r="G23" s="153">
        <v>7</v>
      </c>
      <c r="H23" s="395"/>
      <c r="I23" s="395"/>
      <c r="J23" s="153">
        <v>8</v>
      </c>
      <c r="K23" s="153">
        <v>9</v>
      </c>
      <c r="L23" s="153">
        <v>10</v>
      </c>
      <c r="M23" s="153">
        <v>11</v>
      </c>
      <c r="N23" s="153">
        <v>12</v>
      </c>
      <c r="O23" s="153">
        <v>13</v>
      </c>
      <c r="P23" s="153">
        <v>14</v>
      </c>
      <c r="Q23" s="153">
        <v>15</v>
      </c>
      <c r="R23" s="153">
        <v>16</v>
      </c>
      <c r="S23" s="153">
        <v>17</v>
      </c>
      <c r="T23" s="153">
        <v>18</v>
      </c>
      <c r="U23" s="153">
        <v>19</v>
      </c>
      <c r="V23" s="394">
        <v>20</v>
      </c>
      <c r="W23" s="394">
        <v>21</v>
      </c>
    </row>
    <row r="24" spans="1:26" ht="47.25" customHeight="1" x14ac:dyDescent="0.25">
      <c r="A24" s="77">
        <v>1</v>
      </c>
      <c r="B24" s="76" t="s">
        <v>178</v>
      </c>
      <c r="C24" s="270">
        <f>SUM(C25:C29)</f>
        <v>0</v>
      </c>
      <c r="D24" s="270">
        <f t="shared" ref="D24:U24" si="0">SUM(D25:D29)</f>
        <v>0</v>
      </c>
      <c r="E24" s="270">
        <f t="shared" si="0"/>
        <v>0</v>
      </c>
      <c r="F24" s="270">
        <f t="shared" si="0"/>
        <v>0</v>
      </c>
      <c r="G24" s="270">
        <f t="shared" si="0"/>
        <v>0</v>
      </c>
      <c r="H24" s="270">
        <f t="shared" ref="H24:I24" si="1">SUM(H25:H29)</f>
        <v>1.5E-3</v>
      </c>
      <c r="I24" s="270">
        <f t="shared" si="1"/>
        <v>0.16712189999999999</v>
      </c>
      <c r="J24" s="270">
        <f t="shared" si="0"/>
        <v>0</v>
      </c>
      <c r="K24" s="270">
        <f t="shared" si="0"/>
        <v>0</v>
      </c>
      <c r="L24" s="270">
        <f t="shared" ref="L24" si="2">SUM(L25:L29)</f>
        <v>0</v>
      </c>
      <c r="M24" s="270">
        <f t="shared" si="0"/>
        <v>0</v>
      </c>
      <c r="N24" s="270">
        <f t="shared" si="0"/>
        <v>0</v>
      </c>
      <c r="O24" s="270">
        <f t="shared" si="0"/>
        <v>0</v>
      </c>
      <c r="P24" s="270">
        <f t="shared" ref="P24:Q24" si="3">SUM(P25:P29)</f>
        <v>0.28960962000000001</v>
      </c>
      <c r="Q24" s="270">
        <f t="shared" si="3"/>
        <v>0</v>
      </c>
      <c r="R24" s="270">
        <f t="shared" si="0"/>
        <v>0</v>
      </c>
      <c r="S24" s="270">
        <f t="shared" si="0"/>
        <v>0</v>
      </c>
      <c r="T24" s="270">
        <f t="shared" ref="T24" si="4">SUM(T25:T29)</f>
        <v>0</v>
      </c>
      <c r="U24" s="270">
        <f t="shared" si="0"/>
        <v>0</v>
      </c>
      <c r="V24" s="270">
        <f>J24+N24+R24</f>
        <v>0</v>
      </c>
      <c r="W24" s="276">
        <f>L24+P24+T24</f>
        <v>0.28960962000000001</v>
      </c>
      <c r="Y24" s="396">
        <f>G24+H24+I24+W24</f>
        <v>0.45823152</v>
      </c>
    </row>
    <row r="25" spans="1:26" ht="24" customHeight="1" x14ac:dyDescent="0.25">
      <c r="A25" s="74"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1">
        <v>0</v>
      </c>
      <c r="U25" s="271">
        <v>0</v>
      </c>
      <c r="V25" s="270">
        <f t="shared" ref="V25:V64" si="5">J25+N25+R25</f>
        <v>0</v>
      </c>
      <c r="W25" s="276">
        <f t="shared" ref="W25:W64" si="6">L25+P25+T25</f>
        <v>0</v>
      </c>
      <c r="Y25" s="396"/>
    </row>
    <row r="26" spans="1:26" x14ac:dyDescent="0.25">
      <c r="A26" s="74"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1">
        <v>0</v>
      </c>
      <c r="U26" s="271">
        <v>0</v>
      </c>
      <c r="V26" s="270">
        <f t="shared" si="5"/>
        <v>0</v>
      </c>
      <c r="W26" s="276">
        <f t="shared" si="6"/>
        <v>0</v>
      </c>
      <c r="Y26" s="396"/>
    </row>
    <row r="27" spans="1:26" ht="31.5" x14ac:dyDescent="0.25">
      <c r="A27" s="74"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1">
        <v>0</v>
      </c>
      <c r="U27" s="271">
        <v>0</v>
      </c>
      <c r="V27" s="270">
        <f t="shared" si="5"/>
        <v>0</v>
      </c>
      <c r="W27" s="276">
        <f t="shared" si="6"/>
        <v>0</v>
      </c>
      <c r="Y27" s="396"/>
    </row>
    <row r="28" spans="1:26" x14ac:dyDescent="0.25">
      <c r="A28" s="74" t="s">
        <v>172</v>
      </c>
      <c r="B28" s="48" t="s">
        <v>171</v>
      </c>
      <c r="C28" s="270">
        <v>0</v>
      </c>
      <c r="D28" s="270">
        <v>0</v>
      </c>
      <c r="E28" s="271">
        <v>0</v>
      </c>
      <c r="F28" s="271">
        <v>0</v>
      </c>
      <c r="G28" s="271">
        <v>0</v>
      </c>
      <c r="H28" s="271">
        <v>1.5E-3</v>
      </c>
      <c r="I28" s="271">
        <v>0.16712189999999999</v>
      </c>
      <c r="J28" s="271">
        <v>0</v>
      </c>
      <c r="K28" s="271">
        <v>0</v>
      </c>
      <c r="L28" s="271">
        <v>0</v>
      </c>
      <c r="M28" s="271">
        <v>0</v>
      </c>
      <c r="N28" s="271">
        <v>0</v>
      </c>
      <c r="O28" s="271">
        <v>0</v>
      </c>
      <c r="P28" s="271">
        <v>0.28960962000000001</v>
      </c>
      <c r="Q28" s="271">
        <v>0</v>
      </c>
      <c r="R28" s="271">
        <v>0</v>
      </c>
      <c r="S28" s="271">
        <v>0</v>
      </c>
      <c r="T28" s="271">
        <v>0</v>
      </c>
      <c r="U28" s="271">
        <v>0</v>
      </c>
      <c r="V28" s="270">
        <f t="shared" si="5"/>
        <v>0</v>
      </c>
      <c r="W28" s="276">
        <f t="shared" si="6"/>
        <v>0.28960962000000001</v>
      </c>
      <c r="Y28" s="396"/>
    </row>
    <row r="29" spans="1:26" x14ac:dyDescent="0.25">
      <c r="A29" s="74" t="s">
        <v>170</v>
      </c>
      <c r="B29" s="78" t="s">
        <v>169</v>
      </c>
      <c r="C29" s="270">
        <v>0</v>
      </c>
      <c r="D29" s="270">
        <v>0</v>
      </c>
      <c r="E29" s="271">
        <v>0</v>
      </c>
      <c r="F29" s="271">
        <v>0</v>
      </c>
      <c r="G29" s="271">
        <v>0</v>
      </c>
      <c r="H29" s="271">
        <v>0</v>
      </c>
      <c r="I29" s="271">
        <v>0</v>
      </c>
      <c r="J29" s="271">
        <v>0</v>
      </c>
      <c r="K29" s="271">
        <v>0</v>
      </c>
      <c r="L29" s="271">
        <v>0</v>
      </c>
      <c r="M29" s="271">
        <v>0</v>
      </c>
      <c r="N29" s="271">
        <v>0</v>
      </c>
      <c r="O29" s="271">
        <v>0</v>
      </c>
      <c r="P29" s="271">
        <v>0</v>
      </c>
      <c r="Q29" s="271">
        <v>0</v>
      </c>
      <c r="R29" s="271">
        <v>0</v>
      </c>
      <c r="S29" s="271">
        <v>0</v>
      </c>
      <c r="T29" s="271">
        <v>0</v>
      </c>
      <c r="U29" s="271">
        <v>0</v>
      </c>
      <c r="V29" s="270">
        <f t="shared" si="5"/>
        <v>0</v>
      </c>
      <c r="W29" s="276">
        <f t="shared" si="6"/>
        <v>0</v>
      </c>
      <c r="Y29" s="396"/>
    </row>
    <row r="30" spans="1:26" ht="47.25" x14ac:dyDescent="0.25">
      <c r="A30" s="77" t="s">
        <v>61</v>
      </c>
      <c r="B30" s="76" t="s">
        <v>168</v>
      </c>
      <c r="C30" s="270">
        <v>0</v>
      </c>
      <c r="D30" s="270">
        <v>0</v>
      </c>
      <c r="E30" s="273">
        <v>0</v>
      </c>
      <c r="F30" s="273">
        <v>0</v>
      </c>
      <c r="G30" s="270">
        <v>0</v>
      </c>
      <c r="H30" s="270">
        <f t="shared" ref="H30:I30" si="7">SUM(H31:H34)</f>
        <v>8.4000000000000005E-2</v>
      </c>
      <c r="I30" s="270">
        <f t="shared" si="7"/>
        <v>8.4350499999999981E-2</v>
      </c>
      <c r="J30" s="270">
        <f>SUM(J31:J34)</f>
        <v>0</v>
      </c>
      <c r="K30" s="270">
        <f t="shared" ref="K30:U30" si="8">SUM(K31:K34)</f>
        <v>0</v>
      </c>
      <c r="L30" s="270">
        <f t="shared" si="8"/>
        <v>0</v>
      </c>
      <c r="M30" s="270">
        <f t="shared" si="8"/>
        <v>0</v>
      </c>
      <c r="N30" s="270">
        <f t="shared" si="8"/>
        <v>0</v>
      </c>
      <c r="O30" s="270">
        <f t="shared" si="8"/>
        <v>0</v>
      </c>
      <c r="P30" s="270">
        <f t="shared" si="8"/>
        <v>0.24134135000000001</v>
      </c>
      <c r="Q30" s="270">
        <f t="shared" si="8"/>
        <v>0</v>
      </c>
      <c r="R30" s="270">
        <f t="shared" si="8"/>
        <v>0</v>
      </c>
      <c r="S30" s="270">
        <f t="shared" si="8"/>
        <v>0</v>
      </c>
      <c r="T30" s="270">
        <f t="shared" ref="T30" si="9">SUM(T31:T34)</f>
        <v>0</v>
      </c>
      <c r="U30" s="270">
        <f t="shared" si="8"/>
        <v>0</v>
      </c>
      <c r="V30" s="270">
        <f t="shared" si="5"/>
        <v>0</v>
      </c>
      <c r="W30" s="276">
        <f t="shared" si="6"/>
        <v>0.24134135000000001</v>
      </c>
      <c r="Y30" s="396">
        <f t="shared" ref="Y25:Y34" si="10">G30+H30+I30+W30</f>
        <v>0.40969184999999997</v>
      </c>
    </row>
    <row r="31" spans="1:26" x14ac:dyDescent="0.25">
      <c r="A31" s="77" t="s">
        <v>167</v>
      </c>
      <c r="B31" s="48" t="s">
        <v>166</v>
      </c>
      <c r="C31" s="270">
        <v>0</v>
      </c>
      <c r="D31" s="270">
        <v>0</v>
      </c>
      <c r="E31" s="271">
        <v>0</v>
      </c>
      <c r="F31" s="271">
        <v>0</v>
      </c>
      <c r="G31" s="271">
        <v>0</v>
      </c>
      <c r="H31" s="271">
        <v>8.2500000000000004E-2</v>
      </c>
      <c r="I31" s="271">
        <v>0</v>
      </c>
      <c r="J31" s="271">
        <v>0</v>
      </c>
      <c r="K31" s="271">
        <v>0</v>
      </c>
      <c r="L31" s="271">
        <v>0</v>
      </c>
      <c r="M31" s="271">
        <v>0</v>
      </c>
      <c r="N31" s="271">
        <v>0</v>
      </c>
      <c r="O31" s="271">
        <v>0</v>
      </c>
      <c r="P31" s="271">
        <v>0</v>
      </c>
      <c r="Q31" s="271">
        <v>0</v>
      </c>
      <c r="R31" s="271">
        <v>0</v>
      </c>
      <c r="S31" s="271">
        <v>0</v>
      </c>
      <c r="T31" s="271">
        <v>0</v>
      </c>
      <c r="U31" s="271">
        <v>0</v>
      </c>
      <c r="V31" s="270">
        <f t="shared" si="5"/>
        <v>0</v>
      </c>
      <c r="W31" s="276">
        <f t="shared" si="6"/>
        <v>0</v>
      </c>
      <c r="Y31" s="396"/>
    </row>
    <row r="32" spans="1:26" ht="31.5" x14ac:dyDescent="0.25">
      <c r="A32" s="77" t="s">
        <v>165</v>
      </c>
      <c r="B32" s="48" t="s">
        <v>164</v>
      </c>
      <c r="C32" s="270">
        <v>0</v>
      </c>
      <c r="D32" s="270">
        <v>0</v>
      </c>
      <c r="E32" s="271">
        <v>0</v>
      </c>
      <c r="F32" s="271">
        <v>0</v>
      </c>
      <c r="G32" s="271">
        <v>0</v>
      </c>
      <c r="H32" s="271">
        <v>0</v>
      </c>
      <c r="I32" s="271">
        <v>0</v>
      </c>
      <c r="J32" s="271">
        <v>0</v>
      </c>
      <c r="K32" s="271">
        <v>0</v>
      </c>
      <c r="L32" s="271">
        <v>0</v>
      </c>
      <c r="M32" s="271">
        <v>0</v>
      </c>
      <c r="N32" s="271">
        <v>0</v>
      </c>
      <c r="O32" s="271">
        <v>0</v>
      </c>
      <c r="P32" s="271">
        <v>0.21473015000000001</v>
      </c>
      <c r="Q32" s="271">
        <v>0</v>
      </c>
      <c r="R32" s="271">
        <v>0</v>
      </c>
      <c r="S32" s="271">
        <v>0</v>
      </c>
      <c r="T32" s="271">
        <v>0</v>
      </c>
      <c r="U32" s="271">
        <v>0</v>
      </c>
      <c r="V32" s="270">
        <f t="shared" si="5"/>
        <v>0</v>
      </c>
      <c r="W32" s="276">
        <f t="shared" si="6"/>
        <v>0.21473015000000001</v>
      </c>
      <c r="Y32" s="396"/>
    </row>
    <row r="33" spans="1:25" x14ac:dyDescent="0.25">
      <c r="A33" s="77"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2.6611200000000002E-2</v>
      </c>
      <c r="Q33" s="271">
        <v>0</v>
      </c>
      <c r="R33" s="271">
        <v>0</v>
      </c>
      <c r="S33" s="271">
        <v>0</v>
      </c>
      <c r="T33" s="271">
        <v>0</v>
      </c>
      <c r="U33" s="271">
        <v>0</v>
      </c>
      <c r="V33" s="270">
        <f t="shared" si="5"/>
        <v>0</v>
      </c>
      <c r="W33" s="276">
        <f t="shared" si="6"/>
        <v>2.6611200000000002E-2</v>
      </c>
      <c r="Y33" s="396"/>
    </row>
    <row r="34" spans="1:25" x14ac:dyDescent="0.25">
      <c r="A34" s="77" t="s">
        <v>161</v>
      </c>
      <c r="B34" s="48" t="s">
        <v>160</v>
      </c>
      <c r="C34" s="270">
        <v>0</v>
      </c>
      <c r="D34" s="270">
        <v>0</v>
      </c>
      <c r="E34" s="271">
        <v>0</v>
      </c>
      <c r="F34" s="271">
        <v>0</v>
      </c>
      <c r="G34" s="271">
        <v>0</v>
      </c>
      <c r="H34" s="271">
        <v>1.5E-3</v>
      </c>
      <c r="I34" s="271">
        <v>8.4350499999999981E-2</v>
      </c>
      <c r="J34" s="271">
        <v>0</v>
      </c>
      <c r="K34" s="271">
        <v>0</v>
      </c>
      <c r="L34" s="271">
        <v>0</v>
      </c>
      <c r="M34" s="271">
        <v>0</v>
      </c>
      <c r="N34" s="271">
        <v>0</v>
      </c>
      <c r="O34" s="271">
        <v>0</v>
      </c>
      <c r="P34" s="271">
        <v>0</v>
      </c>
      <c r="Q34" s="271">
        <v>0</v>
      </c>
      <c r="R34" s="271">
        <v>0</v>
      </c>
      <c r="S34" s="271">
        <v>0</v>
      </c>
      <c r="T34" s="271">
        <v>0</v>
      </c>
      <c r="U34" s="271">
        <v>0</v>
      </c>
      <c r="V34" s="270">
        <f t="shared" si="5"/>
        <v>0</v>
      </c>
      <c r="W34" s="276">
        <f t="shared" si="6"/>
        <v>0</v>
      </c>
      <c r="Y34" s="396"/>
    </row>
    <row r="35" spans="1:25" ht="31.5" x14ac:dyDescent="0.25">
      <c r="A35" s="77" t="s">
        <v>60</v>
      </c>
      <c r="B35" s="76"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v>0</v>
      </c>
      <c r="U35" s="270">
        <v>0</v>
      </c>
      <c r="V35" s="270">
        <f t="shared" si="5"/>
        <v>0</v>
      </c>
      <c r="W35" s="276">
        <f t="shared" si="6"/>
        <v>0</v>
      </c>
      <c r="Y35" s="396"/>
    </row>
    <row r="36" spans="1:25" ht="31.5" x14ac:dyDescent="0.25">
      <c r="A36" s="74" t="s">
        <v>158</v>
      </c>
      <c r="B36" s="73"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1">
        <v>0</v>
      </c>
      <c r="U36" s="271">
        <v>0</v>
      </c>
      <c r="V36" s="270">
        <f t="shared" si="5"/>
        <v>0</v>
      </c>
      <c r="W36" s="276">
        <f t="shared" si="6"/>
        <v>0</v>
      </c>
      <c r="Y36" s="396"/>
    </row>
    <row r="37" spans="1:25" x14ac:dyDescent="0.25">
      <c r="A37" s="74" t="s">
        <v>156</v>
      </c>
      <c r="B37" s="73" t="s">
        <v>146</v>
      </c>
      <c r="C37" s="274">
        <v>0</v>
      </c>
      <c r="D37" s="270">
        <v>0</v>
      </c>
      <c r="E37" s="271">
        <v>0</v>
      </c>
      <c r="F37" s="271">
        <v>0</v>
      </c>
      <c r="G37" s="271">
        <v>0</v>
      </c>
      <c r="H37" s="271">
        <v>0</v>
      </c>
      <c r="I37" s="271">
        <v>0</v>
      </c>
      <c r="J37" s="271">
        <v>0</v>
      </c>
      <c r="K37" s="271">
        <v>0</v>
      </c>
      <c r="L37" s="271">
        <v>0</v>
      </c>
      <c r="M37" s="271">
        <v>0</v>
      </c>
      <c r="N37" s="271">
        <v>0</v>
      </c>
      <c r="O37" s="271">
        <v>0</v>
      </c>
      <c r="P37" s="271">
        <v>0.63</v>
      </c>
      <c r="Q37" s="271">
        <v>0.63</v>
      </c>
      <c r="R37" s="271">
        <v>0</v>
      </c>
      <c r="S37" s="271">
        <v>0</v>
      </c>
      <c r="T37" s="271">
        <v>0</v>
      </c>
      <c r="U37" s="271">
        <v>0</v>
      </c>
      <c r="V37" s="270">
        <f t="shared" si="5"/>
        <v>0</v>
      </c>
      <c r="W37" s="276">
        <f t="shared" si="6"/>
        <v>0.63</v>
      </c>
      <c r="Y37" s="396"/>
    </row>
    <row r="38" spans="1:25" x14ac:dyDescent="0.25">
      <c r="A38" s="74" t="s">
        <v>155</v>
      </c>
      <c r="B38" s="73"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1">
        <v>0</v>
      </c>
      <c r="U38" s="271">
        <v>0</v>
      </c>
      <c r="V38" s="270">
        <f t="shared" si="5"/>
        <v>0</v>
      </c>
      <c r="W38" s="276">
        <f t="shared" si="6"/>
        <v>0</v>
      </c>
      <c r="Y38" s="396"/>
    </row>
    <row r="39" spans="1:25" ht="31.5" x14ac:dyDescent="0.25">
      <c r="A39" s="74"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1">
        <v>0</v>
      </c>
      <c r="U39" s="271">
        <v>0</v>
      </c>
      <c r="V39" s="270">
        <f t="shared" si="5"/>
        <v>0</v>
      </c>
      <c r="W39" s="276">
        <f t="shared" si="6"/>
        <v>0</v>
      </c>
      <c r="Y39" s="396"/>
    </row>
    <row r="40" spans="1:25" ht="31.5" x14ac:dyDescent="0.25">
      <c r="A40" s="74"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1">
        <v>0</v>
      </c>
      <c r="U40" s="271">
        <v>0</v>
      </c>
      <c r="V40" s="270">
        <f t="shared" si="5"/>
        <v>0</v>
      </c>
      <c r="W40" s="276">
        <f t="shared" si="6"/>
        <v>0</v>
      </c>
      <c r="Y40" s="396"/>
    </row>
    <row r="41" spans="1:25" x14ac:dyDescent="0.25">
      <c r="A41" s="74"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1">
        <v>0</v>
      </c>
      <c r="U41" s="271">
        <v>0</v>
      </c>
      <c r="V41" s="270">
        <f t="shared" si="5"/>
        <v>0</v>
      </c>
      <c r="W41" s="276">
        <f t="shared" si="6"/>
        <v>0</v>
      </c>
      <c r="Y41" s="396"/>
    </row>
    <row r="42" spans="1:25" ht="18.75" x14ac:dyDescent="0.25">
      <c r="A42" s="74" t="s">
        <v>151</v>
      </c>
      <c r="B42" s="73"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1">
        <v>0</v>
      </c>
      <c r="U42" s="271">
        <v>0</v>
      </c>
      <c r="V42" s="270">
        <f t="shared" si="5"/>
        <v>0</v>
      </c>
      <c r="W42" s="276">
        <f t="shared" si="6"/>
        <v>0</v>
      </c>
      <c r="Y42" s="396"/>
    </row>
    <row r="43" spans="1:25" x14ac:dyDescent="0.25">
      <c r="A43" s="77" t="s">
        <v>59</v>
      </c>
      <c r="B43" s="76"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v>0</v>
      </c>
      <c r="U43" s="270">
        <v>0</v>
      </c>
      <c r="V43" s="270">
        <f t="shared" si="5"/>
        <v>0</v>
      </c>
      <c r="W43" s="276">
        <f t="shared" si="6"/>
        <v>0</v>
      </c>
      <c r="Y43" s="396"/>
    </row>
    <row r="44" spans="1:25" x14ac:dyDescent="0.25">
      <c r="A44" s="74"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1">
        <v>0</v>
      </c>
      <c r="U44" s="271">
        <v>0</v>
      </c>
      <c r="V44" s="270">
        <f t="shared" si="5"/>
        <v>0</v>
      </c>
      <c r="W44" s="276">
        <f t="shared" si="6"/>
        <v>0</v>
      </c>
      <c r="Y44" s="396"/>
    </row>
    <row r="45" spans="1:25" x14ac:dyDescent="0.25">
      <c r="A45" s="74"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f>P37</f>
        <v>0.63</v>
      </c>
      <c r="Q45" s="271">
        <f>Q37</f>
        <v>0.63</v>
      </c>
      <c r="R45" s="271">
        <v>0</v>
      </c>
      <c r="S45" s="271">
        <v>0</v>
      </c>
      <c r="T45" s="271">
        <v>0</v>
      </c>
      <c r="U45" s="271">
        <v>0</v>
      </c>
      <c r="V45" s="270">
        <f t="shared" si="5"/>
        <v>0</v>
      </c>
      <c r="W45" s="276">
        <f t="shared" si="6"/>
        <v>0.63</v>
      </c>
      <c r="Y45" s="396"/>
    </row>
    <row r="46" spans="1:25" x14ac:dyDescent="0.25">
      <c r="A46" s="74"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1">
        <v>0</v>
      </c>
      <c r="U46" s="271">
        <v>0</v>
      </c>
      <c r="V46" s="270">
        <f t="shared" si="5"/>
        <v>0</v>
      </c>
      <c r="W46" s="276">
        <f t="shared" si="6"/>
        <v>0</v>
      </c>
      <c r="Y46" s="396"/>
    </row>
    <row r="47" spans="1:25" ht="31.5" x14ac:dyDescent="0.25">
      <c r="A47" s="74"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1">
        <v>0</v>
      </c>
      <c r="U47" s="271">
        <v>0</v>
      </c>
      <c r="V47" s="270">
        <f t="shared" si="5"/>
        <v>0</v>
      </c>
      <c r="W47" s="276">
        <f t="shared" si="6"/>
        <v>0</v>
      </c>
      <c r="Y47" s="396"/>
    </row>
    <row r="48" spans="1:25" ht="31.5" x14ac:dyDescent="0.25">
      <c r="A48" s="74"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1">
        <v>0</v>
      </c>
      <c r="U48" s="271">
        <v>0</v>
      </c>
      <c r="V48" s="270">
        <f t="shared" si="5"/>
        <v>0</v>
      </c>
      <c r="W48" s="276">
        <f t="shared" si="6"/>
        <v>0</v>
      </c>
      <c r="Y48" s="396"/>
    </row>
    <row r="49" spans="1:25" x14ac:dyDescent="0.25">
      <c r="A49" s="74"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0">
        <f t="shared" si="5"/>
        <v>0</v>
      </c>
      <c r="W49" s="276">
        <f t="shared" si="6"/>
        <v>0</v>
      </c>
      <c r="Y49" s="396"/>
    </row>
    <row r="50" spans="1:25" ht="18.75" x14ac:dyDescent="0.25">
      <c r="A50" s="74" t="s">
        <v>137</v>
      </c>
      <c r="B50" s="73"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1">
        <v>0</v>
      </c>
      <c r="U50" s="271">
        <v>0</v>
      </c>
      <c r="V50" s="270">
        <f t="shared" si="5"/>
        <v>0</v>
      </c>
      <c r="W50" s="276">
        <f t="shared" si="6"/>
        <v>0</v>
      </c>
      <c r="Y50" s="396"/>
    </row>
    <row r="51" spans="1:25" ht="35.25" customHeight="1" x14ac:dyDescent="0.25">
      <c r="A51" s="77" t="s">
        <v>57</v>
      </c>
      <c r="B51" s="76"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v>0</v>
      </c>
      <c r="U51" s="270">
        <v>0</v>
      </c>
      <c r="V51" s="270">
        <f t="shared" si="5"/>
        <v>0</v>
      </c>
      <c r="W51" s="276">
        <f t="shared" si="6"/>
        <v>0</v>
      </c>
      <c r="Y51" s="396"/>
    </row>
    <row r="52" spans="1:25" x14ac:dyDescent="0.25">
      <c r="A52" s="74"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0.40969185000000002</v>
      </c>
      <c r="Q52" s="271">
        <v>0.40969185000000002</v>
      </c>
      <c r="R52" s="271">
        <v>0</v>
      </c>
      <c r="S52" s="271">
        <v>0</v>
      </c>
      <c r="T52" s="271">
        <v>0</v>
      </c>
      <c r="U52" s="271">
        <v>0</v>
      </c>
      <c r="V52" s="270">
        <f t="shared" si="5"/>
        <v>0</v>
      </c>
      <c r="W52" s="276">
        <f t="shared" si="6"/>
        <v>0.40969185000000002</v>
      </c>
      <c r="Y52" s="396"/>
    </row>
    <row r="53" spans="1:25" x14ac:dyDescent="0.25">
      <c r="A53" s="74"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1">
        <v>0</v>
      </c>
      <c r="U53" s="271">
        <v>0</v>
      </c>
      <c r="V53" s="270">
        <f t="shared" si="5"/>
        <v>0</v>
      </c>
      <c r="W53" s="276">
        <f t="shared" si="6"/>
        <v>0</v>
      </c>
      <c r="Y53" s="396"/>
    </row>
    <row r="54" spans="1:25" x14ac:dyDescent="0.25">
      <c r="A54" s="74" t="s">
        <v>131</v>
      </c>
      <c r="B54" s="73" t="s">
        <v>125</v>
      </c>
      <c r="C54" s="274">
        <v>0</v>
      </c>
      <c r="D54" s="270">
        <v>0</v>
      </c>
      <c r="E54" s="271">
        <v>0</v>
      </c>
      <c r="F54" s="271">
        <v>0</v>
      </c>
      <c r="G54" s="271">
        <v>0</v>
      </c>
      <c r="H54" s="271">
        <v>0</v>
      </c>
      <c r="I54" s="271">
        <v>0</v>
      </c>
      <c r="J54" s="271">
        <v>0</v>
      </c>
      <c r="K54" s="271">
        <v>0</v>
      </c>
      <c r="L54" s="271">
        <v>0</v>
      </c>
      <c r="M54" s="271">
        <v>0</v>
      </c>
      <c r="N54" s="271">
        <v>0</v>
      </c>
      <c r="O54" s="271">
        <v>0</v>
      </c>
      <c r="P54" s="271">
        <f>P45</f>
        <v>0.63</v>
      </c>
      <c r="Q54" s="271">
        <f>Q45</f>
        <v>0.63</v>
      </c>
      <c r="R54" s="271">
        <v>0</v>
      </c>
      <c r="S54" s="271">
        <v>0</v>
      </c>
      <c r="T54" s="271">
        <v>0</v>
      </c>
      <c r="U54" s="271">
        <v>0</v>
      </c>
      <c r="V54" s="270">
        <f t="shared" si="5"/>
        <v>0</v>
      </c>
      <c r="W54" s="276">
        <f t="shared" si="6"/>
        <v>0.63</v>
      </c>
      <c r="Y54" s="396"/>
    </row>
    <row r="55" spans="1:25" x14ac:dyDescent="0.25">
      <c r="A55" s="74" t="s">
        <v>130</v>
      </c>
      <c r="B55" s="73"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1">
        <v>0</v>
      </c>
      <c r="U55" s="271">
        <v>0</v>
      </c>
      <c r="V55" s="270">
        <f t="shared" si="5"/>
        <v>0</v>
      </c>
      <c r="W55" s="276">
        <f t="shared" si="6"/>
        <v>0</v>
      </c>
      <c r="Y55" s="396"/>
    </row>
    <row r="56" spans="1:25" x14ac:dyDescent="0.25">
      <c r="A56" s="74" t="s">
        <v>129</v>
      </c>
      <c r="B56" s="73"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0">
        <f t="shared" si="5"/>
        <v>0</v>
      </c>
      <c r="W56" s="276">
        <f t="shared" si="6"/>
        <v>0</v>
      </c>
      <c r="Y56" s="396"/>
    </row>
    <row r="57" spans="1:25" ht="18.75" x14ac:dyDescent="0.25">
      <c r="A57" s="74" t="s">
        <v>128</v>
      </c>
      <c r="B57" s="73"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1">
        <v>0</v>
      </c>
      <c r="U57" s="271">
        <v>0</v>
      </c>
      <c r="V57" s="270">
        <f t="shared" si="5"/>
        <v>0</v>
      </c>
      <c r="W57" s="276">
        <f t="shared" si="6"/>
        <v>0</v>
      </c>
      <c r="Y57" s="396"/>
    </row>
    <row r="58" spans="1:25" ht="36.75" customHeight="1" x14ac:dyDescent="0.25">
      <c r="A58" s="77" t="s">
        <v>56</v>
      </c>
      <c r="B58" s="98"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v>0</v>
      </c>
      <c r="U58" s="270">
        <v>0</v>
      </c>
      <c r="V58" s="270">
        <f t="shared" si="5"/>
        <v>0</v>
      </c>
      <c r="W58" s="276">
        <f t="shared" si="6"/>
        <v>0</v>
      </c>
      <c r="Y58" s="396"/>
    </row>
    <row r="59" spans="1:25" x14ac:dyDescent="0.25">
      <c r="A59" s="77" t="s">
        <v>54</v>
      </c>
      <c r="B59" s="76"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v>0</v>
      </c>
      <c r="U59" s="270">
        <v>0</v>
      </c>
      <c r="V59" s="270">
        <f t="shared" si="5"/>
        <v>0</v>
      </c>
      <c r="W59" s="276">
        <f t="shared" si="6"/>
        <v>0</v>
      </c>
      <c r="Y59" s="396"/>
    </row>
    <row r="60" spans="1:25" x14ac:dyDescent="0.25">
      <c r="A60" s="74" t="s">
        <v>220</v>
      </c>
      <c r="B60" s="75"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1">
        <v>0</v>
      </c>
      <c r="U60" s="271">
        <v>0</v>
      </c>
      <c r="V60" s="270">
        <f t="shared" si="5"/>
        <v>0</v>
      </c>
      <c r="W60" s="276">
        <f t="shared" si="6"/>
        <v>0</v>
      </c>
      <c r="Y60" s="396"/>
    </row>
    <row r="61" spans="1:25" x14ac:dyDescent="0.25">
      <c r="A61" s="74" t="s">
        <v>221</v>
      </c>
      <c r="B61" s="75" t="s">
        <v>146</v>
      </c>
      <c r="C61" s="275">
        <v>0</v>
      </c>
      <c r="D61" s="270">
        <v>0</v>
      </c>
      <c r="E61" s="271">
        <v>0</v>
      </c>
      <c r="F61" s="271">
        <v>0</v>
      </c>
      <c r="G61" s="271">
        <v>0</v>
      </c>
      <c r="H61" s="271">
        <v>0</v>
      </c>
      <c r="I61" s="271">
        <v>0</v>
      </c>
      <c r="J61" s="271">
        <v>0</v>
      </c>
      <c r="K61" s="271">
        <v>0</v>
      </c>
      <c r="L61" s="271">
        <v>0</v>
      </c>
      <c r="M61" s="271">
        <v>0</v>
      </c>
      <c r="N61" s="271">
        <v>0</v>
      </c>
      <c r="O61" s="271">
        <v>0</v>
      </c>
      <c r="P61" s="271">
        <v>0.4</v>
      </c>
      <c r="Q61" s="271">
        <v>0.4</v>
      </c>
      <c r="R61" s="271">
        <v>0</v>
      </c>
      <c r="S61" s="271">
        <v>0</v>
      </c>
      <c r="T61" s="271">
        <v>0</v>
      </c>
      <c r="U61" s="271">
        <v>0</v>
      </c>
      <c r="V61" s="270">
        <f t="shared" si="5"/>
        <v>0</v>
      </c>
      <c r="W61" s="276">
        <f t="shared" si="6"/>
        <v>0.4</v>
      </c>
      <c r="Y61" s="396"/>
    </row>
    <row r="62" spans="1:25" x14ac:dyDescent="0.25">
      <c r="A62" s="74" t="s">
        <v>222</v>
      </c>
      <c r="B62" s="75"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1">
        <v>0</v>
      </c>
      <c r="U62" s="271">
        <v>0</v>
      </c>
      <c r="V62" s="270">
        <f t="shared" si="5"/>
        <v>0</v>
      </c>
      <c r="W62" s="276">
        <f t="shared" si="6"/>
        <v>0</v>
      </c>
      <c r="Y62" s="396"/>
    </row>
    <row r="63" spans="1:25" x14ac:dyDescent="0.25">
      <c r="A63" s="74" t="s">
        <v>223</v>
      </c>
      <c r="B63" s="75"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0">
        <f t="shared" si="5"/>
        <v>0</v>
      </c>
      <c r="W63" s="276">
        <f t="shared" si="6"/>
        <v>0</v>
      </c>
      <c r="Y63" s="396"/>
    </row>
    <row r="64" spans="1:25" ht="18.75" x14ac:dyDescent="0.25">
      <c r="A64" s="74" t="s">
        <v>224</v>
      </c>
      <c r="B64" s="73"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0">
        <f t="shared" si="5"/>
        <v>0</v>
      </c>
      <c r="W64" s="276">
        <f t="shared" si="6"/>
        <v>0</v>
      </c>
      <c r="Y64" s="396"/>
    </row>
    <row r="65" spans="1:22" x14ac:dyDescent="0.25">
      <c r="A65" s="70"/>
      <c r="B65" s="71"/>
      <c r="C65" s="71"/>
      <c r="D65" s="71"/>
      <c r="E65" s="71"/>
      <c r="F65" s="71"/>
      <c r="G65" s="71"/>
      <c r="H65" s="71"/>
      <c r="I65" s="71"/>
      <c r="J65" s="71"/>
      <c r="K65" s="71"/>
      <c r="L65" s="71"/>
      <c r="M65" s="71"/>
      <c r="N65" s="70"/>
      <c r="O65" s="70"/>
      <c r="P65" s="61"/>
      <c r="Q65" s="61"/>
      <c r="R65" s="61"/>
      <c r="S65" s="61"/>
      <c r="T65" s="61"/>
      <c r="U65" s="61"/>
      <c r="V65" s="61"/>
    </row>
    <row r="66" spans="1:22" ht="54" customHeight="1" x14ac:dyDescent="0.25">
      <c r="A66" s="61"/>
      <c r="B66" s="492"/>
      <c r="C66" s="492"/>
      <c r="D66" s="492"/>
      <c r="E66" s="492"/>
      <c r="F66" s="492"/>
      <c r="G66" s="492"/>
      <c r="H66" s="492"/>
      <c r="I66" s="492"/>
      <c r="J66" s="492"/>
      <c r="K66" s="492"/>
      <c r="L66" s="65"/>
      <c r="M66" s="65"/>
      <c r="N66" s="69"/>
      <c r="O66" s="69"/>
      <c r="P66" s="69"/>
      <c r="Q66" s="69"/>
      <c r="R66" s="69"/>
      <c r="S66" s="69"/>
      <c r="T66" s="69"/>
      <c r="U66" s="69"/>
      <c r="V66" s="69"/>
    </row>
    <row r="67" spans="1:22" x14ac:dyDescent="0.25">
      <c r="A67" s="61"/>
      <c r="B67" s="61"/>
      <c r="C67" s="61"/>
      <c r="D67" s="61"/>
      <c r="E67" s="61"/>
      <c r="F67" s="61"/>
      <c r="N67" s="61"/>
      <c r="O67" s="61"/>
      <c r="P67" s="61"/>
      <c r="Q67" s="61"/>
      <c r="R67" s="61"/>
      <c r="S67" s="61"/>
      <c r="T67" s="61"/>
      <c r="U67" s="61"/>
      <c r="V67" s="61"/>
    </row>
    <row r="68" spans="1:22" ht="50.25" customHeight="1" x14ac:dyDescent="0.25">
      <c r="A68" s="61"/>
      <c r="B68" s="493"/>
      <c r="C68" s="493"/>
      <c r="D68" s="493"/>
      <c r="E68" s="493"/>
      <c r="F68" s="493"/>
      <c r="G68" s="493"/>
      <c r="H68" s="493"/>
      <c r="I68" s="493"/>
      <c r="J68" s="493"/>
      <c r="K68" s="493"/>
      <c r="L68" s="66"/>
      <c r="M68" s="66"/>
      <c r="N68" s="61"/>
      <c r="O68" s="61"/>
      <c r="P68" s="61"/>
      <c r="Q68" s="61"/>
      <c r="R68" s="61"/>
      <c r="S68" s="61"/>
      <c r="T68" s="61"/>
      <c r="U68" s="61"/>
      <c r="V68" s="61"/>
    </row>
    <row r="69" spans="1:22" x14ac:dyDescent="0.25">
      <c r="A69" s="61"/>
      <c r="B69" s="61"/>
      <c r="C69" s="61"/>
      <c r="D69" s="61"/>
      <c r="E69" s="61"/>
      <c r="F69" s="61"/>
      <c r="N69" s="61"/>
      <c r="O69" s="61"/>
      <c r="P69" s="61"/>
      <c r="Q69" s="61"/>
      <c r="R69" s="61"/>
      <c r="S69" s="61"/>
      <c r="T69" s="61"/>
      <c r="U69" s="61"/>
      <c r="V69" s="61"/>
    </row>
    <row r="70" spans="1:22" ht="36.75" customHeight="1" x14ac:dyDescent="0.25">
      <c r="A70" s="61"/>
      <c r="B70" s="492"/>
      <c r="C70" s="492"/>
      <c r="D70" s="492"/>
      <c r="E70" s="492"/>
      <c r="F70" s="492"/>
      <c r="G70" s="492"/>
      <c r="H70" s="492"/>
      <c r="I70" s="492"/>
      <c r="J70" s="492"/>
      <c r="K70" s="492"/>
      <c r="L70" s="65"/>
      <c r="M70" s="65"/>
      <c r="N70" s="61"/>
      <c r="O70" s="61"/>
      <c r="P70" s="61"/>
      <c r="Q70" s="61"/>
      <c r="R70" s="61"/>
      <c r="S70" s="61"/>
      <c r="T70" s="61"/>
      <c r="U70" s="61"/>
      <c r="V70" s="61"/>
    </row>
    <row r="71" spans="1:22" x14ac:dyDescent="0.25">
      <c r="A71" s="61"/>
      <c r="B71" s="68"/>
      <c r="C71" s="68"/>
      <c r="D71" s="68"/>
      <c r="E71" s="68"/>
      <c r="F71" s="68"/>
      <c r="N71" s="61"/>
      <c r="O71" s="61"/>
      <c r="P71" s="67"/>
      <c r="Q71" s="61"/>
      <c r="R71" s="61"/>
      <c r="S71" s="61"/>
      <c r="T71" s="61"/>
      <c r="U71" s="61"/>
      <c r="V71" s="61"/>
    </row>
    <row r="72" spans="1:22" ht="51" customHeight="1" x14ac:dyDescent="0.25">
      <c r="A72" s="61"/>
      <c r="B72" s="492"/>
      <c r="C72" s="492"/>
      <c r="D72" s="492"/>
      <c r="E72" s="492"/>
      <c r="F72" s="492"/>
      <c r="G72" s="492"/>
      <c r="H72" s="492"/>
      <c r="I72" s="492"/>
      <c r="J72" s="492"/>
      <c r="K72" s="492"/>
      <c r="L72" s="65"/>
      <c r="M72" s="65"/>
      <c r="N72" s="61"/>
      <c r="O72" s="61"/>
      <c r="P72" s="67"/>
      <c r="Q72" s="61"/>
      <c r="R72" s="61"/>
      <c r="S72" s="61"/>
      <c r="T72" s="61"/>
      <c r="U72" s="61"/>
      <c r="V72" s="61"/>
    </row>
    <row r="73" spans="1:22" ht="32.25" customHeight="1" x14ac:dyDescent="0.25">
      <c r="A73" s="61"/>
      <c r="B73" s="493"/>
      <c r="C73" s="493"/>
      <c r="D73" s="493"/>
      <c r="E73" s="493"/>
      <c r="F73" s="493"/>
      <c r="G73" s="493"/>
      <c r="H73" s="493"/>
      <c r="I73" s="493"/>
      <c r="J73" s="493"/>
      <c r="K73" s="493"/>
      <c r="L73" s="66"/>
      <c r="M73" s="66"/>
      <c r="N73" s="61"/>
      <c r="O73" s="61"/>
      <c r="P73" s="61"/>
      <c r="Q73" s="61"/>
      <c r="R73" s="61"/>
      <c r="S73" s="61"/>
      <c r="T73" s="61"/>
      <c r="U73" s="61"/>
      <c r="V73" s="61"/>
    </row>
    <row r="74" spans="1:22" ht="51.75" customHeight="1" x14ac:dyDescent="0.25">
      <c r="A74" s="61"/>
      <c r="B74" s="492"/>
      <c r="C74" s="492"/>
      <c r="D74" s="492"/>
      <c r="E74" s="492"/>
      <c r="F74" s="492"/>
      <c r="G74" s="492"/>
      <c r="H74" s="492"/>
      <c r="I74" s="492"/>
      <c r="J74" s="492"/>
      <c r="K74" s="492"/>
      <c r="L74" s="65"/>
      <c r="M74" s="65"/>
      <c r="N74" s="61"/>
      <c r="O74" s="61"/>
      <c r="P74" s="61"/>
      <c r="Q74" s="61"/>
      <c r="R74" s="61"/>
      <c r="S74" s="61"/>
      <c r="T74" s="61"/>
      <c r="U74" s="61"/>
      <c r="V74" s="61"/>
    </row>
    <row r="75" spans="1:22" ht="21.75" customHeight="1" x14ac:dyDescent="0.25">
      <c r="A75" s="61"/>
      <c r="B75" s="490"/>
      <c r="C75" s="490"/>
      <c r="D75" s="490"/>
      <c r="E75" s="490"/>
      <c r="F75" s="490"/>
      <c r="G75" s="490"/>
      <c r="H75" s="490"/>
      <c r="I75" s="490"/>
      <c r="J75" s="490"/>
      <c r="K75" s="490"/>
      <c r="L75" s="64"/>
      <c r="M75" s="64"/>
      <c r="N75" s="63"/>
      <c r="O75" s="63"/>
      <c r="P75" s="61"/>
      <c r="Q75" s="61"/>
      <c r="R75" s="61"/>
      <c r="S75" s="61"/>
      <c r="T75" s="61"/>
      <c r="U75" s="61"/>
      <c r="V75" s="61"/>
    </row>
    <row r="76" spans="1:22" ht="23.25" customHeight="1" x14ac:dyDescent="0.25">
      <c r="A76" s="61"/>
      <c r="B76" s="63"/>
      <c r="C76" s="63"/>
      <c r="D76" s="63"/>
      <c r="E76" s="63"/>
      <c r="F76" s="63"/>
      <c r="N76" s="61"/>
      <c r="O76" s="61"/>
      <c r="P76" s="61"/>
      <c r="Q76" s="61"/>
      <c r="R76" s="61"/>
      <c r="S76" s="61"/>
      <c r="T76" s="61"/>
      <c r="U76" s="61"/>
      <c r="V76" s="61"/>
    </row>
    <row r="77" spans="1:22" ht="18.75" customHeight="1" x14ac:dyDescent="0.25">
      <c r="A77" s="61"/>
      <c r="B77" s="491"/>
      <c r="C77" s="491"/>
      <c r="D77" s="491"/>
      <c r="E77" s="491"/>
      <c r="F77" s="491"/>
      <c r="G77" s="491"/>
      <c r="H77" s="491"/>
      <c r="I77" s="491"/>
      <c r="J77" s="491"/>
      <c r="K77" s="491"/>
      <c r="L77" s="62"/>
      <c r="M77" s="62"/>
      <c r="N77" s="61"/>
      <c r="O77" s="61"/>
      <c r="P77" s="61"/>
      <c r="Q77" s="61"/>
      <c r="R77" s="61"/>
      <c r="S77" s="61"/>
      <c r="T77" s="61"/>
      <c r="U77" s="61"/>
      <c r="V77" s="61"/>
    </row>
    <row r="78" spans="1:22" x14ac:dyDescent="0.25">
      <c r="A78" s="61"/>
      <c r="B78" s="61"/>
      <c r="C78" s="61"/>
      <c r="D78" s="61"/>
      <c r="E78" s="61"/>
      <c r="F78" s="61"/>
      <c r="N78" s="61"/>
      <c r="O78" s="61"/>
      <c r="P78" s="61"/>
      <c r="Q78" s="61"/>
      <c r="R78" s="61"/>
      <c r="S78" s="61"/>
      <c r="T78" s="61"/>
      <c r="U78" s="61"/>
      <c r="V78" s="61"/>
    </row>
    <row r="79" spans="1:22" x14ac:dyDescent="0.25">
      <c r="A79" s="61"/>
      <c r="B79" s="61"/>
      <c r="C79" s="61"/>
      <c r="D79" s="61"/>
      <c r="E79" s="61"/>
      <c r="F79" s="61"/>
      <c r="N79" s="61"/>
      <c r="O79" s="61"/>
      <c r="P79" s="61"/>
      <c r="Q79" s="61"/>
      <c r="R79" s="61"/>
      <c r="S79" s="61"/>
      <c r="T79" s="61"/>
      <c r="U79" s="61"/>
      <c r="V79" s="61"/>
    </row>
    <row r="80" spans="1:22" x14ac:dyDescent="0.25">
      <c r="G80" s="60"/>
      <c r="H80" s="60"/>
      <c r="I80" s="60"/>
      <c r="J80" s="60"/>
      <c r="K80" s="60"/>
      <c r="L80" s="60"/>
      <c r="M80" s="60"/>
    </row>
    <row r="81" spans="7:13" x14ac:dyDescent="0.25">
      <c r="G81" s="60"/>
      <c r="H81" s="60"/>
      <c r="I81" s="60"/>
      <c r="J81" s="60"/>
      <c r="K81" s="60"/>
      <c r="L81" s="60"/>
      <c r="M81" s="60"/>
    </row>
    <row r="82" spans="7:13" x14ac:dyDescent="0.25">
      <c r="G82" s="60"/>
      <c r="H82" s="60"/>
      <c r="I82" s="60"/>
      <c r="J82" s="60"/>
      <c r="K82" s="60"/>
      <c r="L82" s="60"/>
      <c r="M82" s="60"/>
    </row>
    <row r="83" spans="7:13" x14ac:dyDescent="0.25">
      <c r="G83" s="60"/>
      <c r="H83" s="60"/>
      <c r="I83" s="60"/>
      <c r="J83" s="60"/>
      <c r="K83" s="60"/>
      <c r="L83" s="60"/>
      <c r="M83" s="60"/>
    </row>
    <row r="84" spans="7:13" x14ac:dyDescent="0.25">
      <c r="G84" s="60"/>
      <c r="H84" s="60"/>
      <c r="I84" s="60"/>
      <c r="J84" s="60"/>
      <c r="K84" s="60"/>
      <c r="L84" s="60"/>
      <c r="M84" s="60"/>
    </row>
    <row r="85" spans="7:13" x14ac:dyDescent="0.25">
      <c r="G85" s="60"/>
      <c r="H85" s="60"/>
      <c r="I85" s="60"/>
      <c r="J85" s="60"/>
      <c r="K85" s="60"/>
      <c r="L85" s="60"/>
      <c r="M85" s="60"/>
    </row>
    <row r="86" spans="7:13" x14ac:dyDescent="0.25">
      <c r="G86" s="60"/>
      <c r="H86" s="60"/>
      <c r="I86" s="60"/>
      <c r="J86" s="60"/>
      <c r="K86" s="60"/>
      <c r="L86" s="60"/>
      <c r="M86" s="60"/>
    </row>
    <row r="87" spans="7:13" x14ac:dyDescent="0.25">
      <c r="G87" s="60"/>
      <c r="H87" s="60"/>
      <c r="I87" s="60"/>
      <c r="J87" s="60"/>
      <c r="K87" s="60"/>
      <c r="L87" s="60"/>
      <c r="M87" s="60"/>
    </row>
    <row r="88" spans="7:13" x14ac:dyDescent="0.25">
      <c r="G88" s="60"/>
      <c r="H88" s="60"/>
      <c r="I88" s="60"/>
      <c r="J88" s="60"/>
      <c r="K88" s="60"/>
      <c r="L88" s="60"/>
      <c r="M88" s="60"/>
    </row>
    <row r="89" spans="7:13" x14ac:dyDescent="0.25">
      <c r="G89" s="60"/>
      <c r="H89" s="60"/>
      <c r="I89" s="60"/>
      <c r="J89" s="60"/>
      <c r="K89" s="60"/>
      <c r="L89" s="60"/>
      <c r="M89" s="60"/>
    </row>
    <row r="90" spans="7:13" x14ac:dyDescent="0.25">
      <c r="G90" s="60"/>
      <c r="H90" s="60"/>
      <c r="I90" s="60"/>
      <c r="J90" s="60"/>
      <c r="K90" s="60"/>
      <c r="L90" s="60"/>
      <c r="M90" s="60"/>
    </row>
    <row r="91" spans="7:13" x14ac:dyDescent="0.25">
      <c r="G91" s="60"/>
      <c r="H91" s="60"/>
      <c r="I91" s="60"/>
      <c r="J91" s="60"/>
      <c r="K91" s="60"/>
      <c r="L91" s="60"/>
      <c r="M91" s="60"/>
    </row>
    <row r="92" spans="7:13" x14ac:dyDescent="0.25">
      <c r="G92" s="60"/>
      <c r="H92" s="60"/>
      <c r="I92" s="60"/>
      <c r="J92" s="60"/>
      <c r="K92" s="60"/>
      <c r="L92" s="60"/>
      <c r="M92" s="60"/>
    </row>
  </sheetData>
  <mergeCells count="35">
    <mergeCell ref="A4:W4"/>
    <mergeCell ref="A12:W12"/>
    <mergeCell ref="A9:W9"/>
    <mergeCell ref="A11:W11"/>
    <mergeCell ref="A8:W8"/>
    <mergeCell ref="A6:W6"/>
    <mergeCell ref="A14:W14"/>
    <mergeCell ref="C20:D21"/>
    <mergeCell ref="A16:W16"/>
    <mergeCell ref="A15:W15"/>
    <mergeCell ref="A20:A22"/>
    <mergeCell ref="E20:F21"/>
    <mergeCell ref="A18:W18"/>
    <mergeCell ref="V20:W21"/>
    <mergeCell ref="N20:Q20"/>
    <mergeCell ref="N21:O21"/>
    <mergeCell ref="P21:Q21"/>
    <mergeCell ref="G20:G22"/>
    <mergeCell ref="J21:K21"/>
    <mergeCell ref="J20:M20"/>
    <mergeCell ref="L21:M21"/>
    <mergeCell ref="B20:B22"/>
    <mergeCell ref="R20:U20"/>
    <mergeCell ref="R21:S21"/>
    <mergeCell ref="T21:U21"/>
    <mergeCell ref="B75:K75"/>
    <mergeCell ref="B77:K77"/>
    <mergeCell ref="B66:K66"/>
    <mergeCell ref="B68:K68"/>
    <mergeCell ref="B70:K70"/>
    <mergeCell ref="B72:K72"/>
    <mergeCell ref="B73:K73"/>
    <mergeCell ref="B74:K74"/>
    <mergeCell ref="H20:H22"/>
    <mergeCell ref="I20:I22"/>
  </mergeCells>
  <conditionalFormatting sqref="C24:V64">
    <cfRule type="cellIs" dxfId="1" priority="2" operator="notEqual">
      <formula>0</formula>
    </cfRule>
  </conditionalFormatting>
  <conditionalFormatting sqref="W24: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9"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3.28515625" style="19" customWidth="1"/>
    <col min="28" max="28" width="14.855468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710937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15" t="str">
        <f>'1. паспорт местоположение'!A12:C12</f>
        <v>I_3710</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5" t="str">
        <f>'1. паспорт местоположение'!A15</f>
        <v>Строительство БКТП 15/0,4 кВ, 2-х участков КЛ 15 кВ от БКТП Новой до места врезки в КЛ 15 кВ №14 на ул. Победы в г. Гусеве</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6" customFormat="1" x14ac:dyDescent="0.25">
      <c r="A21" s="517" t="s">
        <v>509</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6" customFormat="1" ht="58.5" customHeight="1" x14ac:dyDescent="0.25">
      <c r="A22" s="508" t="s">
        <v>50</v>
      </c>
      <c r="B22" s="519" t="s">
        <v>22</v>
      </c>
      <c r="C22" s="508" t="s">
        <v>49</v>
      </c>
      <c r="D22" s="508" t="s">
        <v>48</v>
      </c>
      <c r="E22" s="522" t="s">
        <v>520</v>
      </c>
      <c r="F22" s="523"/>
      <c r="G22" s="523"/>
      <c r="H22" s="523"/>
      <c r="I22" s="523"/>
      <c r="J22" s="523"/>
      <c r="K22" s="523"/>
      <c r="L22" s="524"/>
      <c r="M22" s="508" t="s">
        <v>47</v>
      </c>
      <c r="N22" s="508" t="s">
        <v>46</v>
      </c>
      <c r="O22" s="508" t="s">
        <v>45</v>
      </c>
      <c r="P22" s="503" t="s">
        <v>255</v>
      </c>
      <c r="Q22" s="503" t="s">
        <v>44</v>
      </c>
      <c r="R22" s="503" t="s">
        <v>43</v>
      </c>
      <c r="S22" s="503" t="s">
        <v>42</v>
      </c>
      <c r="T22" s="503"/>
      <c r="U22" s="525" t="s">
        <v>41</v>
      </c>
      <c r="V22" s="525" t="s">
        <v>40</v>
      </c>
      <c r="W22" s="503" t="s">
        <v>39</v>
      </c>
      <c r="X22" s="503" t="s">
        <v>38</v>
      </c>
      <c r="Y22" s="503" t="s">
        <v>37</v>
      </c>
      <c r="Z22" s="510" t="s">
        <v>36</v>
      </c>
      <c r="AA22" s="503" t="s">
        <v>35</v>
      </c>
      <c r="AB22" s="503" t="s">
        <v>34</v>
      </c>
      <c r="AC22" s="503" t="s">
        <v>33</v>
      </c>
      <c r="AD22" s="503" t="s">
        <v>32</v>
      </c>
      <c r="AE22" s="503" t="s">
        <v>31</v>
      </c>
      <c r="AF22" s="503" t="s">
        <v>30</v>
      </c>
      <c r="AG22" s="503"/>
      <c r="AH22" s="503"/>
      <c r="AI22" s="503"/>
      <c r="AJ22" s="503"/>
      <c r="AK22" s="503"/>
      <c r="AL22" s="503" t="s">
        <v>29</v>
      </c>
      <c r="AM22" s="503"/>
      <c r="AN22" s="503"/>
      <c r="AO22" s="503"/>
      <c r="AP22" s="503" t="s">
        <v>28</v>
      </c>
      <c r="AQ22" s="503"/>
      <c r="AR22" s="503" t="s">
        <v>27</v>
      </c>
      <c r="AS22" s="503" t="s">
        <v>26</v>
      </c>
      <c r="AT22" s="503" t="s">
        <v>25</v>
      </c>
      <c r="AU22" s="503" t="s">
        <v>24</v>
      </c>
      <c r="AV22" s="511" t="s">
        <v>23</v>
      </c>
    </row>
    <row r="23" spans="1:48" s="26" customFormat="1" ht="64.5" customHeight="1" x14ac:dyDescent="0.25">
      <c r="A23" s="518"/>
      <c r="B23" s="520"/>
      <c r="C23" s="518"/>
      <c r="D23" s="518"/>
      <c r="E23" s="513" t="s">
        <v>21</v>
      </c>
      <c r="F23" s="504" t="s">
        <v>126</v>
      </c>
      <c r="G23" s="504" t="s">
        <v>125</v>
      </c>
      <c r="H23" s="504" t="s">
        <v>124</v>
      </c>
      <c r="I23" s="506" t="s">
        <v>430</v>
      </c>
      <c r="J23" s="506" t="s">
        <v>431</v>
      </c>
      <c r="K23" s="506" t="s">
        <v>432</v>
      </c>
      <c r="L23" s="504" t="s">
        <v>74</v>
      </c>
      <c r="M23" s="518"/>
      <c r="N23" s="518"/>
      <c r="O23" s="518"/>
      <c r="P23" s="503"/>
      <c r="Q23" s="503"/>
      <c r="R23" s="503"/>
      <c r="S23" s="515" t="s">
        <v>2</v>
      </c>
      <c r="T23" s="515" t="s">
        <v>9</v>
      </c>
      <c r="U23" s="525"/>
      <c r="V23" s="525"/>
      <c r="W23" s="503"/>
      <c r="X23" s="503"/>
      <c r="Y23" s="503"/>
      <c r="Z23" s="503"/>
      <c r="AA23" s="503"/>
      <c r="AB23" s="503"/>
      <c r="AC23" s="503"/>
      <c r="AD23" s="503"/>
      <c r="AE23" s="503"/>
      <c r="AF23" s="503" t="s">
        <v>20</v>
      </c>
      <c r="AG23" s="503"/>
      <c r="AH23" s="503" t="s">
        <v>19</v>
      </c>
      <c r="AI23" s="503"/>
      <c r="AJ23" s="508" t="s">
        <v>18</v>
      </c>
      <c r="AK23" s="508" t="s">
        <v>17</v>
      </c>
      <c r="AL23" s="508" t="s">
        <v>16</v>
      </c>
      <c r="AM23" s="508" t="s">
        <v>15</v>
      </c>
      <c r="AN23" s="508" t="s">
        <v>14</v>
      </c>
      <c r="AO23" s="508" t="s">
        <v>13</v>
      </c>
      <c r="AP23" s="508" t="s">
        <v>12</v>
      </c>
      <c r="AQ23" s="526" t="s">
        <v>9</v>
      </c>
      <c r="AR23" s="503"/>
      <c r="AS23" s="503"/>
      <c r="AT23" s="503"/>
      <c r="AU23" s="503"/>
      <c r="AV23" s="512"/>
    </row>
    <row r="24" spans="1:48" s="26" customFormat="1" ht="96.75" customHeight="1" x14ac:dyDescent="0.25">
      <c r="A24" s="509"/>
      <c r="B24" s="521"/>
      <c r="C24" s="509"/>
      <c r="D24" s="509"/>
      <c r="E24" s="514"/>
      <c r="F24" s="505"/>
      <c r="G24" s="505"/>
      <c r="H24" s="505"/>
      <c r="I24" s="507"/>
      <c r="J24" s="507"/>
      <c r="K24" s="507"/>
      <c r="L24" s="505"/>
      <c r="M24" s="509"/>
      <c r="N24" s="509"/>
      <c r="O24" s="509"/>
      <c r="P24" s="503"/>
      <c r="Q24" s="503"/>
      <c r="R24" s="503"/>
      <c r="S24" s="516"/>
      <c r="T24" s="516"/>
      <c r="U24" s="525"/>
      <c r="V24" s="525"/>
      <c r="W24" s="503"/>
      <c r="X24" s="503"/>
      <c r="Y24" s="503"/>
      <c r="Z24" s="503"/>
      <c r="AA24" s="503"/>
      <c r="AB24" s="503"/>
      <c r="AC24" s="503"/>
      <c r="AD24" s="503"/>
      <c r="AE24" s="503"/>
      <c r="AF24" s="148" t="s">
        <v>11</v>
      </c>
      <c r="AG24" s="148" t="s">
        <v>10</v>
      </c>
      <c r="AH24" s="149" t="s">
        <v>2</v>
      </c>
      <c r="AI24" s="149" t="s">
        <v>9</v>
      </c>
      <c r="AJ24" s="509"/>
      <c r="AK24" s="509"/>
      <c r="AL24" s="509"/>
      <c r="AM24" s="509"/>
      <c r="AN24" s="509"/>
      <c r="AO24" s="509"/>
      <c r="AP24" s="509"/>
      <c r="AQ24" s="527"/>
      <c r="AR24" s="503"/>
      <c r="AS24" s="503"/>
      <c r="AT24" s="503"/>
      <c r="AU24" s="503"/>
      <c r="AV24" s="5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309" t="str">
        <f>A9</f>
        <v>Акционерное общество "Россети Янтарь"</v>
      </c>
      <c r="C26" s="21" t="s">
        <v>62</v>
      </c>
      <c r="D26" s="22">
        <f>'6.1. Паспорт сетевой график'!F53</f>
        <v>44865</v>
      </c>
      <c r="E26" s="308"/>
      <c r="F26" s="308"/>
      <c r="G26" s="308">
        <v>0.63</v>
      </c>
      <c r="H26" s="308"/>
      <c r="I26" s="308"/>
      <c r="J26" s="308"/>
      <c r="K26" s="308">
        <v>0.03</v>
      </c>
      <c r="L26" s="331"/>
      <c r="M26" s="332" t="s">
        <v>702</v>
      </c>
      <c r="N26" s="309" t="s">
        <v>703</v>
      </c>
      <c r="O26" s="309" t="s">
        <v>681</v>
      </c>
      <c r="P26" s="24">
        <v>90</v>
      </c>
      <c r="Q26" s="21" t="s">
        <v>704</v>
      </c>
      <c r="R26" s="24">
        <v>90</v>
      </c>
      <c r="S26" s="21" t="s">
        <v>668</v>
      </c>
      <c r="T26" s="21" t="s">
        <v>705</v>
      </c>
      <c r="U26" s="23">
        <v>3</v>
      </c>
      <c r="V26" s="23">
        <v>3</v>
      </c>
      <c r="W26" s="332" t="s">
        <v>706</v>
      </c>
      <c r="X26" s="24">
        <v>82.5</v>
      </c>
      <c r="Y26" s="21"/>
      <c r="Z26" s="340"/>
      <c r="AA26" s="24"/>
      <c r="AB26" s="24">
        <v>82.5</v>
      </c>
      <c r="AC26" s="332" t="s">
        <v>684</v>
      </c>
      <c r="AD26" s="24">
        <f>'8. Общие сведения'!B33*1000</f>
        <v>82.5</v>
      </c>
      <c r="AE26" s="24">
        <f>AD26</f>
        <v>82.5</v>
      </c>
      <c r="AF26" s="23"/>
      <c r="AG26" s="332"/>
      <c r="AH26" s="22"/>
      <c r="AI26" s="22"/>
      <c r="AJ26" s="22"/>
      <c r="AK26" s="22"/>
      <c r="AL26" s="21"/>
      <c r="AM26" s="21"/>
      <c r="AN26" s="22"/>
      <c r="AO26" s="21"/>
      <c r="AP26" s="22">
        <v>43250</v>
      </c>
      <c r="AQ26" s="22">
        <v>43250</v>
      </c>
      <c r="AR26" s="22">
        <v>43250</v>
      </c>
      <c r="AS26" s="22">
        <v>43250</v>
      </c>
      <c r="AT26" s="22">
        <v>43342</v>
      </c>
      <c r="AU26" s="21"/>
      <c r="AV26" s="332" t="s">
        <v>709</v>
      </c>
    </row>
    <row r="27" spans="1:48" s="20" customFormat="1" ht="33.75" x14ac:dyDescent="0.2">
      <c r="A27" s="23"/>
      <c r="B27" s="309"/>
      <c r="C27" s="21"/>
      <c r="D27" s="22"/>
      <c r="E27" s="308"/>
      <c r="F27" s="308"/>
      <c r="G27" s="308"/>
      <c r="H27" s="308"/>
      <c r="I27" s="308"/>
      <c r="J27" s="308"/>
      <c r="K27" s="308"/>
      <c r="L27" s="331"/>
      <c r="M27" s="332"/>
      <c r="N27" s="332"/>
      <c r="O27" s="309"/>
      <c r="P27" s="24"/>
      <c r="Q27" s="21"/>
      <c r="R27" s="21"/>
      <c r="S27" s="21"/>
      <c r="T27" s="21"/>
      <c r="U27" s="23"/>
      <c r="V27" s="23"/>
      <c r="W27" s="332" t="s">
        <v>707</v>
      </c>
      <c r="X27" s="24">
        <v>93</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33.75" x14ac:dyDescent="0.2">
      <c r="A28" s="23"/>
      <c r="B28" s="309"/>
      <c r="C28" s="21"/>
      <c r="D28" s="22"/>
      <c r="E28" s="308"/>
      <c r="F28" s="308"/>
      <c r="G28" s="308"/>
      <c r="H28" s="308"/>
      <c r="I28" s="308"/>
      <c r="J28" s="308"/>
      <c r="K28" s="308"/>
      <c r="L28" s="331"/>
      <c r="M28" s="332"/>
      <c r="N28" s="332"/>
      <c r="O28" s="309"/>
      <c r="P28" s="24"/>
      <c r="Q28" s="21"/>
      <c r="R28" s="21"/>
      <c r="S28" s="21"/>
      <c r="T28" s="21"/>
      <c r="U28" s="23"/>
      <c r="V28" s="23"/>
      <c r="W28" s="332" t="s">
        <v>708</v>
      </c>
      <c r="X28" s="24">
        <v>92</v>
      </c>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45" x14ac:dyDescent="0.2">
      <c r="A29" s="23">
        <v>2</v>
      </c>
      <c r="B29" s="309" t="str">
        <f>A12</f>
        <v>I_3710</v>
      </c>
      <c r="C29" s="21" t="s">
        <v>62</v>
      </c>
      <c r="D29" s="22">
        <f>D26</f>
        <v>44865</v>
      </c>
      <c r="E29" s="308"/>
      <c r="F29" s="308"/>
      <c r="G29" s="308">
        <f>G26</f>
        <v>0.63</v>
      </c>
      <c r="H29" s="308"/>
      <c r="I29" s="308"/>
      <c r="J29" s="308"/>
      <c r="K29" s="308">
        <f>K26</f>
        <v>0.03</v>
      </c>
      <c r="L29" s="331"/>
      <c r="M29" s="332" t="s">
        <v>679</v>
      </c>
      <c r="N29" s="309" t="s">
        <v>680</v>
      </c>
      <c r="O29" s="309" t="s">
        <v>681</v>
      </c>
      <c r="P29" s="24">
        <v>751.37</v>
      </c>
      <c r="Q29" s="21" t="s">
        <v>682</v>
      </c>
      <c r="R29" s="24">
        <v>751.37</v>
      </c>
      <c r="S29" s="21" t="s">
        <v>668</v>
      </c>
      <c r="T29" s="21" t="s">
        <v>683</v>
      </c>
      <c r="U29" s="23" t="s">
        <v>61</v>
      </c>
      <c r="V29" s="23" t="s">
        <v>61</v>
      </c>
      <c r="W29" s="332" t="s">
        <v>684</v>
      </c>
      <c r="X29" s="24">
        <v>751.37</v>
      </c>
      <c r="Y29" s="21"/>
      <c r="Z29" s="340"/>
      <c r="AA29" s="24"/>
      <c r="AB29" s="24">
        <v>751.37</v>
      </c>
      <c r="AC29" s="332" t="s">
        <v>684</v>
      </c>
      <c r="AD29" s="24">
        <v>0</v>
      </c>
      <c r="AE29" s="24">
        <v>0</v>
      </c>
      <c r="AF29" s="23" t="s">
        <v>685</v>
      </c>
      <c r="AG29" s="332" t="s">
        <v>686</v>
      </c>
      <c r="AH29" s="22">
        <v>43566</v>
      </c>
      <c r="AI29" s="22">
        <v>43566</v>
      </c>
      <c r="AJ29" s="22">
        <v>43619</v>
      </c>
      <c r="AK29" s="22">
        <v>43637</v>
      </c>
      <c r="AL29" s="21"/>
      <c r="AM29" s="21"/>
      <c r="AN29" s="22"/>
      <c r="AO29" s="21"/>
      <c r="AP29" s="22">
        <v>43654</v>
      </c>
      <c r="AQ29" s="22">
        <v>43654</v>
      </c>
      <c r="AR29" s="22">
        <v>43654</v>
      </c>
      <c r="AS29" s="22">
        <v>43654</v>
      </c>
      <c r="AT29" s="22"/>
      <c r="AU29" s="21"/>
      <c r="AV29" s="332" t="s">
        <v>699</v>
      </c>
    </row>
    <row r="30" spans="1:48" s="20" customFormat="1" ht="11.25" x14ac:dyDescent="0.2">
      <c r="A30" s="23"/>
      <c r="B30" s="309"/>
      <c r="C30" s="21"/>
      <c r="D30" s="22"/>
      <c r="E30" s="308"/>
      <c r="F30" s="308"/>
      <c r="G30" s="308"/>
      <c r="H30" s="308"/>
      <c r="I30" s="308"/>
      <c r="J30" s="308"/>
      <c r="K30" s="308"/>
      <c r="L30" s="331"/>
      <c r="M30" s="332"/>
      <c r="N30" s="332"/>
      <c r="O30" s="309"/>
      <c r="P30" s="24"/>
      <c r="Q30" s="21"/>
      <c r="R30" s="21"/>
      <c r="S30" s="21"/>
      <c r="T30" s="21"/>
      <c r="U30" s="23"/>
      <c r="V30" s="23"/>
      <c r="W30" s="332" t="s">
        <v>687</v>
      </c>
      <c r="X30" s="24"/>
      <c r="Y30" s="21" t="s">
        <v>687</v>
      </c>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309"/>
      <c r="C31" s="21"/>
      <c r="D31" s="22"/>
      <c r="E31" s="308"/>
      <c r="F31" s="308"/>
      <c r="G31" s="308"/>
      <c r="H31" s="308"/>
      <c r="I31" s="308"/>
      <c r="J31" s="308"/>
      <c r="K31" s="308"/>
      <c r="L31" s="331"/>
      <c r="M31" s="332"/>
      <c r="N31" s="332"/>
      <c r="O31" s="309"/>
      <c r="P31" s="24"/>
      <c r="Q31" s="21"/>
      <c r="R31" s="21"/>
      <c r="S31" s="21"/>
      <c r="T31" s="21"/>
      <c r="U31" s="23"/>
      <c r="V31" s="23"/>
      <c r="W31" s="332"/>
      <c r="X31" s="24"/>
      <c r="Y31" s="21"/>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row r="32" spans="1:48" s="20" customFormat="1" ht="11.25" x14ac:dyDescent="0.2">
      <c r="A32" s="23"/>
      <c r="B32" s="309"/>
      <c r="C32" s="21"/>
      <c r="D32" s="22"/>
      <c r="E32" s="308"/>
      <c r="F32" s="308"/>
      <c r="G32" s="308"/>
      <c r="H32" s="308"/>
      <c r="I32" s="308"/>
      <c r="J32" s="308"/>
      <c r="K32" s="308"/>
      <c r="L32" s="331"/>
      <c r="M32" s="332"/>
      <c r="N32" s="332"/>
      <c r="O32" s="309"/>
      <c r="P32" s="24"/>
      <c r="Q32" s="21"/>
      <c r="R32" s="21"/>
      <c r="S32" s="21"/>
      <c r="T32" s="21"/>
      <c r="U32" s="23"/>
      <c r="V32" s="23"/>
      <c r="W32" s="332"/>
      <c r="X32" s="24"/>
      <c r="Y32" s="21"/>
      <c r="Z32" s="22"/>
      <c r="AA32" s="24"/>
      <c r="AB32" s="24"/>
      <c r="AC32" s="24"/>
      <c r="AD32" s="24"/>
      <c r="AE32" s="24"/>
      <c r="AF32" s="23"/>
      <c r="AG32" s="21"/>
      <c r="AH32" s="22"/>
      <c r="AI32" s="22"/>
      <c r="AJ32" s="22"/>
      <c r="AK32" s="22"/>
      <c r="AL32" s="21"/>
      <c r="AM32" s="21"/>
      <c r="AN32" s="22"/>
      <c r="AO32" s="21"/>
      <c r="AP32" s="22"/>
      <c r="AQ32" s="22"/>
      <c r="AR32" s="22"/>
      <c r="AS32" s="22"/>
      <c r="AT32" s="22"/>
      <c r="AU32" s="21"/>
      <c r="AV32" s="21"/>
    </row>
    <row r="33" spans="30:30" x14ac:dyDescent="0.25">
      <c r="AD33" s="397">
        <f>SUM(AD26:AD32)</f>
        <v>82.5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zoomScale="90" zoomScaleNormal="90" zoomScaleSheetLayoutView="9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2023 год</v>
      </c>
      <c r="B5" s="534"/>
      <c r="C5" s="85"/>
      <c r="D5" s="85"/>
      <c r="E5" s="85"/>
      <c r="F5" s="85"/>
      <c r="G5" s="85"/>
      <c r="H5" s="85"/>
    </row>
    <row r="6" spans="1:8" ht="18.75" x14ac:dyDescent="0.3">
      <c r="A6" s="262"/>
      <c r="B6" s="262"/>
      <c r="C6" s="262"/>
      <c r="D6" s="262"/>
      <c r="E6" s="262"/>
      <c r="F6" s="262"/>
      <c r="G6" s="262"/>
      <c r="H6" s="262"/>
    </row>
    <row r="7" spans="1:8" ht="18.75" x14ac:dyDescent="0.25">
      <c r="A7" s="414" t="s">
        <v>7</v>
      </c>
      <c r="B7" s="414"/>
      <c r="C7" s="154"/>
      <c r="D7" s="154"/>
      <c r="E7" s="154"/>
      <c r="F7" s="154"/>
      <c r="G7" s="154"/>
      <c r="H7" s="154"/>
    </row>
    <row r="8" spans="1:8" ht="18.75" x14ac:dyDescent="0.25">
      <c r="A8" s="154"/>
      <c r="B8" s="154"/>
      <c r="C8" s="154"/>
      <c r="D8" s="154"/>
      <c r="E8" s="154"/>
      <c r="F8" s="154"/>
      <c r="G8" s="154"/>
      <c r="H8" s="154"/>
    </row>
    <row r="9" spans="1:8" x14ac:dyDescent="0.25">
      <c r="A9" s="415" t="str">
        <f>'1. паспорт местоположение'!A9:C9</f>
        <v>Акционерное общество "Россети Янтарь"</v>
      </c>
      <c r="B9" s="415"/>
      <c r="C9" s="168"/>
      <c r="D9" s="168"/>
      <c r="E9" s="168"/>
      <c r="F9" s="168"/>
      <c r="G9" s="168"/>
      <c r="H9" s="168"/>
    </row>
    <row r="10" spans="1:8" x14ac:dyDescent="0.25">
      <c r="A10" s="419" t="s">
        <v>6</v>
      </c>
      <c r="B10" s="419"/>
      <c r="C10" s="156"/>
      <c r="D10" s="156"/>
      <c r="E10" s="156"/>
      <c r="F10" s="156"/>
      <c r="G10" s="156"/>
      <c r="H10" s="156"/>
    </row>
    <row r="11" spans="1:8" ht="18.75" x14ac:dyDescent="0.25">
      <c r="A11" s="154"/>
      <c r="B11" s="154"/>
      <c r="C11" s="154"/>
      <c r="D11" s="154"/>
      <c r="E11" s="154"/>
      <c r="F11" s="154"/>
      <c r="G11" s="154"/>
      <c r="H11" s="154"/>
    </row>
    <row r="12" spans="1:8" x14ac:dyDescent="0.25">
      <c r="A12" s="415" t="str">
        <f>'1. паспорт местоположение'!A12:C12</f>
        <v>I_3710</v>
      </c>
      <c r="B12" s="415"/>
      <c r="C12" s="168"/>
      <c r="D12" s="168"/>
      <c r="E12" s="168"/>
      <c r="F12" s="168"/>
      <c r="G12" s="168"/>
      <c r="H12" s="168"/>
    </row>
    <row r="13" spans="1:8" x14ac:dyDescent="0.25">
      <c r="A13" s="419" t="s">
        <v>5</v>
      </c>
      <c r="B13" s="419"/>
      <c r="C13" s="156"/>
      <c r="D13" s="156"/>
      <c r="E13" s="156"/>
      <c r="F13" s="156"/>
      <c r="G13" s="156"/>
      <c r="H13" s="156"/>
    </row>
    <row r="14" spans="1:8" ht="18.75" x14ac:dyDescent="0.25">
      <c r="A14" s="11"/>
      <c r="B14" s="11"/>
      <c r="C14" s="11"/>
      <c r="D14" s="11"/>
      <c r="E14" s="11"/>
      <c r="F14" s="11"/>
      <c r="G14" s="11"/>
      <c r="H14" s="11"/>
    </row>
    <row r="15" spans="1:8" x14ac:dyDescent="0.25">
      <c r="A15" s="528" t="str">
        <f>'1. паспорт местоположение'!A15:C15</f>
        <v>Строительство БКТП 15/0,4 кВ, 2-х участков КЛ 15 кВ от БКТП Новой до места врезки в КЛ 15 кВ №14 на ул. Победы в г. Гусеве</v>
      </c>
      <c r="B15" s="415"/>
      <c r="C15" s="168"/>
      <c r="D15" s="168"/>
      <c r="E15" s="168"/>
      <c r="F15" s="168"/>
      <c r="G15" s="168"/>
      <c r="H15" s="168"/>
    </row>
    <row r="16" spans="1:8" x14ac:dyDescent="0.25">
      <c r="A16" s="419" t="s">
        <v>4</v>
      </c>
      <c r="B16" s="419"/>
      <c r="C16" s="156"/>
      <c r="D16" s="156"/>
      <c r="E16" s="156"/>
      <c r="F16" s="156"/>
      <c r="G16" s="156"/>
      <c r="H16" s="156"/>
    </row>
    <row r="17" spans="1:2" x14ac:dyDescent="0.25">
      <c r="B17" s="123"/>
    </row>
    <row r="18" spans="1:2" x14ac:dyDescent="0.25">
      <c r="A18" s="529" t="s">
        <v>510</v>
      </c>
      <c r="B18" s="530"/>
    </row>
    <row r="19" spans="1:2" x14ac:dyDescent="0.25">
      <c r="B19" s="43"/>
    </row>
    <row r="20" spans="1:2" ht="16.5" thickBot="1" x14ac:dyDescent="0.3">
      <c r="B20" s="124"/>
    </row>
    <row r="21" spans="1:2" ht="30.75" thickBot="1" x14ac:dyDescent="0.3">
      <c r="A21" s="125" t="s">
        <v>380</v>
      </c>
      <c r="B21" s="260" t="str">
        <f>A15</f>
        <v>Строительство БКТП 15/0,4 кВ, 2-х участков КЛ 15 кВ от БКТП Новой до места врезки в КЛ 15 кВ №14 на ул. Победы в г. Гусеве</v>
      </c>
    </row>
    <row r="22" spans="1:2" ht="16.5" thickBot="1" x14ac:dyDescent="0.3">
      <c r="A22" s="125" t="s">
        <v>381</v>
      </c>
      <c r="B22" s="126" t="str">
        <f>'1. паспорт местоположение'!C27</f>
        <v>Гусевский городской округ</v>
      </c>
    </row>
    <row r="23" spans="1:2" ht="16.5" thickBot="1" x14ac:dyDescent="0.3">
      <c r="A23" s="125" t="s">
        <v>346</v>
      </c>
      <c r="B23" s="127" t="s">
        <v>648</v>
      </c>
    </row>
    <row r="24" spans="1:2" ht="16.5" thickBot="1" x14ac:dyDescent="0.3">
      <c r="A24" s="125" t="s">
        <v>382</v>
      </c>
      <c r="B24" s="127" t="s">
        <v>717</v>
      </c>
    </row>
    <row r="25" spans="1:2" ht="16.5" thickBot="1" x14ac:dyDescent="0.3">
      <c r="A25" s="128" t="s">
        <v>383</v>
      </c>
      <c r="B25" s="126">
        <v>2022</v>
      </c>
    </row>
    <row r="26" spans="1:2" ht="16.5" thickBot="1" x14ac:dyDescent="0.3">
      <c r="A26" s="129" t="s">
        <v>384</v>
      </c>
      <c r="B26" s="127" t="s">
        <v>715</v>
      </c>
    </row>
    <row r="27" spans="1:2" ht="29.25" thickBot="1" x14ac:dyDescent="0.3">
      <c r="A27" s="136" t="s">
        <v>716</v>
      </c>
      <c r="B27" s="261">
        <f>'5. анализ эконом эфф'!B122</f>
        <v>0.45823152</v>
      </c>
    </row>
    <row r="28" spans="1:2" ht="16.5" thickBot="1" x14ac:dyDescent="0.3">
      <c r="A28" s="131" t="s">
        <v>385</v>
      </c>
      <c r="B28" s="338" t="s">
        <v>710</v>
      </c>
    </row>
    <row r="29" spans="1:2" ht="29.25" thickBot="1" x14ac:dyDescent="0.3">
      <c r="A29" s="137" t="s">
        <v>386</v>
      </c>
      <c r="B29" s="335">
        <f>'7. Паспорт отчет о закупке'!AD33/1000</f>
        <v>8.2500000000000004E-2</v>
      </c>
    </row>
    <row r="30" spans="1:2" ht="29.25" thickBot="1" x14ac:dyDescent="0.3">
      <c r="A30" s="137" t="s">
        <v>387</v>
      </c>
      <c r="B30" s="335">
        <f>B32+B49+B66</f>
        <v>8.2500000000000004E-2</v>
      </c>
    </row>
    <row r="31" spans="1:2" ht="16.5" thickBot="1" x14ac:dyDescent="0.3">
      <c r="A31" s="131" t="s">
        <v>388</v>
      </c>
      <c r="B31" s="335"/>
    </row>
    <row r="32" spans="1:2" ht="29.25" thickBot="1" x14ac:dyDescent="0.3">
      <c r="A32" s="137" t="s">
        <v>389</v>
      </c>
      <c r="B32" s="335">
        <f>B33+B45</f>
        <v>8.2500000000000004E-2</v>
      </c>
    </row>
    <row r="33" spans="1:3" s="266" customFormat="1" ht="30.75" thickBot="1" x14ac:dyDescent="0.3">
      <c r="A33" s="388" t="s">
        <v>676</v>
      </c>
      <c r="B33" s="389">
        <v>8.2500000000000004E-2</v>
      </c>
    </row>
    <row r="34" spans="1:3" ht="16.5" thickBot="1" x14ac:dyDescent="0.3">
      <c r="A34" s="131" t="s">
        <v>391</v>
      </c>
      <c r="B34" s="267">
        <f>B33/$B$27</f>
        <v>0.18003999375686772</v>
      </c>
    </row>
    <row r="35" spans="1:3" ht="16.5" thickBot="1" x14ac:dyDescent="0.3">
      <c r="A35" s="131" t="s">
        <v>392</v>
      </c>
      <c r="B35" s="335">
        <v>8.2500000000000004E-2</v>
      </c>
      <c r="C35" s="122">
        <v>1</v>
      </c>
    </row>
    <row r="36" spans="1:3" ht="16.5" thickBot="1" x14ac:dyDescent="0.3">
      <c r="A36" s="131" t="s">
        <v>393</v>
      </c>
      <c r="B36" s="335">
        <v>8.2500000000000004E-2</v>
      </c>
      <c r="C36" s="122">
        <v>2</v>
      </c>
    </row>
    <row r="37" spans="1:3" s="266" customFormat="1" ht="16.5" thickBot="1" x14ac:dyDescent="0.3">
      <c r="A37" s="277" t="s">
        <v>390</v>
      </c>
      <c r="B37" s="336">
        <v>0</v>
      </c>
    </row>
    <row r="38" spans="1:3" ht="16.5" thickBot="1" x14ac:dyDescent="0.3">
      <c r="A38" s="131" t="s">
        <v>391</v>
      </c>
      <c r="B38" s="267">
        <f>B37/$B$27</f>
        <v>0</v>
      </c>
    </row>
    <row r="39" spans="1:3" ht="16.5" thickBot="1" x14ac:dyDescent="0.3">
      <c r="A39" s="131" t="s">
        <v>392</v>
      </c>
      <c r="B39" s="335">
        <v>0</v>
      </c>
      <c r="C39" s="122">
        <v>1</v>
      </c>
    </row>
    <row r="40" spans="1:3" ht="16.5" thickBot="1" x14ac:dyDescent="0.3">
      <c r="A40" s="131" t="s">
        <v>393</v>
      </c>
      <c r="B40" s="335">
        <v>0</v>
      </c>
      <c r="C40" s="122">
        <v>2</v>
      </c>
    </row>
    <row r="41" spans="1:3" s="266" customFormat="1" ht="16.5" thickBot="1" x14ac:dyDescent="0.3">
      <c r="A41" s="277" t="s">
        <v>390</v>
      </c>
      <c r="B41" s="336">
        <v>0</v>
      </c>
    </row>
    <row r="42" spans="1:3" ht="16.5" thickBot="1" x14ac:dyDescent="0.3">
      <c r="A42" s="131" t="s">
        <v>391</v>
      </c>
      <c r="B42" s="267">
        <f>B41/$B$27</f>
        <v>0</v>
      </c>
    </row>
    <row r="43" spans="1:3" ht="16.5" thickBot="1" x14ac:dyDescent="0.3">
      <c r="A43" s="131" t="s">
        <v>392</v>
      </c>
      <c r="B43" s="335">
        <v>0</v>
      </c>
      <c r="C43" s="122">
        <v>1</v>
      </c>
    </row>
    <row r="44" spans="1:3" ht="16.5" thickBot="1" x14ac:dyDescent="0.3">
      <c r="A44" s="131" t="s">
        <v>393</v>
      </c>
      <c r="B44" s="335">
        <v>0</v>
      </c>
      <c r="C44" s="122">
        <v>2</v>
      </c>
    </row>
    <row r="45" spans="1:3" s="266" customFormat="1" ht="16.5" thickBot="1" x14ac:dyDescent="0.3">
      <c r="A45" s="277" t="s">
        <v>390</v>
      </c>
      <c r="B45" s="336">
        <v>0</v>
      </c>
    </row>
    <row r="46" spans="1:3" ht="16.5" thickBot="1" x14ac:dyDescent="0.3">
      <c r="A46" s="131" t="s">
        <v>391</v>
      </c>
      <c r="B46" s="267">
        <f>B45/$B$27</f>
        <v>0</v>
      </c>
    </row>
    <row r="47" spans="1:3" ht="16.5" thickBot="1" x14ac:dyDescent="0.3">
      <c r="A47" s="131" t="s">
        <v>392</v>
      </c>
      <c r="B47" s="335">
        <v>0</v>
      </c>
      <c r="C47" s="122">
        <v>1</v>
      </c>
    </row>
    <row r="48" spans="1:3" ht="16.5" thickBot="1" x14ac:dyDescent="0.3">
      <c r="A48" s="131" t="s">
        <v>393</v>
      </c>
      <c r="B48" s="335">
        <v>0</v>
      </c>
      <c r="C48" s="122">
        <v>2</v>
      </c>
    </row>
    <row r="49" spans="1:3" ht="29.25" thickBot="1" x14ac:dyDescent="0.3">
      <c r="A49" s="137" t="s">
        <v>394</v>
      </c>
      <c r="B49" s="335">
        <f>B50+B54+B58+B62</f>
        <v>0</v>
      </c>
    </row>
    <row r="50" spans="1:3" s="266" customFormat="1" ht="16.5" thickBot="1" x14ac:dyDescent="0.3">
      <c r="A50" s="277" t="s">
        <v>390</v>
      </c>
      <c r="B50" s="336">
        <v>0</v>
      </c>
    </row>
    <row r="51" spans="1:3" ht="16.5" thickBot="1" x14ac:dyDescent="0.3">
      <c r="A51" s="131" t="s">
        <v>391</v>
      </c>
      <c r="B51" s="267">
        <f>B50/$B$27</f>
        <v>0</v>
      </c>
    </row>
    <row r="52" spans="1:3" ht="16.5" thickBot="1" x14ac:dyDescent="0.3">
      <c r="A52" s="131" t="s">
        <v>392</v>
      </c>
      <c r="B52" s="335">
        <v>0</v>
      </c>
      <c r="C52" s="122">
        <v>1</v>
      </c>
    </row>
    <row r="53" spans="1:3" ht="16.5" thickBot="1" x14ac:dyDescent="0.3">
      <c r="A53" s="131" t="s">
        <v>393</v>
      </c>
      <c r="B53" s="335">
        <v>0</v>
      </c>
      <c r="C53" s="122">
        <v>2</v>
      </c>
    </row>
    <row r="54" spans="1:3" s="266" customFormat="1" ht="16.5" thickBot="1" x14ac:dyDescent="0.3">
      <c r="A54" s="277" t="s">
        <v>390</v>
      </c>
      <c r="B54" s="336">
        <v>0</v>
      </c>
    </row>
    <row r="55" spans="1:3" ht="16.5" thickBot="1" x14ac:dyDescent="0.3">
      <c r="A55" s="131" t="s">
        <v>391</v>
      </c>
      <c r="B55" s="267">
        <f>B54/$B$27</f>
        <v>0</v>
      </c>
    </row>
    <row r="56" spans="1:3" ht="16.5" thickBot="1" x14ac:dyDescent="0.3">
      <c r="A56" s="131" t="s">
        <v>392</v>
      </c>
      <c r="B56" s="335">
        <v>0</v>
      </c>
      <c r="C56" s="122">
        <v>1</v>
      </c>
    </row>
    <row r="57" spans="1:3" ht="16.5" thickBot="1" x14ac:dyDescent="0.3">
      <c r="A57" s="131" t="s">
        <v>393</v>
      </c>
      <c r="B57" s="335">
        <v>0</v>
      </c>
      <c r="C57" s="122">
        <v>2</v>
      </c>
    </row>
    <row r="58" spans="1:3" s="266" customFormat="1" ht="16.5" thickBot="1" x14ac:dyDescent="0.3">
      <c r="A58" s="277" t="s">
        <v>390</v>
      </c>
      <c r="B58" s="336">
        <v>0</v>
      </c>
    </row>
    <row r="59" spans="1:3" ht="16.5" thickBot="1" x14ac:dyDescent="0.3">
      <c r="A59" s="131" t="s">
        <v>391</v>
      </c>
      <c r="B59" s="267">
        <f>B58/$B$27</f>
        <v>0</v>
      </c>
    </row>
    <row r="60" spans="1:3" ht="16.5" thickBot="1" x14ac:dyDescent="0.3">
      <c r="A60" s="131" t="s">
        <v>392</v>
      </c>
      <c r="B60" s="335">
        <v>0</v>
      </c>
      <c r="C60" s="122">
        <v>1</v>
      </c>
    </row>
    <row r="61" spans="1:3" ht="16.5" thickBot="1" x14ac:dyDescent="0.3">
      <c r="A61" s="131" t="s">
        <v>393</v>
      </c>
      <c r="B61" s="335">
        <v>0</v>
      </c>
      <c r="C61" s="122">
        <v>2</v>
      </c>
    </row>
    <row r="62" spans="1:3" s="266" customFormat="1" ht="16.5" thickBot="1" x14ac:dyDescent="0.3">
      <c r="A62" s="277" t="s">
        <v>390</v>
      </c>
      <c r="B62" s="336">
        <v>0</v>
      </c>
    </row>
    <row r="63" spans="1:3" ht="16.5" thickBot="1" x14ac:dyDescent="0.3">
      <c r="A63" s="131" t="s">
        <v>391</v>
      </c>
      <c r="B63" s="267">
        <f>B62/$B$27</f>
        <v>0</v>
      </c>
    </row>
    <row r="64" spans="1:3" ht="16.5" thickBot="1" x14ac:dyDescent="0.3">
      <c r="A64" s="131" t="s">
        <v>392</v>
      </c>
      <c r="B64" s="335">
        <v>0</v>
      </c>
      <c r="C64" s="122">
        <v>1</v>
      </c>
    </row>
    <row r="65" spans="1:3" ht="16.5" thickBot="1" x14ac:dyDescent="0.3">
      <c r="A65" s="131" t="s">
        <v>393</v>
      </c>
      <c r="B65" s="335">
        <v>0</v>
      </c>
      <c r="C65" s="122">
        <v>2</v>
      </c>
    </row>
    <row r="66" spans="1:3" ht="29.25" thickBot="1" x14ac:dyDescent="0.3">
      <c r="A66" s="137" t="s">
        <v>395</v>
      </c>
      <c r="B66" s="335">
        <f>B67+B71+B75+B79</f>
        <v>0</v>
      </c>
    </row>
    <row r="67" spans="1:3" s="266" customFormat="1" ht="16.5" thickBot="1" x14ac:dyDescent="0.3">
      <c r="A67" s="277" t="s">
        <v>390</v>
      </c>
      <c r="B67" s="336">
        <v>0</v>
      </c>
    </row>
    <row r="68" spans="1:3" ht="16.5" thickBot="1" x14ac:dyDescent="0.3">
      <c r="A68" s="131" t="s">
        <v>391</v>
      </c>
      <c r="B68" s="267">
        <f>B67/$B$27</f>
        <v>0</v>
      </c>
    </row>
    <row r="69" spans="1:3" ht="16.5" thickBot="1" x14ac:dyDescent="0.3">
      <c r="A69" s="131" t="s">
        <v>392</v>
      </c>
      <c r="B69" s="335">
        <v>0</v>
      </c>
      <c r="C69" s="122">
        <v>1</v>
      </c>
    </row>
    <row r="70" spans="1:3" ht="16.5" thickBot="1" x14ac:dyDescent="0.3">
      <c r="A70" s="131" t="s">
        <v>393</v>
      </c>
      <c r="B70" s="335">
        <v>0</v>
      </c>
      <c r="C70" s="122">
        <v>2</v>
      </c>
    </row>
    <row r="71" spans="1:3" s="266" customFormat="1" ht="16.5" thickBot="1" x14ac:dyDescent="0.3">
      <c r="A71" s="277" t="s">
        <v>390</v>
      </c>
      <c r="B71" s="336">
        <v>0</v>
      </c>
    </row>
    <row r="72" spans="1:3" ht="16.5" thickBot="1" x14ac:dyDescent="0.3">
      <c r="A72" s="131" t="s">
        <v>391</v>
      </c>
      <c r="B72" s="267">
        <f>B71/$B$27</f>
        <v>0</v>
      </c>
    </row>
    <row r="73" spans="1:3" ht="16.5" thickBot="1" x14ac:dyDescent="0.3">
      <c r="A73" s="131" t="s">
        <v>392</v>
      </c>
      <c r="B73" s="335">
        <v>0</v>
      </c>
      <c r="C73" s="122">
        <v>1</v>
      </c>
    </row>
    <row r="74" spans="1:3" ht="16.5" thickBot="1" x14ac:dyDescent="0.3">
      <c r="A74" s="131" t="s">
        <v>393</v>
      </c>
      <c r="B74" s="335">
        <v>0</v>
      </c>
      <c r="C74" s="122">
        <v>2</v>
      </c>
    </row>
    <row r="75" spans="1:3" s="266" customFormat="1" ht="16.5" thickBot="1" x14ac:dyDescent="0.3">
      <c r="A75" s="277" t="s">
        <v>390</v>
      </c>
      <c r="B75" s="336">
        <v>0</v>
      </c>
    </row>
    <row r="76" spans="1:3" ht="16.5" thickBot="1" x14ac:dyDescent="0.3">
      <c r="A76" s="131" t="s">
        <v>391</v>
      </c>
      <c r="B76" s="267">
        <f>B75/$B$27</f>
        <v>0</v>
      </c>
    </row>
    <row r="77" spans="1:3" ht="16.5" thickBot="1" x14ac:dyDescent="0.3">
      <c r="A77" s="131" t="s">
        <v>392</v>
      </c>
      <c r="B77" s="335">
        <v>0</v>
      </c>
      <c r="C77" s="122">
        <v>1</v>
      </c>
    </row>
    <row r="78" spans="1:3" ht="16.5" thickBot="1" x14ac:dyDescent="0.3">
      <c r="A78" s="131" t="s">
        <v>393</v>
      </c>
      <c r="B78" s="335">
        <v>0</v>
      </c>
      <c r="C78" s="122">
        <v>2</v>
      </c>
    </row>
    <row r="79" spans="1:3" s="266" customFormat="1" ht="16.5" thickBot="1" x14ac:dyDescent="0.3">
      <c r="A79" s="277" t="s">
        <v>390</v>
      </c>
      <c r="B79" s="336">
        <v>0</v>
      </c>
    </row>
    <row r="80" spans="1:3" ht="16.5" thickBot="1" x14ac:dyDescent="0.3">
      <c r="A80" s="131" t="s">
        <v>391</v>
      </c>
      <c r="B80" s="267">
        <f>B79/$B$27</f>
        <v>0</v>
      </c>
    </row>
    <row r="81" spans="1:4" ht="16.5" thickBot="1" x14ac:dyDescent="0.3">
      <c r="A81" s="131" t="s">
        <v>392</v>
      </c>
      <c r="B81" s="335">
        <v>0</v>
      </c>
      <c r="C81" s="122">
        <v>1</v>
      </c>
    </row>
    <row r="82" spans="1:4" ht="16.5" thickBot="1" x14ac:dyDescent="0.3">
      <c r="A82" s="131" t="s">
        <v>393</v>
      </c>
      <c r="B82" s="335">
        <v>0</v>
      </c>
      <c r="C82" s="122">
        <v>2</v>
      </c>
    </row>
    <row r="83" spans="1:4" ht="29.25" thickBot="1" x14ac:dyDescent="0.3">
      <c r="A83" s="130" t="s">
        <v>396</v>
      </c>
      <c r="B83" s="268">
        <f>B30/B27</f>
        <v>0.18003999375686772</v>
      </c>
    </row>
    <row r="84" spans="1:4" ht="16.5" thickBot="1" x14ac:dyDescent="0.3">
      <c r="A84" s="132" t="s">
        <v>388</v>
      </c>
      <c r="B84" s="268"/>
    </row>
    <row r="85" spans="1:4" ht="16.5" thickBot="1" x14ac:dyDescent="0.3">
      <c r="A85" s="132" t="s">
        <v>397</v>
      </c>
      <c r="B85" s="268"/>
    </row>
    <row r="86" spans="1:4" ht="16.5" thickBot="1" x14ac:dyDescent="0.3">
      <c r="A86" s="132" t="s">
        <v>398</v>
      </c>
      <c r="B86" s="268"/>
    </row>
    <row r="87" spans="1:4" ht="16.5" thickBot="1" x14ac:dyDescent="0.3">
      <c r="A87" s="132" t="s">
        <v>399</v>
      </c>
      <c r="B87" s="268">
        <f>B33/B27</f>
        <v>0.18003999375686772</v>
      </c>
    </row>
    <row r="88" spans="1:4" ht="16.5" thickBot="1" x14ac:dyDescent="0.3">
      <c r="A88" s="398" t="s">
        <v>721</v>
      </c>
      <c r="B88" s="399">
        <f>B93</f>
        <v>8.6121900000000001E-2</v>
      </c>
      <c r="C88"/>
      <c r="D88"/>
    </row>
    <row r="89" spans="1:4" ht="30.75" thickBot="1" x14ac:dyDescent="0.3">
      <c r="A89" s="400" t="s">
        <v>725</v>
      </c>
      <c r="B89" s="401">
        <f>0.24134135*1.2</f>
        <v>0.28960962000000001</v>
      </c>
      <c r="C89"/>
      <c r="D89"/>
    </row>
    <row r="90" spans="1:4" ht="16.5" thickBot="1" x14ac:dyDescent="0.3">
      <c r="A90" s="131" t="s">
        <v>391</v>
      </c>
      <c r="B90" s="267">
        <f>B89/$B$27</f>
        <v>0.63201592941489493</v>
      </c>
      <c r="C90"/>
      <c r="D90"/>
    </row>
    <row r="91" spans="1:4" ht="16.5" thickBot="1" x14ac:dyDescent="0.3">
      <c r="A91" s="131" t="s">
        <v>722</v>
      </c>
      <c r="B91" s="335">
        <v>0.28960962000000001</v>
      </c>
      <c r="C91" s="122">
        <v>1</v>
      </c>
      <c r="D91"/>
    </row>
    <row r="92" spans="1:4" ht="15.6" customHeight="1" thickBot="1" x14ac:dyDescent="0.3">
      <c r="A92" s="131" t="s">
        <v>723</v>
      </c>
      <c r="B92" s="335">
        <v>0.28960962000000001</v>
      </c>
      <c r="C92" s="122">
        <v>2</v>
      </c>
      <c r="D92"/>
    </row>
    <row r="93" spans="1:4" ht="30.75" thickBot="1" x14ac:dyDescent="0.3">
      <c r="A93" s="400" t="s">
        <v>724</v>
      </c>
      <c r="B93" s="401">
        <f>0.0015+0.0846219</f>
        <v>8.6121900000000001E-2</v>
      </c>
      <c r="C93"/>
      <c r="D93"/>
    </row>
    <row r="94" spans="1:4" ht="16.5" thickBot="1" x14ac:dyDescent="0.3">
      <c r="A94" s="131" t="s">
        <v>391</v>
      </c>
      <c r="B94" s="267">
        <f>B93/$B$27</f>
        <v>0.18794407682823738</v>
      </c>
      <c r="C94"/>
      <c r="D94"/>
    </row>
    <row r="95" spans="1:4" ht="16.5" thickBot="1" x14ac:dyDescent="0.3">
      <c r="A95" s="131" t="s">
        <v>722</v>
      </c>
      <c r="B95" s="335">
        <v>8.6121900000000001E-2</v>
      </c>
      <c r="C95" s="122">
        <v>1</v>
      </c>
      <c r="D95"/>
    </row>
    <row r="96" spans="1:4" ht="15.6" customHeight="1" thickBot="1" x14ac:dyDescent="0.3">
      <c r="A96" s="131" t="s">
        <v>723</v>
      </c>
      <c r="B96" s="335">
        <v>8.6121900000000001E-2</v>
      </c>
      <c r="C96" s="122">
        <v>2</v>
      </c>
      <c r="D96"/>
    </row>
    <row r="97" spans="1:2" ht="16.5" thickBot="1" x14ac:dyDescent="0.3">
      <c r="A97" s="128" t="s">
        <v>400</v>
      </c>
      <c r="B97" s="268">
        <f>B98/$B$27</f>
        <v>1</v>
      </c>
    </row>
    <row r="98" spans="1:2" ht="16.5" thickBot="1" x14ac:dyDescent="0.3">
      <c r="A98" s="128" t="s">
        <v>401</v>
      </c>
      <c r="B98" s="337">
        <f xml:space="preserve"> SUMIF(C33:C96, 1,B33:B96)</f>
        <v>0.45823152</v>
      </c>
    </row>
    <row r="99" spans="1:2" ht="16.5" thickBot="1" x14ac:dyDescent="0.3">
      <c r="A99" s="128" t="s">
        <v>402</v>
      </c>
      <c r="B99" s="268">
        <f>B100/$B$27</f>
        <v>1</v>
      </c>
    </row>
    <row r="100" spans="1:2" ht="16.5" thickBot="1" x14ac:dyDescent="0.3">
      <c r="A100" s="129" t="s">
        <v>403</v>
      </c>
      <c r="B100" s="337">
        <f xml:space="preserve"> SUMIF(C33:C96, 2,B33:B96)</f>
        <v>0.45823152</v>
      </c>
    </row>
    <row r="101" spans="1:2" ht="15.6" customHeight="1" x14ac:dyDescent="0.25">
      <c r="A101" s="130" t="s">
        <v>404</v>
      </c>
      <c r="B101" s="132" t="s">
        <v>405</v>
      </c>
    </row>
    <row r="102" spans="1:2" x14ac:dyDescent="0.25">
      <c r="A102" s="134" t="s">
        <v>406</v>
      </c>
      <c r="B102" s="134" t="s">
        <v>701</v>
      </c>
    </row>
    <row r="103" spans="1:2" x14ac:dyDescent="0.25">
      <c r="A103" s="134" t="s">
        <v>407</v>
      </c>
      <c r="B103" s="134" t="s">
        <v>677</v>
      </c>
    </row>
    <row r="104" spans="1:2" x14ac:dyDescent="0.25">
      <c r="A104" s="134" t="s">
        <v>408</v>
      </c>
      <c r="B104" s="134"/>
    </row>
    <row r="105" spans="1:2" ht="30" x14ac:dyDescent="0.25">
      <c r="A105" s="134" t="s">
        <v>409</v>
      </c>
      <c r="B105" s="134" t="s">
        <v>718</v>
      </c>
    </row>
    <row r="106" spans="1:2" ht="16.5" thickBot="1" x14ac:dyDescent="0.3">
      <c r="A106" s="135" t="s">
        <v>410</v>
      </c>
      <c r="B106" s="135"/>
    </row>
    <row r="107" spans="1:2" ht="30.75" thickBot="1" x14ac:dyDescent="0.3">
      <c r="A107" s="132" t="s">
        <v>411</v>
      </c>
      <c r="B107" s="133" t="s">
        <v>637</v>
      </c>
    </row>
    <row r="108" spans="1:2" ht="29.25" thickBot="1" x14ac:dyDescent="0.3">
      <c r="A108" s="128" t="s">
        <v>412</v>
      </c>
      <c r="B108" s="338">
        <v>7</v>
      </c>
    </row>
    <row r="109" spans="1:2" ht="16.5" thickBot="1" x14ac:dyDescent="0.3">
      <c r="A109" s="132" t="s">
        <v>388</v>
      </c>
      <c r="B109" s="339"/>
    </row>
    <row r="110" spans="1:2" ht="16.5" thickBot="1" x14ac:dyDescent="0.3">
      <c r="A110" s="132" t="s">
        <v>413</v>
      </c>
      <c r="B110" s="338">
        <v>4</v>
      </c>
    </row>
    <row r="111" spans="1:2" ht="16.5" thickBot="1" x14ac:dyDescent="0.3">
      <c r="A111" s="132" t="s">
        <v>414</v>
      </c>
      <c r="B111" s="338">
        <v>3</v>
      </c>
    </row>
    <row r="112" spans="1:2" ht="16.5" thickBot="1" x14ac:dyDescent="0.3">
      <c r="A112" s="140" t="s">
        <v>415</v>
      </c>
      <c r="B112" s="58" t="s">
        <v>719</v>
      </c>
    </row>
    <row r="113" spans="1:2" ht="16.5" thickBot="1" x14ac:dyDescent="0.3">
      <c r="A113" s="128" t="s">
        <v>416</v>
      </c>
      <c r="B113" s="138"/>
    </row>
    <row r="114" spans="1:2" ht="16.5" thickBot="1" x14ac:dyDescent="0.3">
      <c r="A114" s="134" t="s">
        <v>417</v>
      </c>
      <c r="B114" s="141" t="str">
        <f>'6.1. Паспорт сетевой график'!F43</f>
        <v>не требуется</v>
      </c>
    </row>
    <row r="115" spans="1:2" ht="16.5" thickBot="1" x14ac:dyDescent="0.3">
      <c r="A115" s="134" t="s">
        <v>418</v>
      </c>
      <c r="B115" s="141" t="s">
        <v>629</v>
      </c>
    </row>
    <row r="116" spans="1:2" ht="16.5" thickBot="1" x14ac:dyDescent="0.3">
      <c r="A116" s="134" t="s">
        <v>419</v>
      </c>
      <c r="B116" s="141" t="s">
        <v>629</v>
      </c>
    </row>
    <row r="117" spans="1:2" ht="30.75" thickBot="1" x14ac:dyDescent="0.3">
      <c r="A117" s="142" t="s">
        <v>420</v>
      </c>
      <c r="B117" s="139" t="s">
        <v>720</v>
      </c>
    </row>
    <row r="118" spans="1:2" ht="28.5" x14ac:dyDescent="0.25">
      <c r="A118" s="130" t="s">
        <v>421</v>
      </c>
      <c r="B118" s="531" t="s">
        <v>629</v>
      </c>
    </row>
    <row r="119" spans="1:2" x14ac:dyDescent="0.25">
      <c r="A119" s="134" t="s">
        <v>422</v>
      </c>
      <c r="B119" s="532"/>
    </row>
    <row r="120" spans="1:2" x14ac:dyDescent="0.25">
      <c r="A120" s="134" t="s">
        <v>423</v>
      </c>
      <c r="B120" s="532"/>
    </row>
    <row r="121" spans="1:2" x14ac:dyDescent="0.25">
      <c r="A121" s="134" t="s">
        <v>424</v>
      </c>
      <c r="B121" s="532"/>
    </row>
    <row r="122" spans="1:2" x14ac:dyDescent="0.25">
      <c r="A122" s="134" t="s">
        <v>425</v>
      </c>
      <c r="B122" s="532"/>
    </row>
    <row r="123" spans="1:2" ht="16.5" thickBot="1" x14ac:dyDescent="0.3">
      <c r="A123" s="143" t="s">
        <v>426</v>
      </c>
      <c r="B123" s="533"/>
    </row>
    <row r="126" spans="1:2" x14ac:dyDescent="0.25">
      <c r="A126" s="144"/>
      <c r="B126" s="145"/>
    </row>
    <row r="127" spans="1:2" x14ac:dyDescent="0.25">
      <c r="B127" s="146"/>
    </row>
    <row r="128" spans="1:2" x14ac:dyDescent="0.25">
      <c r="B128" s="147"/>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571</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54">
        <v>2</v>
      </c>
    </row>
    <row r="7" spans="1:1" s="114" customFormat="1" ht="23.25" customHeight="1" x14ac:dyDescent="0.25">
      <c r="A7" s="258" t="s">
        <v>572</v>
      </c>
    </row>
    <row r="8" spans="1:1" ht="31.5" customHeight="1" x14ac:dyDescent="0.25">
      <c r="A8" s="255" t="s">
        <v>580</v>
      </c>
    </row>
    <row r="9" spans="1:1" ht="45.75" customHeight="1" x14ac:dyDescent="0.25">
      <c r="A9" s="255" t="s">
        <v>581</v>
      </c>
    </row>
    <row r="10" spans="1:1" ht="33.75" customHeight="1" x14ac:dyDescent="0.25">
      <c r="A10" s="255" t="s">
        <v>582</v>
      </c>
    </row>
    <row r="11" spans="1:1" ht="23.25" customHeight="1" x14ac:dyDescent="0.25">
      <c r="A11" s="255" t="s">
        <v>583</v>
      </c>
    </row>
    <row r="12" spans="1:1" ht="23.25" customHeight="1" x14ac:dyDescent="0.25">
      <c r="A12" s="255" t="s">
        <v>584</v>
      </c>
    </row>
    <row r="13" spans="1:1" ht="33" customHeight="1" x14ac:dyDescent="0.25">
      <c r="A13" s="255" t="s">
        <v>585</v>
      </c>
    </row>
    <row r="14" spans="1:1" ht="23.25" customHeight="1" x14ac:dyDescent="0.25">
      <c r="A14" s="255" t="s">
        <v>586</v>
      </c>
    </row>
    <row r="15" spans="1:1" ht="23.25" customHeight="1" x14ac:dyDescent="0.25">
      <c r="A15" s="256" t="s">
        <v>587</v>
      </c>
    </row>
    <row r="16" spans="1:1" ht="34.5" customHeight="1" x14ac:dyDescent="0.25">
      <c r="A16" s="256" t="s">
        <v>588</v>
      </c>
    </row>
    <row r="17" spans="1:1" ht="39.75" customHeight="1" x14ac:dyDescent="0.25">
      <c r="A17" s="256" t="s">
        <v>589</v>
      </c>
    </row>
    <row r="18" spans="1:1" ht="40.5" customHeight="1" x14ac:dyDescent="0.25">
      <c r="A18" s="256" t="s">
        <v>590</v>
      </c>
    </row>
    <row r="19" spans="1:1" ht="48.75" customHeight="1" x14ac:dyDescent="0.25">
      <c r="A19" s="256" t="s">
        <v>588</v>
      </c>
    </row>
    <row r="20" spans="1:1" ht="39" customHeight="1" x14ac:dyDescent="0.25">
      <c r="A20" s="255" t="s">
        <v>589</v>
      </c>
    </row>
    <row r="21" spans="1:1" ht="39.75" customHeight="1" x14ac:dyDescent="0.25">
      <c r="A21" s="255" t="s">
        <v>591</v>
      </c>
    </row>
    <row r="22" spans="1:1" ht="35.25" customHeight="1" x14ac:dyDescent="0.25">
      <c r="A22" s="255" t="s">
        <v>592</v>
      </c>
    </row>
    <row r="23" spans="1:1" ht="35.25" customHeight="1" x14ac:dyDescent="0.25">
      <c r="A23" s="255" t="s">
        <v>593</v>
      </c>
    </row>
    <row r="24" spans="1:1" ht="57.75" customHeight="1" x14ac:dyDescent="0.25">
      <c r="A24" s="255" t="s">
        <v>594</v>
      </c>
    </row>
    <row r="25" spans="1:1" s="114" customFormat="1" ht="23.25" customHeight="1" x14ac:dyDescent="0.25">
      <c r="A25" s="258" t="s">
        <v>595</v>
      </c>
    </row>
    <row r="26" spans="1:1" ht="36.75" customHeight="1" x14ac:dyDescent="0.25">
      <c r="A26" s="255" t="s">
        <v>596</v>
      </c>
    </row>
    <row r="27" spans="1:1" ht="23.25" customHeight="1" x14ac:dyDescent="0.25">
      <c r="A27" s="255" t="s">
        <v>597</v>
      </c>
    </row>
    <row r="28" spans="1:1" ht="30.75" customHeight="1" x14ac:dyDescent="0.25">
      <c r="A28" s="255" t="s">
        <v>598</v>
      </c>
    </row>
    <row r="29" spans="1:1" s="257" customFormat="1" ht="23.25" customHeight="1" x14ac:dyDescent="0.25">
      <c r="A29" s="255" t="s">
        <v>599</v>
      </c>
    </row>
    <row r="30" spans="1:1" s="257" customFormat="1" ht="23.25" customHeight="1" x14ac:dyDescent="0.25">
      <c r="A30" s="255" t="s">
        <v>600</v>
      </c>
    </row>
    <row r="31" spans="1:1" ht="23.25" customHeight="1" x14ac:dyDescent="0.25">
      <c r="A31" s="255" t="s">
        <v>601</v>
      </c>
    </row>
    <row r="32" spans="1:1" ht="23.25" customHeight="1" x14ac:dyDescent="0.25">
      <c r="A32" s="255" t="s">
        <v>602</v>
      </c>
    </row>
    <row r="33" spans="1:1" ht="23.25" customHeight="1" x14ac:dyDescent="0.25">
      <c r="A33" s="255" t="s">
        <v>603</v>
      </c>
    </row>
    <row r="34" spans="1:1" ht="23.25" customHeight="1" x14ac:dyDescent="0.25">
      <c r="A34" s="255" t="s">
        <v>604</v>
      </c>
    </row>
    <row r="35" spans="1:1" ht="23.25" customHeight="1" x14ac:dyDescent="0.25">
      <c r="A35" s="255" t="s">
        <v>605</v>
      </c>
    </row>
    <row r="36" spans="1:1" ht="23.25" customHeight="1" x14ac:dyDescent="0.25">
      <c r="A36" s="255" t="s">
        <v>606</v>
      </c>
    </row>
    <row r="37" spans="1:1" ht="23.25" customHeight="1" x14ac:dyDescent="0.25">
      <c r="A37" s="255" t="s">
        <v>607</v>
      </c>
    </row>
    <row r="38" spans="1:1" ht="23.25" customHeight="1" x14ac:dyDescent="0.25">
      <c r="A38" s="255" t="s">
        <v>608</v>
      </c>
    </row>
    <row r="39" spans="1:1" ht="23.25" customHeight="1" x14ac:dyDescent="0.25">
      <c r="A39" s="255" t="s">
        <v>609</v>
      </c>
    </row>
    <row r="40" spans="1:1" ht="23.25" customHeight="1" x14ac:dyDescent="0.25">
      <c r="A40" s="255" t="s">
        <v>610</v>
      </c>
    </row>
    <row r="41" spans="1:1" ht="23.25" customHeight="1" x14ac:dyDescent="0.25">
      <c r="A41" s="255" t="s">
        <v>611</v>
      </c>
    </row>
    <row r="42" spans="1:1" ht="23.25" customHeight="1" x14ac:dyDescent="0.25">
      <c r="A42" s="255" t="s">
        <v>612</v>
      </c>
    </row>
    <row r="43" spans="1:1" ht="23.25" customHeight="1" x14ac:dyDescent="0.25">
      <c r="A43" s="255" t="s">
        <v>613</v>
      </c>
    </row>
    <row r="44" spans="1:1" s="114" customFormat="1" ht="36" customHeight="1" x14ac:dyDescent="0.25">
      <c r="A44" s="258" t="s">
        <v>614</v>
      </c>
    </row>
    <row r="45" spans="1:1" ht="36" customHeight="1" x14ac:dyDescent="0.25">
      <c r="A45" s="255" t="s">
        <v>615</v>
      </c>
    </row>
    <row r="46" spans="1:1" ht="36" customHeight="1" x14ac:dyDescent="0.25">
      <c r="A46" s="255" t="s">
        <v>616</v>
      </c>
    </row>
    <row r="47" spans="1:1" s="114" customFormat="1" ht="23.25" customHeight="1" x14ac:dyDescent="0.25">
      <c r="A47" s="258" t="s">
        <v>617</v>
      </c>
    </row>
    <row r="48" spans="1:1" s="114" customFormat="1" ht="23.25" customHeight="1" x14ac:dyDescent="0.25">
      <c r="A48" s="259" t="s">
        <v>618</v>
      </c>
    </row>
    <row r="49" spans="1:1" s="114" customFormat="1" ht="23.25" customHeight="1" x14ac:dyDescent="0.25">
      <c r="A49" s="259" t="s">
        <v>619</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t="s">
        <v>621</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622</v>
      </c>
    </row>
    <row r="10" spans="1:1" x14ac:dyDescent="0.25">
      <c r="A10" t="s">
        <v>623</v>
      </c>
    </row>
    <row r="11" spans="1:1" x14ac:dyDescent="0.25">
      <c r="A11" t="s">
        <v>656</v>
      </c>
    </row>
    <row r="12" spans="1:1" x14ac:dyDescent="0.25">
      <c r="A12" t="s">
        <v>657</v>
      </c>
    </row>
    <row r="13" spans="1:1" x14ac:dyDescent="0.25">
      <c r="A13" t="s">
        <v>658</v>
      </c>
    </row>
    <row r="14" spans="1:1" x14ac:dyDescent="0.25">
      <c r="A14" t="s">
        <v>624</v>
      </c>
    </row>
    <row r="15" spans="1:1" x14ac:dyDescent="0.25">
      <c r="A15" t="s">
        <v>659</v>
      </c>
    </row>
    <row r="16" spans="1:1" x14ac:dyDescent="0.25">
      <c r="A16" t="s">
        <v>660</v>
      </c>
    </row>
    <row r="17" spans="1:1" x14ac:dyDescent="0.25">
      <c r="A17" t="s">
        <v>625</v>
      </c>
    </row>
    <row r="18" spans="1:1" x14ac:dyDescent="0.25">
      <c r="A18" t="s">
        <v>661</v>
      </c>
    </row>
    <row r="19" spans="1:1" x14ac:dyDescent="0.25">
      <c r="A19" t="s">
        <v>662</v>
      </c>
    </row>
    <row r="20" spans="1:1" ht="17.25" customHeight="1" x14ac:dyDescent="0.25">
      <c r="A20" t="s">
        <v>626</v>
      </c>
    </row>
    <row r="21" spans="1:1" x14ac:dyDescent="0.25">
      <c r="A21" t="s">
        <v>663</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531</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5.42578125" style="1" customWidth="1"/>
    <col min="18" max="18" width="77.42578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14" t="s">
        <v>7</v>
      </c>
      <c r="B6" s="414"/>
      <c r="C6" s="414"/>
      <c r="D6" s="414"/>
      <c r="E6" s="414"/>
      <c r="F6" s="414"/>
      <c r="G6" s="414"/>
      <c r="H6" s="414"/>
      <c r="I6" s="414"/>
      <c r="J6" s="414"/>
      <c r="K6" s="414"/>
      <c r="L6" s="414"/>
      <c r="M6" s="414"/>
      <c r="N6" s="414"/>
      <c r="O6" s="414"/>
      <c r="P6" s="414"/>
      <c r="Q6" s="414"/>
      <c r="R6" s="414"/>
      <c r="S6" s="414"/>
      <c r="T6" s="13"/>
      <c r="U6" s="13"/>
      <c r="V6" s="13"/>
      <c r="W6" s="13"/>
      <c r="X6" s="13"/>
      <c r="Y6" s="13"/>
      <c r="Z6" s="13"/>
      <c r="AA6" s="13"/>
      <c r="AB6" s="13"/>
    </row>
    <row r="7" spans="1:28" s="12" customFormat="1" ht="18.75" x14ac:dyDescent="0.2">
      <c r="A7" s="414"/>
      <c r="B7" s="414"/>
      <c r="C7" s="414"/>
      <c r="D7" s="414"/>
      <c r="E7" s="414"/>
      <c r="F7" s="414"/>
      <c r="G7" s="414"/>
      <c r="H7" s="414"/>
      <c r="I7" s="414"/>
      <c r="J7" s="414"/>
      <c r="K7" s="414"/>
      <c r="L7" s="414"/>
      <c r="M7" s="414"/>
      <c r="N7" s="414"/>
      <c r="O7" s="414"/>
      <c r="P7" s="414"/>
      <c r="Q7" s="414"/>
      <c r="R7" s="414"/>
      <c r="S7" s="414"/>
      <c r="T7" s="13"/>
      <c r="U7" s="13"/>
      <c r="V7" s="13"/>
      <c r="W7" s="13"/>
      <c r="X7" s="13"/>
      <c r="Y7" s="13"/>
      <c r="Z7" s="13"/>
      <c r="AA7" s="13"/>
      <c r="AB7" s="13"/>
    </row>
    <row r="8" spans="1:28" s="12" customFormat="1" ht="18.75" x14ac:dyDescent="0.2">
      <c r="A8" s="415" t="str">
        <f>'1. паспорт местоположение'!A9:C9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13"/>
      <c r="U8" s="13"/>
      <c r="V8" s="13"/>
      <c r="W8" s="13"/>
      <c r="X8" s="13"/>
      <c r="Y8" s="13"/>
      <c r="Z8" s="13"/>
      <c r="AA8" s="13"/>
      <c r="AB8" s="13"/>
    </row>
    <row r="9" spans="1:28" s="12" customFormat="1" ht="18.75" x14ac:dyDescent="0.2">
      <c r="A9" s="419" t="s">
        <v>6</v>
      </c>
      <c r="B9" s="419"/>
      <c r="C9" s="419"/>
      <c r="D9" s="419"/>
      <c r="E9" s="419"/>
      <c r="F9" s="419"/>
      <c r="G9" s="419"/>
      <c r="H9" s="419"/>
      <c r="I9" s="419"/>
      <c r="J9" s="419"/>
      <c r="K9" s="419"/>
      <c r="L9" s="419"/>
      <c r="M9" s="419"/>
      <c r="N9" s="419"/>
      <c r="O9" s="419"/>
      <c r="P9" s="419"/>
      <c r="Q9" s="419"/>
      <c r="R9" s="419"/>
      <c r="S9" s="419"/>
      <c r="T9" s="13"/>
      <c r="U9" s="13"/>
      <c r="V9" s="13"/>
      <c r="W9" s="13"/>
      <c r="X9" s="13"/>
      <c r="Y9" s="13"/>
      <c r="Z9" s="13"/>
      <c r="AA9" s="13"/>
      <c r="AB9" s="13"/>
    </row>
    <row r="10" spans="1:28" s="12" customFormat="1" ht="18.75" x14ac:dyDescent="0.2">
      <c r="A10" s="414"/>
      <c r="B10" s="414"/>
      <c r="C10" s="414"/>
      <c r="D10" s="414"/>
      <c r="E10" s="414"/>
      <c r="F10" s="414"/>
      <c r="G10" s="414"/>
      <c r="H10" s="414"/>
      <c r="I10" s="414"/>
      <c r="J10" s="414"/>
      <c r="K10" s="414"/>
      <c r="L10" s="414"/>
      <c r="M10" s="414"/>
      <c r="N10" s="414"/>
      <c r="O10" s="414"/>
      <c r="P10" s="414"/>
      <c r="Q10" s="414"/>
      <c r="R10" s="414"/>
      <c r="S10" s="414"/>
      <c r="T10" s="13"/>
      <c r="U10" s="13"/>
      <c r="V10" s="13"/>
      <c r="W10" s="13"/>
      <c r="X10" s="13"/>
      <c r="Y10" s="13"/>
      <c r="Z10" s="13"/>
      <c r="AA10" s="13"/>
      <c r="AB10" s="13"/>
    </row>
    <row r="11" spans="1:28" s="12" customFormat="1" ht="18.75" x14ac:dyDescent="0.2">
      <c r="A11" s="415" t="str">
        <f>'1. паспорт местоположение'!A12:C12</f>
        <v>I_3710</v>
      </c>
      <c r="B11" s="415"/>
      <c r="C11" s="415"/>
      <c r="D11" s="415"/>
      <c r="E11" s="415"/>
      <c r="F11" s="415"/>
      <c r="G11" s="415"/>
      <c r="H11" s="415"/>
      <c r="I11" s="415"/>
      <c r="J11" s="415"/>
      <c r="K11" s="415"/>
      <c r="L11" s="415"/>
      <c r="M11" s="415"/>
      <c r="N11" s="415"/>
      <c r="O11" s="415"/>
      <c r="P11" s="415"/>
      <c r="Q11" s="415"/>
      <c r="R11" s="415"/>
      <c r="S11" s="415"/>
      <c r="T11" s="13"/>
      <c r="U11" s="13"/>
      <c r="V11" s="13"/>
      <c r="W11" s="13"/>
      <c r="X11" s="13"/>
      <c r="Y11" s="13"/>
      <c r="Z11" s="13"/>
      <c r="AA11" s="13"/>
      <c r="AB11" s="13"/>
    </row>
    <row r="12" spans="1:28" s="12"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5" t="str">
        <f>'1. паспорт местоположение'!A9:C9</f>
        <v>Акционерное общество "Россети Янтарь"</v>
      </c>
      <c r="B14" s="415"/>
      <c r="C14" s="415"/>
      <c r="D14" s="415"/>
      <c r="E14" s="415"/>
      <c r="F14" s="415"/>
      <c r="G14" s="415"/>
      <c r="H14" s="415"/>
      <c r="I14" s="415"/>
      <c r="J14" s="415"/>
      <c r="K14" s="415"/>
      <c r="L14" s="415"/>
      <c r="M14" s="415"/>
      <c r="N14" s="415"/>
      <c r="O14" s="415"/>
      <c r="P14" s="415"/>
      <c r="Q14" s="415"/>
      <c r="R14" s="415"/>
      <c r="S14" s="415"/>
      <c r="T14" s="8"/>
      <c r="U14" s="8"/>
      <c r="V14" s="8"/>
      <c r="W14" s="8"/>
      <c r="X14" s="8"/>
      <c r="Y14" s="8"/>
      <c r="Z14" s="8"/>
      <c r="AA14" s="8"/>
      <c r="AB14" s="8"/>
    </row>
    <row r="15" spans="1:28" s="3" customFormat="1" ht="15" customHeight="1" x14ac:dyDescent="0.2">
      <c r="A15" s="421" t="str">
        <f>'1. паспорт местоположение'!A15:C15</f>
        <v>Строительство БКТП 15/0,4 кВ, 2-х участков КЛ 15 кВ от БКТП Новой до места врезки в КЛ 15 кВ №14 на ул. Победы в г. Гусеве</v>
      </c>
      <c r="B15" s="419"/>
      <c r="C15" s="419"/>
      <c r="D15" s="419"/>
      <c r="E15" s="419"/>
      <c r="F15" s="419"/>
      <c r="G15" s="419"/>
      <c r="H15" s="419"/>
      <c r="I15" s="419"/>
      <c r="J15" s="419"/>
      <c r="K15" s="419"/>
      <c r="L15" s="419"/>
      <c r="M15" s="419"/>
      <c r="N15" s="419"/>
      <c r="O15" s="419"/>
      <c r="P15" s="419"/>
      <c r="Q15" s="419"/>
      <c r="R15" s="419"/>
      <c r="S15" s="419"/>
      <c r="T15" s="6"/>
      <c r="U15" s="6"/>
      <c r="V15" s="6"/>
      <c r="W15" s="6"/>
      <c r="X15" s="6"/>
      <c r="Y15" s="6"/>
      <c r="Z15" s="6"/>
      <c r="AA15" s="6"/>
      <c r="AB15" s="6"/>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485</v>
      </c>
      <c r="B17" s="423"/>
      <c r="C17" s="423"/>
      <c r="D17" s="423"/>
      <c r="E17" s="423"/>
      <c r="F17" s="423"/>
      <c r="G17" s="423"/>
      <c r="H17" s="423"/>
      <c r="I17" s="423"/>
      <c r="J17" s="423"/>
      <c r="K17" s="423"/>
      <c r="L17" s="423"/>
      <c r="M17" s="423"/>
      <c r="N17" s="423"/>
      <c r="O17" s="423"/>
      <c r="P17" s="423"/>
      <c r="Q17" s="423"/>
      <c r="R17" s="423"/>
      <c r="S17" s="423"/>
      <c r="T17" s="7"/>
      <c r="U17" s="7"/>
      <c r="V17" s="7"/>
      <c r="W17" s="7"/>
      <c r="X17" s="7"/>
      <c r="Y17" s="7"/>
      <c r="Z17" s="7"/>
      <c r="AA17" s="7"/>
      <c r="AB17" s="7"/>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13" t="s">
        <v>3</v>
      </c>
      <c r="B19" s="413" t="s">
        <v>94</v>
      </c>
      <c r="C19" s="416" t="s">
        <v>379</v>
      </c>
      <c r="D19" s="413" t="s">
        <v>378</v>
      </c>
      <c r="E19" s="413" t="s">
        <v>93</v>
      </c>
      <c r="F19" s="413" t="s">
        <v>92</v>
      </c>
      <c r="G19" s="413" t="s">
        <v>374</v>
      </c>
      <c r="H19" s="413" t="s">
        <v>91</v>
      </c>
      <c r="I19" s="413" t="s">
        <v>90</v>
      </c>
      <c r="J19" s="413" t="s">
        <v>89</v>
      </c>
      <c r="K19" s="413" t="s">
        <v>88</v>
      </c>
      <c r="L19" s="413" t="s">
        <v>87</v>
      </c>
      <c r="M19" s="413" t="s">
        <v>86</v>
      </c>
      <c r="N19" s="413" t="s">
        <v>85</v>
      </c>
      <c r="O19" s="413" t="s">
        <v>84</v>
      </c>
      <c r="P19" s="413" t="s">
        <v>83</v>
      </c>
      <c r="Q19" s="413" t="s">
        <v>377</v>
      </c>
      <c r="R19" s="413"/>
      <c r="S19" s="418" t="s">
        <v>479</v>
      </c>
      <c r="T19" s="4"/>
      <c r="U19" s="4"/>
      <c r="V19" s="4"/>
      <c r="W19" s="4"/>
      <c r="X19" s="4"/>
      <c r="Y19" s="4"/>
    </row>
    <row r="20" spans="1:28" s="3" customFormat="1" ht="180.75" customHeight="1" x14ac:dyDescent="0.2">
      <c r="A20" s="413"/>
      <c r="B20" s="413"/>
      <c r="C20" s="417"/>
      <c r="D20" s="413"/>
      <c r="E20" s="413"/>
      <c r="F20" s="413"/>
      <c r="G20" s="413"/>
      <c r="H20" s="413"/>
      <c r="I20" s="413"/>
      <c r="J20" s="413"/>
      <c r="K20" s="413"/>
      <c r="L20" s="413"/>
      <c r="M20" s="413"/>
      <c r="N20" s="413"/>
      <c r="O20" s="413"/>
      <c r="P20" s="413"/>
      <c r="Q20" s="41" t="s">
        <v>375</v>
      </c>
      <c r="R20" s="42" t="s">
        <v>376</v>
      </c>
      <c r="S20" s="418"/>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33" customFormat="1" ht="127.5" x14ac:dyDescent="0.25">
      <c r="A22" s="279">
        <v>1</v>
      </c>
      <c r="B22" s="265" t="s">
        <v>670</v>
      </c>
      <c r="C22" s="265"/>
      <c r="D22" s="265" t="s">
        <v>714</v>
      </c>
      <c r="E22" s="265" t="s">
        <v>671</v>
      </c>
      <c r="F22" s="265" t="s">
        <v>672</v>
      </c>
      <c r="G22" s="265" t="s">
        <v>673</v>
      </c>
      <c r="H22" s="310">
        <v>0.5</v>
      </c>
      <c r="I22" s="265">
        <v>3.5999999999999997E-2</v>
      </c>
      <c r="J22" s="310">
        <v>0.46400000000000002</v>
      </c>
      <c r="K22" s="265" t="s">
        <v>664</v>
      </c>
      <c r="L22" s="311">
        <v>3</v>
      </c>
      <c r="M22" s="265">
        <v>0.63</v>
      </c>
      <c r="N22" s="265">
        <v>1</v>
      </c>
      <c r="O22" s="265"/>
      <c r="P22" s="265"/>
      <c r="Q22" s="342" t="s">
        <v>674</v>
      </c>
      <c r="R22" s="307"/>
      <c r="S22" s="312">
        <v>2.2856717199999999</v>
      </c>
      <c r="T22" s="263"/>
      <c r="U22" s="263"/>
      <c r="V22" s="263"/>
      <c r="W22" s="263"/>
      <c r="X22" s="263"/>
      <c r="Y22" s="263"/>
      <c r="Z22" s="263"/>
      <c r="AA22" s="263"/>
      <c r="AB22" s="263"/>
    </row>
    <row r="23" spans="1:28" ht="20.25" customHeight="1" x14ac:dyDescent="0.25">
      <c r="A23" s="119"/>
      <c r="B23" s="46" t="s">
        <v>372</v>
      </c>
      <c r="C23" s="46"/>
      <c r="D23" s="46"/>
      <c r="E23" s="119" t="s">
        <v>373</v>
      </c>
      <c r="F23" s="119" t="s">
        <v>373</v>
      </c>
      <c r="G23" s="119" t="s">
        <v>373</v>
      </c>
      <c r="H23" s="264">
        <f>SUM(H22:H22)</f>
        <v>0.5</v>
      </c>
      <c r="I23" s="264">
        <f>SUM(I22:I22)</f>
        <v>3.5999999999999997E-2</v>
      </c>
      <c r="J23" s="264">
        <f>SUM(J22:J22)</f>
        <v>0.46400000000000002</v>
      </c>
      <c r="K23" s="119"/>
      <c r="L23" s="119"/>
      <c r="M23" s="119"/>
      <c r="N23" s="119"/>
      <c r="O23" s="119"/>
      <c r="P23" s="119"/>
      <c r="Q23" s="120"/>
      <c r="R23" s="2"/>
      <c r="S23" s="264">
        <f>SUM(S22:S22)</f>
        <v>2.2856717199999999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70" zoomScaleNormal="60" zoomScaleSheetLayoutView="70" workbookViewId="0">
      <selection activeCell="B25" sqref="B25"/>
    </sheetView>
  </sheetViews>
  <sheetFormatPr defaultColWidth="10.7109375" defaultRowHeight="15.75" x14ac:dyDescent="0.25"/>
  <cols>
    <col min="1" max="1" width="9.5703125" style="49" customWidth="1"/>
    <col min="2" max="2" width="11.28515625" style="49" customWidth="1"/>
    <col min="3" max="3" width="10.28515625" style="49" customWidth="1"/>
    <col min="4" max="4" width="17.140625" style="49" customWidth="1"/>
    <col min="5" max="5" width="11.140625" style="49" customWidth="1"/>
    <col min="6" max="6" width="21.28515625"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2023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2"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2" customFormat="1" ht="18.75" customHeight="1" x14ac:dyDescent="0.2">
      <c r="A10" s="415" t="str">
        <f>'1. паспорт местоположение'!A9:C9</f>
        <v>Акционерное общество "Россети Янтарь"</v>
      </c>
      <c r="B10" s="415"/>
      <c r="C10" s="415"/>
      <c r="D10" s="415"/>
      <c r="E10" s="415"/>
      <c r="F10" s="415"/>
      <c r="G10" s="415"/>
      <c r="H10" s="415"/>
      <c r="I10" s="415"/>
      <c r="J10" s="415"/>
      <c r="K10" s="415"/>
      <c r="L10" s="415"/>
      <c r="M10" s="415"/>
      <c r="N10" s="415"/>
      <c r="O10" s="415"/>
      <c r="P10" s="415"/>
      <c r="Q10" s="415"/>
      <c r="R10" s="415"/>
      <c r="S10" s="415"/>
      <c r="T10" s="415"/>
    </row>
    <row r="11" spans="1:20" s="12"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2"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2" customFormat="1" ht="18.75" customHeight="1" x14ac:dyDescent="0.2">
      <c r="A13" s="415" t="str">
        <f>'1. паспорт местоположение'!A12:C12</f>
        <v>I_3710</v>
      </c>
      <c r="B13" s="415"/>
      <c r="C13" s="415"/>
      <c r="D13" s="415"/>
      <c r="E13" s="415"/>
      <c r="F13" s="415"/>
      <c r="G13" s="415"/>
      <c r="H13" s="415"/>
      <c r="I13" s="415"/>
      <c r="J13" s="415"/>
      <c r="K13" s="415"/>
      <c r="L13" s="415"/>
      <c r="M13" s="415"/>
      <c r="N13" s="415"/>
      <c r="O13" s="415"/>
      <c r="P13" s="415"/>
      <c r="Q13" s="415"/>
      <c r="R13" s="415"/>
      <c r="S13" s="415"/>
      <c r="T13" s="415"/>
    </row>
    <row r="14" spans="1:20" s="12"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5" t="str">
        <f>'1. паспорт местоположение'!A15</f>
        <v>Строительство БКТП 15/0,4 кВ, 2-х участков КЛ 15 кВ от БКТП Новой до места врезки в КЛ 15 кВ №14 на ул. Победы в г. Гусеве</v>
      </c>
      <c r="B16" s="415"/>
      <c r="C16" s="415"/>
      <c r="D16" s="415"/>
      <c r="E16" s="415"/>
      <c r="F16" s="415"/>
      <c r="G16" s="415"/>
      <c r="H16" s="415"/>
      <c r="I16" s="415"/>
      <c r="J16" s="415"/>
      <c r="K16" s="415"/>
      <c r="L16" s="415"/>
      <c r="M16" s="415"/>
      <c r="N16" s="415"/>
      <c r="O16" s="415"/>
      <c r="P16" s="415"/>
      <c r="Q16" s="415"/>
      <c r="R16" s="415"/>
      <c r="S16" s="415"/>
      <c r="T16" s="415"/>
    </row>
    <row r="17" spans="1:113" s="3"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9" t="s">
        <v>490</v>
      </c>
      <c r="B19" s="439"/>
      <c r="C19" s="439"/>
      <c r="D19" s="439"/>
      <c r="E19" s="439"/>
      <c r="F19" s="439"/>
      <c r="G19" s="439"/>
      <c r="H19" s="439"/>
      <c r="I19" s="439"/>
      <c r="J19" s="439"/>
      <c r="K19" s="439"/>
      <c r="L19" s="439"/>
      <c r="M19" s="439"/>
      <c r="N19" s="439"/>
      <c r="O19" s="439"/>
      <c r="P19" s="439"/>
      <c r="Q19" s="439"/>
      <c r="R19" s="439"/>
      <c r="S19" s="439"/>
      <c r="T19" s="439"/>
    </row>
    <row r="20" spans="1:113" s="57"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33" t="s">
        <v>3</v>
      </c>
      <c r="B21" s="426" t="s">
        <v>219</v>
      </c>
      <c r="C21" s="427"/>
      <c r="D21" s="430" t="s">
        <v>116</v>
      </c>
      <c r="E21" s="426" t="s">
        <v>519</v>
      </c>
      <c r="F21" s="427"/>
      <c r="G21" s="426" t="s">
        <v>269</v>
      </c>
      <c r="H21" s="427"/>
      <c r="I21" s="426" t="s">
        <v>115</v>
      </c>
      <c r="J21" s="427"/>
      <c r="K21" s="430" t="s">
        <v>114</v>
      </c>
      <c r="L21" s="426" t="s">
        <v>113</v>
      </c>
      <c r="M21" s="427"/>
      <c r="N21" s="426" t="s">
        <v>515</v>
      </c>
      <c r="O21" s="427"/>
      <c r="P21" s="430" t="s">
        <v>112</v>
      </c>
      <c r="Q21" s="436" t="s">
        <v>111</v>
      </c>
      <c r="R21" s="437"/>
      <c r="S21" s="436" t="s">
        <v>110</v>
      </c>
      <c r="T21" s="438"/>
    </row>
    <row r="22" spans="1:113" ht="204.75" customHeight="1" x14ac:dyDescent="0.25">
      <c r="A22" s="434"/>
      <c r="B22" s="428"/>
      <c r="C22" s="429"/>
      <c r="D22" s="432"/>
      <c r="E22" s="428"/>
      <c r="F22" s="429"/>
      <c r="G22" s="428"/>
      <c r="H22" s="429"/>
      <c r="I22" s="428"/>
      <c r="J22" s="429"/>
      <c r="K22" s="431"/>
      <c r="L22" s="428"/>
      <c r="M22" s="429"/>
      <c r="N22" s="428"/>
      <c r="O22" s="429"/>
      <c r="P22" s="431"/>
      <c r="Q22" s="110" t="s">
        <v>109</v>
      </c>
      <c r="R22" s="110" t="s">
        <v>489</v>
      </c>
      <c r="S22" s="110" t="s">
        <v>108</v>
      </c>
      <c r="T22" s="110" t="s">
        <v>107</v>
      </c>
    </row>
    <row r="23" spans="1:113" ht="51.75" customHeight="1" x14ac:dyDescent="0.25">
      <c r="A23" s="435"/>
      <c r="B23" s="159" t="s">
        <v>105</v>
      </c>
      <c r="C23" s="159" t="s">
        <v>106</v>
      </c>
      <c r="D23" s="431"/>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customHeight="1" x14ac:dyDescent="0.25">
      <c r="A25" s="58">
        <v>1</v>
      </c>
      <c r="B25" s="58" t="s">
        <v>711</v>
      </c>
      <c r="C25" s="58" t="s">
        <v>711</v>
      </c>
      <c r="D25" s="341" t="s">
        <v>101</v>
      </c>
      <c r="E25" s="58" t="s">
        <v>665</v>
      </c>
      <c r="F25" s="58" t="s">
        <v>665</v>
      </c>
      <c r="G25" s="58" t="s">
        <v>666</v>
      </c>
      <c r="H25" s="58" t="s">
        <v>666</v>
      </c>
      <c r="I25" s="58" t="s">
        <v>373</v>
      </c>
      <c r="J25" s="58">
        <v>2022</v>
      </c>
      <c r="K25" s="58" t="s">
        <v>373</v>
      </c>
      <c r="L25" s="58">
        <v>15</v>
      </c>
      <c r="M25" s="58">
        <v>15</v>
      </c>
      <c r="N25" s="58">
        <v>0.4</v>
      </c>
      <c r="O25" s="58">
        <v>0.63</v>
      </c>
      <c r="P25" s="58" t="s">
        <v>373</v>
      </c>
      <c r="Q25" s="58" t="s">
        <v>373</v>
      </c>
      <c r="R25" s="58" t="s">
        <v>373</v>
      </c>
      <c r="S25" s="58" t="s">
        <v>373</v>
      </c>
      <c r="T25" s="58" t="s">
        <v>373</v>
      </c>
    </row>
    <row r="26" spans="1:113" ht="3" customHeight="1" x14ac:dyDescent="0.25">
      <c r="P26" s="49">
        <f>O25-N25</f>
        <v>0.22999999999999998</v>
      </c>
    </row>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25" t="s">
        <v>525</v>
      </c>
      <c r="C29" s="425"/>
      <c r="D29" s="425"/>
      <c r="E29" s="425"/>
      <c r="F29" s="425"/>
      <c r="G29" s="425"/>
      <c r="H29" s="425"/>
      <c r="I29" s="425"/>
      <c r="J29" s="425"/>
      <c r="K29" s="425"/>
      <c r="L29" s="425"/>
      <c r="M29" s="425"/>
      <c r="N29" s="425"/>
      <c r="O29" s="425"/>
      <c r="P29" s="425"/>
      <c r="Q29" s="425"/>
      <c r="R29" s="42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4" zoomScale="80" zoomScaleSheetLayoutView="80" workbookViewId="0">
      <selection activeCell="A25" sqref="A25:XFD25"/>
    </sheetView>
  </sheetViews>
  <sheetFormatPr defaultColWidth="10.7109375" defaultRowHeight="15.75" x14ac:dyDescent="0.25"/>
  <cols>
    <col min="1" max="1" width="10.7109375" style="49"/>
    <col min="2" max="3" width="19.42578125" style="49" customWidth="1"/>
    <col min="4" max="4" width="11.5703125" style="49" customWidth="1"/>
    <col min="5" max="5" width="29.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5" t="str">
        <f>'1. паспорт местоположение'!A9</f>
        <v>Акционерное общество "Россети Янтарь"</v>
      </c>
      <c r="F9" s="415"/>
      <c r="G9" s="415"/>
      <c r="H9" s="415"/>
      <c r="I9" s="415"/>
      <c r="J9" s="415"/>
      <c r="K9" s="415"/>
      <c r="L9" s="415"/>
      <c r="M9" s="415"/>
      <c r="N9" s="415"/>
      <c r="O9" s="415"/>
      <c r="P9" s="415"/>
      <c r="Q9" s="415"/>
      <c r="R9" s="415"/>
      <c r="S9" s="415"/>
      <c r="T9" s="415"/>
      <c r="U9" s="415"/>
      <c r="V9" s="415"/>
      <c r="W9" s="415"/>
      <c r="X9" s="415"/>
      <c r="Y9" s="415"/>
    </row>
    <row r="10" spans="1:27" s="12" customFormat="1" ht="18.75" customHeigh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5" t="str">
        <f>'1. паспорт местоположение'!A12</f>
        <v>I_3710</v>
      </c>
      <c r="F12" s="415"/>
      <c r="G12" s="415"/>
      <c r="H12" s="415"/>
      <c r="I12" s="415"/>
      <c r="J12" s="415"/>
      <c r="K12" s="415"/>
      <c r="L12" s="415"/>
      <c r="M12" s="415"/>
      <c r="N12" s="415"/>
      <c r="O12" s="415"/>
      <c r="P12" s="415"/>
      <c r="Q12" s="415"/>
      <c r="R12" s="415"/>
      <c r="S12" s="415"/>
      <c r="T12" s="415"/>
      <c r="U12" s="415"/>
      <c r="V12" s="415"/>
      <c r="W12" s="415"/>
      <c r="X12" s="415"/>
      <c r="Y12" s="415"/>
    </row>
    <row r="13" spans="1:27" s="12" customFormat="1" ht="18.75" customHeigh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5" t="str">
        <f>'1. паспорт местоположение'!A15</f>
        <v>Строительство БКТП 15/0,4 кВ, 2-х участков КЛ 15 кВ от БКТП Новой до места врезки в КЛ 15 кВ №14 на ул. Победы в г. Гусеве</v>
      </c>
      <c r="F15" s="415"/>
      <c r="G15" s="415"/>
      <c r="H15" s="415"/>
      <c r="I15" s="415"/>
      <c r="J15" s="415"/>
      <c r="K15" s="415"/>
      <c r="L15" s="415"/>
      <c r="M15" s="415"/>
      <c r="N15" s="415"/>
      <c r="O15" s="415"/>
      <c r="P15" s="415"/>
      <c r="Q15" s="415"/>
      <c r="R15" s="415"/>
      <c r="S15" s="415"/>
      <c r="T15" s="415"/>
      <c r="U15" s="415"/>
      <c r="V15" s="415"/>
      <c r="W15" s="415"/>
      <c r="X15" s="415"/>
      <c r="Y15" s="415"/>
    </row>
    <row r="16" spans="1:27" s="3" customFormat="1" ht="15" customHeigh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492</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7" customFormat="1" ht="21" customHeight="1" x14ac:dyDescent="0.25"/>
    <row r="21" spans="1:27" ht="15.75" customHeight="1" x14ac:dyDescent="0.25">
      <c r="A21" s="445" t="s">
        <v>3</v>
      </c>
      <c r="B21" s="441" t="s">
        <v>499</v>
      </c>
      <c r="C21" s="442"/>
      <c r="D21" s="441" t="s">
        <v>501</v>
      </c>
      <c r="E21" s="442"/>
      <c r="F21" s="436" t="s">
        <v>88</v>
      </c>
      <c r="G21" s="438"/>
      <c r="H21" s="438"/>
      <c r="I21" s="437"/>
      <c r="J21" s="445" t="s">
        <v>502</v>
      </c>
      <c r="K21" s="441" t="s">
        <v>503</v>
      </c>
      <c r="L21" s="442"/>
      <c r="M21" s="441" t="s">
        <v>504</v>
      </c>
      <c r="N21" s="442"/>
      <c r="O21" s="441" t="s">
        <v>491</v>
      </c>
      <c r="P21" s="442"/>
      <c r="Q21" s="441" t="s">
        <v>121</v>
      </c>
      <c r="R21" s="442"/>
      <c r="S21" s="445" t="s">
        <v>120</v>
      </c>
      <c r="T21" s="445" t="s">
        <v>505</v>
      </c>
      <c r="U21" s="445" t="s">
        <v>500</v>
      </c>
      <c r="V21" s="441" t="s">
        <v>119</v>
      </c>
      <c r="W21" s="442"/>
      <c r="X21" s="436" t="s">
        <v>111</v>
      </c>
      <c r="Y21" s="438"/>
      <c r="Z21" s="436" t="s">
        <v>110</v>
      </c>
      <c r="AA21" s="438"/>
    </row>
    <row r="22" spans="1:27" ht="216" customHeight="1" x14ac:dyDescent="0.25">
      <c r="A22" s="447"/>
      <c r="B22" s="443"/>
      <c r="C22" s="444"/>
      <c r="D22" s="443"/>
      <c r="E22" s="444"/>
      <c r="F22" s="436" t="s">
        <v>118</v>
      </c>
      <c r="G22" s="437"/>
      <c r="H22" s="436" t="s">
        <v>117</v>
      </c>
      <c r="I22" s="437"/>
      <c r="J22" s="446"/>
      <c r="K22" s="443"/>
      <c r="L22" s="444"/>
      <c r="M22" s="443"/>
      <c r="N22" s="444"/>
      <c r="O22" s="443"/>
      <c r="P22" s="444"/>
      <c r="Q22" s="443"/>
      <c r="R22" s="444"/>
      <c r="S22" s="446"/>
      <c r="T22" s="446"/>
      <c r="U22" s="446"/>
      <c r="V22" s="443"/>
      <c r="W22" s="444"/>
      <c r="X22" s="110" t="s">
        <v>109</v>
      </c>
      <c r="Y22" s="110" t="s">
        <v>489</v>
      </c>
      <c r="Z22" s="110" t="s">
        <v>108</v>
      </c>
      <c r="AA22" s="110" t="s">
        <v>107</v>
      </c>
    </row>
    <row r="23" spans="1:27" ht="60" customHeight="1" x14ac:dyDescent="0.25">
      <c r="A23" s="446"/>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4" customFormat="1" x14ac:dyDescent="0.25">
      <c r="A25" s="344"/>
      <c r="B25" s="345"/>
      <c r="C25" s="345"/>
      <c r="D25" s="344"/>
      <c r="E25" s="330"/>
      <c r="F25" s="330"/>
      <c r="G25" s="330"/>
      <c r="H25" s="330"/>
      <c r="I25" s="330"/>
      <c r="J25" s="330"/>
      <c r="K25" s="330"/>
      <c r="L25" s="330"/>
      <c r="M25" s="330"/>
      <c r="N25" s="330"/>
      <c r="O25" s="330"/>
      <c r="P25" s="330"/>
      <c r="Q25" s="330"/>
      <c r="R25" s="330"/>
      <c r="S25" s="330"/>
      <c r="T25" s="330"/>
      <c r="U25" s="330"/>
      <c r="V25" s="330"/>
      <c r="W25" s="330"/>
      <c r="X25" s="329"/>
      <c r="Y25" s="329"/>
      <c r="Z25" s="329"/>
      <c r="AA25" s="329"/>
    </row>
    <row r="26" spans="1:27" x14ac:dyDescent="0.25">
      <c r="R26" s="49">
        <f>SUM(R25:R25)</f>
        <v>0</v>
      </c>
    </row>
  </sheetData>
  <mergeCells count="27">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5" sqref="C3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2023 год</v>
      </c>
      <c r="B5" s="405"/>
      <c r="C5" s="40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4" t="s">
        <v>7</v>
      </c>
      <c r="B7" s="414"/>
      <c r="C7" s="414"/>
      <c r="D7" s="13"/>
      <c r="E7" s="13"/>
      <c r="F7" s="13"/>
      <c r="G7" s="13"/>
      <c r="H7" s="13"/>
      <c r="I7" s="13"/>
      <c r="J7" s="13"/>
      <c r="K7" s="13"/>
      <c r="L7" s="13"/>
      <c r="M7" s="13"/>
      <c r="N7" s="13"/>
      <c r="O7" s="13"/>
      <c r="P7" s="13"/>
      <c r="Q7" s="13"/>
      <c r="R7" s="13"/>
      <c r="S7" s="13"/>
      <c r="T7" s="13"/>
      <c r="U7" s="13"/>
    </row>
    <row r="8" spans="1:29" s="12" customFormat="1" ht="18.75" x14ac:dyDescent="0.2">
      <c r="A8" s="414"/>
      <c r="B8" s="414"/>
      <c r="C8" s="414"/>
      <c r="D8" s="14"/>
      <c r="E8" s="14"/>
      <c r="F8" s="14"/>
      <c r="G8" s="14"/>
      <c r="H8" s="13"/>
      <c r="I8" s="13"/>
      <c r="J8" s="13"/>
      <c r="K8" s="13"/>
      <c r="L8" s="13"/>
      <c r="M8" s="13"/>
      <c r="N8" s="13"/>
      <c r="O8" s="13"/>
      <c r="P8" s="13"/>
      <c r="Q8" s="13"/>
      <c r="R8" s="13"/>
      <c r="S8" s="13"/>
      <c r="T8" s="13"/>
      <c r="U8" s="13"/>
    </row>
    <row r="9" spans="1:29" s="12" customFormat="1" ht="18.75" x14ac:dyDescent="0.2">
      <c r="A9" s="415" t="str">
        <f>'1. паспорт местоположение'!A9:C9</f>
        <v>Акционерное общество "Россети Янтарь"</v>
      </c>
      <c r="B9" s="415"/>
      <c r="C9" s="415"/>
      <c r="D9" s="8"/>
      <c r="E9" s="8"/>
      <c r="F9" s="8"/>
      <c r="G9" s="8"/>
      <c r="H9" s="13"/>
      <c r="I9" s="13"/>
      <c r="J9" s="13"/>
      <c r="K9" s="13"/>
      <c r="L9" s="13"/>
      <c r="M9" s="13"/>
      <c r="N9" s="13"/>
      <c r="O9" s="13"/>
      <c r="P9" s="13"/>
      <c r="Q9" s="13"/>
      <c r="R9" s="13"/>
      <c r="S9" s="13"/>
      <c r="T9" s="13"/>
      <c r="U9" s="13"/>
    </row>
    <row r="10" spans="1:29" s="12" customFormat="1" ht="18.75" x14ac:dyDescent="0.2">
      <c r="A10" s="419" t="s">
        <v>6</v>
      </c>
      <c r="B10" s="419"/>
      <c r="C10" s="419"/>
      <c r="D10" s="6"/>
      <c r="E10" s="6"/>
      <c r="F10" s="6"/>
      <c r="G10" s="6"/>
      <c r="H10" s="13"/>
      <c r="I10" s="13"/>
      <c r="J10" s="13"/>
      <c r="K10" s="13"/>
      <c r="L10" s="13"/>
      <c r="M10" s="13"/>
      <c r="N10" s="13"/>
      <c r="O10" s="13"/>
      <c r="P10" s="13"/>
      <c r="Q10" s="13"/>
      <c r="R10" s="13"/>
      <c r="S10" s="13"/>
      <c r="T10" s="13"/>
      <c r="U10" s="13"/>
    </row>
    <row r="11" spans="1:29" s="12" customFormat="1" ht="18.75" x14ac:dyDescent="0.2">
      <c r="A11" s="414"/>
      <c r="B11" s="414"/>
      <c r="C11" s="414"/>
      <c r="D11" s="14"/>
      <c r="E11" s="14"/>
      <c r="F11" s="14"/>
      <c r="G11" s="14"/>
      <c r="H11" s="13"/>
      <c r="I11" s="13"/>
      <c r="J11" s="13"/>
      <c r="K11" s="13"/>
      <c r="L11" s="13"/>
      <c r="M11" s="13"/>
      <c r="N11" s="13"/>
      <c r="O11" s="13"/>
      <c r="P11" s="13"/>
      <c r="Q11" s="13"/>
      <c r="R11" s="13"/>
      <c r="S11" s="13"/>
      <c r="T11" s="13"/>
      <c r="U11" s="13"/>
    </row>
    <row r="12" spans="1:29" s="12" customFormat="1" ht="18.75" x14ac:dyDescent="0.2">
      <c r="A12" s="415" t="str">
        <f>'1. паспорт местоположение'!A12:C12</f>
        <v>I_3710</v>
      </c>
      <c r="B12" s="415"/>
      <c r="C12" s="415"/>
      <c r="D12" s="8"/>
      <c r="E12" s="8"/>
      <c r="F12" s="8"/>
      <c r="G12" s="8"/>
      <c r="H12" s="13"/>
      <c r="I12" s="13"/>
      <c r="J12" s="13"/>
      <c r="K12" s="13"/>
      <c r="L12" s="13"/>
      <c r="M12" s="13"/>
      <c r="N12" s="13"/>
      <c r="O12" s="13"/>
      <c r="P12" s="13"/>
      <c r="Q12" s="13"/>
      <c r="R12" s="13"/>
      <c r="S12" s="13"/>
      <c r="T12" s="13"/>
      <c r="U12" s="13"/>
    </row>
    <row r="13" spans="1:29" s="12" customFormat="1" ht="18.75" x14ac:dyDescent="0.2">
      <c r="A13" s="419" t="s">
        <v>5</v>
      </c>
      <c r="B13" s="419"/>
      <c r="C13" s="4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48" customHeight="1" x14ac:dyDescent="0.2">
      <c r="A15" s="448" t="str">
        <f>'1. паспорт местоположение'!A15</f>
        <v>Строительство БКТП 15/0,4 кВ, 2-х участков КЛ 15 кВ от БКТП Новой до места врезки в КЛ 15 кВ №14 на ул. Победы в г. Гусеве</v>
      </c>
      <c r="B15" s="448"/>
      <c r="C15" s="448"/>
      <c r="D15" s="8"/>
      <c r="E15" s="8"/>
      <c r="F15" s="8"/>
      <c r="G15" s="8"/>
      <c r="H15" s="8"/>
      <c r="I15" s="8"/>
      <c r="J15" s="8"/>
      <c r="K15" s="8"/>
      <c r="L15" s="8"/>
      <c r="M15" s="8"/>
      <c r="N15" s="8"/>
      <c r="O15" s="8"/>
      <c r="P15" s="8"/>
      <c r="Q15" s="8"/>
      <c r="R15" s="8"/>
      <c r="S15" s="8"/>
      <c r="T15" s="8"/>
      <c r="U15" s="8"/>
    </row>
    <row r="16" spans="1:29" s="3" customFormat="1" ht="15" customHeight="1" x14ac:dyDescent="0.2">
      <c r="A16" s="419" t="s">
        <v>4</v>
      </c>
      <c r="B16" s="419"/>
      <c r="C16" s="419"/>
      <c r="D16" s="6"/>
      <c r="E16" s="6"/>
      <c r="F16" s="6"/>
      <c r="G16" s="6"/>
      <c r="H16" s="6"/>
      <c r="I16" s="6"/>
      <c r="J16" s="6"/>
      <c r="K16" s="6"/>
      <c r="L16" s="6"/>
      <c r="M16" s="6"/>
      <c r="N16" s="6"/>
      <c r="O16" s="6"/>
      <c r="P16" s="6"/>
      <c r="Q16" s="6"/>
      <c r="R16" s="6"/>
      <c r="S16" s="6"/>
      <c r="T16" s="6"/>
      <c r="U16" s="6"/>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484</v>
      </c>
      <c r="B18" s="423"/>
      <c r="C18" s="42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3" t="s">
        <v>641</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517</v>
      </c>
      <c r="C24" s="29" t="s">
        <v>712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2" t="s">
        <v>713</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640</v>
      </c>
      <c r="D26" s="27"/>
      <c r="E26" s="27"/>
      <c r="F26" s="27"/>
      <c r="G26" s="27"/>
      <c r="H26" s="27"/>
      <c r="I26" s="27"/>
      <c r="J26" s="27"/>
      <c r="K26" s="27"/>
      <c r="L26" s="27"/>
      <c r="M26" s="27"/>
      <c r="N26" s="27"/>
      <c r="O26" s="27"/>
      <c r="P26" s="27"/>
      <c r="Q26" s="27"/>
      <c r="R26" s="27"/>
      <c r="S26" s="27"/>
      <c r="T26" s="27"/>
      <c r="U26" s="27"/>
    </row>
    <row r="27" spans="1:21" ht="47.25" x14ac:dyDescent="0.25">
      <c r="A27" s="28" t="s">
        <v>56</v>
      </c>
      <c r="B27" s="30" t="s">
        <v>498</v>
      </c>
      <c r="C27" s="343" t="s">
        <v>675</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54"/>
      <c r="AB6" s="15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54"/>
      <c r="AB7" s="154"/>
    </row>
    <row r="8" spans="1:28" x14ac:dyDescent="0.25">
      <c r="A8" s="415" t="str">
        <f>'1. паспорт местоположение'!A9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155"/>
      <c r="AB8" s="155"/>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56"/>
      <c r="AB9" s="156"/>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54"/>
      <c r="AB10" s="154"/>
    </row>
    <row r="11" spans="1:28" x14ac:dyDescent="0.25">
      <c r="A11" s="415" t="str">
        <f>'1. паспорт местоположение'!A12:C12</f>
        <v>I_3710</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155"/>
      <c r="AB11" s="155"/>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5" t="str">
        <f>'1. паспорт местоположение'!A15</f>
        <v>Строительство БКТП 15/0,4 кВ, 2-х участков КЛ 15 кВ от БКТП Новой до места врезки в КЛ 15 кВ №14 на ул. Победы в г. Гусеве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55"/>
      <c r="AB14" s="155"/>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56"/>
      <c r="AB15" s="15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65"/>
      <c r="AB20" s="16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65"/>
      <c r="AB21" s="165"/>
    </row>
    <row r="22" spans="1:28" x14ac:dyDescent="0.25">
      <c r="A22" s="450" t="s">
        <v>516</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66"/>
      <c r="AB22" s="166"/>
    </row>
    <row r="23" spans="1:28" ht="32.25" customHeight="1" x14ac:dyDescent="0.25">
      <c r="A23" s="452" t="s">
        <v>370</v>
      </c>
      <c r="B23" s="453"/>
      <c r="C23" s="453"/>
      <c r="D23" s="453"/>
      <c r="E23" s="453"/>
      <c r="F23" s="453"/>
      <c r="G23" s="453"/>
      <c r="H23" s="453"/>
      <c r="I23" s="453"/>
      <c r="J23" s="453"/>
      <c r="K23" s="453"/>
      <c r="L23" s="454"/>
      <c r="M23" s="451" t="s">
        <v>371</v>
      </c>
      <c r="N23" s="451"/>
      <c r="O23" s="451"/>
      <c r="P23" s="451"/>
      <c r="Q23" s="451"/>
      <c r="R23" s="451"/>
      <c r="S23" s="451"/>
      <c r="T23" s="451"/>
      <c r="U23" s="451"/>
      <c r="V23" s="451"/>
      <c r="W23" s="451"/>
      <c r="X23" s="451"/>
      <c r="Y23" s="451"/>
      <c r="Z23" s="451"/>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U44" sqref="U4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163"/>
      <c r="O5" s="163"/>
      <c r="P5" s="163"/>
      <c r="Q5" s="163"/>
      <c r="R5" s="163"/>
      <c r="S5" s="163"/>
      <c r="T5" s="163"/>
      <c r="U5" s="163"/>
      <c r="V5" s="163"/>
      <c r="W5" s="163"/>
      <c r="X5" s="163"/>
      <c r="Y5" s="163"/>
      <c r="Z5" s="163"/>
    </row>
    <row r="6" spans="1:26" s="12" customFormat="1" ht="18.75" x14ac:dyDescent="0.3">
      <c r="A6" s="17"/>
      <c r="B6" s="17"/>
      <c r="L6" s="15"/>
    </row>
    <row r="7" spans="1:26" s="12" customFormat="1" ht="18.75" x14ac:dyDescent="0.2">
      <c r="A7" s="414" t="s">
        <v>7</v>
      </c>
      <c r="B7" s="414"/>
      <c r="C7" s="414"/>
      <c r="D7" s="414"/>
      <c r="E7" s="414"/>
      <c r="F7" s="414"/>
      <c r="G7" s="414"/>
      <c r="H7" s="414"/>
      <c r="I7" s="414"/>
      <c r="J7" s="414"/>
      <c r="K7" s="414"/>
      <c r="L7" s="414"/>
      <c r="M7" s="414"/>
      <c r="N7" s="13"/>
      <c r="O7" s="13"/>
      <c r="P7" s="13"/>
      <c r="Q7" s="13"/>
      <c r="R7" s="13"/>
      <c r="S7" s="13"/>
      <c r="T7" s="13"/>
      <c r="U7" s="13"/>
      <c r="V7" s="13"/>
      <c r="W7" s="13"/>
      <c r="X7" s="13"/>
    </row>
    <row r="8" spans="1:26" s="12" customFormat="1" ht="18.75" x14ac:dyDescent="0.2">
      <c r="A8" s="414"/>
      <c r="B8" s="414"/>
      <c r="C8" s="414"/>
      <c r="D8" s="414"/>
      <c r="E8" s="414"/>
      <c r="F8" s="414"/>
      <c r="G8" s="414"/>
      <c r="H8" s="414"/>
      <c r="I8" s="414"/>
      <c r="J8" s="414"/>
      <c r="K8" s="414"/>
      <c r="L8" s="414"/>
      <c r="M8" s="414"/>
      <c r="N8" s="13"/>
      <c r="O8" s="13"/>
      <c r="P8" s="13"/>
      <c r="Q8" s="13"/>
      <c r="R8" s="13"/>
      <c r="S8" s="13"/>
      <c r="T8" s="13"/>
      <c r="U8" s="13"/>
      <c r="V8" s="13"/>
      <c r="W8" s="13"/>
      <c r="X8" s="13"/>
    </row>
    <row r="9" spans="1:26" s="12" customFormat="1" ht="18.75" x14ac:dyDescent="0.2">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13"/>
      <c r="O9" s="13"/>
      <c r="P9" s="13"/>
      <c r="Q9" s="13"/>
      <c r="R9" s="13"/>
      <c r="S9" s="13"/>
      <c r="T9" s="13"/>
      <c r="U9" s="13"/>
      <c r="V9" s="13"/>
      <c r="W9" s="13"/>
      <c r="X9" s="13"/>
    </row>
    <row r="10" spans="1:26" s="12" customFormat="1" ht="18.75" x14ac:dyDescent="0.2">
      <c r="A10" s="419" t="s">
        <v>6</v>
      </c>
      <c r="B10" s="419"/>
      <c r="C10" s="419"/>
      <c r="D10" s="419"/>
      <c r="E10" s="419"/>
      <c r="F10" s="419"/>
      <c r="G10" s="419"/>
      <c r="H10" s="419"/>
      <c r="I10" s="419"/>
      <c r="J10" s="419"/>
      <c r="K10" s="419"/>
      <c r="L10" s="419"/>
      <c r="M10" s="419"/>
      <c r="N10" s="13"/>
      <c r="O10" s="13"/>
      <c r="P10" s="13"/>
      <c r="Q10" s="13"/>
      <c r="R10" s="13"/>
      <c r="S10" s="13"/>
      <c r="T10" s="13"/>
      <c r="U10" s="13"/>
      <c r="V10" s="13"/>
      <c r="W10" s="13"/>
      <c r="X10" s="13"/>
    </row>
    <row r="11" spans="1:26" s="12" customFormat="1" ht="18.75" x14ac:dyDescent="0.2">
      <c r="A11" s="414"/>
      <c r="B11" s="414"/>
      <c r="C11" s="414"/>
      <c r="D11" s="414"/>
      <c r="E11" s="414"/>
      <c r="F11" s="414"/>
      <c r="G11" s="414"/>
      <c r="H11" s="414"/>
      <c r="I11" s="414"/>
      <c r="J11" s="414"/>
      <c r="K11" s="414"/>
      <c r="L11" s="414"/>
      <c r="M11" s="414"/>
      <c r="N11" s="13"/>
      <c r="O11" s="13"/>
      <c r="P11" s="13"/>
      <c r="Q11" s="13"/>
      <c r="R11" s="13"/>
      <c r="S11" s="13"/>
      <c r="T11" s="13"/>
      <c r="U11" s="13"/>
      <c r="V11" s="13"/>
      <c r="W11" s="13"/>
      <c r="X11" s="13"/>
    </row>
    <row r="12" spans="1:26" s="12" customFormat="1" ht="18.75" x14ac:dyDescent="0.2">
      <c r="A12" s="415" t="str">
        <f>'1. паспорт местоположение'!A12:C12</f>
        <v>I_3710</v>
      </c>
      <c r="B12" s="415"/>
      <c r="C12" s="415"/>
      <c r="D12" s="415"/>
      <c r="E12" s="415"/>
      <c r="F12" s="415"/>
      <c r="G12" s="415"/>
      <c r="H12" s="415"/>
      <c r="I12" s="415"/>
      <c r="J12" s="415"/>
      <c r="K12" s="415"/>
      <c r="L12" s="415"/>
      <c r="M12" s="415"/>
      <c r="N12" s="13"/>
      <c r="O12" s="13"/>
      <c r="P12" s="13"/>
      <c r="Q12" s="13"/>
      <c r="R12" s="13"/>
      <c r="S12" s="13"/>
      <c r="T12" s="13"/>
      <c r="U12" s="13"/>
      <c r="V12" s="13"/>
      <c r="W12" s="13"/>
      <c r="X12" s="13"/>
    </row>
    <row r="13" spans="1:26" s="12" customFormat="1" ht="18.75" x14ac:dyDescent="0.2">
      <c r="A13" s="419" t="s">
        <v>5</v>
      </c>
      <c r="B13" s="419"/>
      <c r="C13" s="419"/>
      <c r="D13" s="419"/>
      <c r="E13" s="419"/>
      <c r="F13" s="419"/>
      <c r="G13" s="419"/>
      <c r="H13" s="419"/>
      <c r="I13" s="419"/>
      <c r="J13" s="419"/>
      <c r="K13" s="419"/>
      <c r="L13" s="419"/>
      <c r="M13" s="419"/>
      <c r="N13" s="13"/>
      <c r="O13" s="13"/>
      <c r="P13" s="13"/>
      <c r="Q13" s="13"/>
      <c r="R13" s="13"/>
      <c r="S13" s="13"/>
      <c r="T13" s="13"/>
      <c r="U13" s="13"/>
      <c r="V13" s="13"/>
      <c r="W13" s="13"/>
      <c r="X13" s="13"/>
    </row>
    <row r="14" spans="1:26" s="9" customFormat="1" ht="15.75" customHeight="1" x14ac:dyDescent="0.2">
      <c r="A14" s="420"/>
      <c r="B14" s="420"/>
      <c r="C14" s="420"/>
      <c r="D14" s="420"/>
      <c r="E14" s="420"/>
      <c r="F14" s="420"/>
      <c r="G14" s="420"/>
      <c r="H14" s="420"/>
      <c r="I14" s="420"/>
      <c r="J14" s="420"/>
      <c r="K14" s="420"/>
      <c r="L14" s="420"/>
      <c r="M14" s="420"/>
      <c r="N14" s="10"/>
      <c r="O14" s="10"/>
      <c r="P14" s="10"/>
      <c r="Q14" s="10"/>
      <c r="R14" s="10"/>
      <c r="S14" s="10"/>
      <c r="T14" s="10"/>
      <c r="U14" s="10"/>
      <c r="V14" s="10"/>
      <c r="W14" s="10"/>
      <c r="X14" s="10"/>
    </row>
    <row r="15" spans="1:26" s="3" customFormat="1" ht="12" x14ac:dyDescent="0.2">
      <c r="A15" s="415" t="str">
        <f>'1. паспорт местоположение'!A15</f>
        <v>Строительство БКТП 15/0,4 кВ, 2-х участков КЛ 15 кВ от БКТП Новой до места врезки в КЛ 15 кВ №14 на ул. Победы в г. Гусеве</v>
      </c>
      <c r="B15" s="415"/>
      <c r="C15" s="415"/>
      <c r="D15" s="415"/>
      <c r="E15" s="415"/>
      <c r="F15" s="415"/>
      <c r="G15" s="415"/>
      <c r="H15" s="415"/>
      <c r="I15" s="415"/>
      <c r="J15" s="415"/>
      <c r="K15" s="415"/>
      <c r="L15" s="415"/>
      <c r="M15" s="415"/>
      <c r="N15" s="8"/>
      <c r="O15" s="8"/>
      <c r="P15" s="8"/>
      <c r="Q15" s="8"/>
      <c r="R15" s="8"/>
      <c r="S15" s="8"/>
      <c r="T15" s="8"/>
      <c r="U15" s="8"/>
      <c r="V15" s="8"/>
      <c r="W15" s="8"/>
      <c r="X15" s="8"/>
    </row>
    <row r="16" spans="1:26" s="3" customFormat="1" ht="15" customHeight="1" x14ac:dyDescent="0.2">
      <c r="A16" s="419" t="s">
        <v>4</v>
      </c>
      <c r="B16" s="419"/>
      <c r="C16" s="419"/>
      <c r="D16" s="419"/>
      <c r="E16" s="419"/>
      <c r="F16" s="419"/>
      <c r="G16" s="419"/>
      <c r="H16" s="419"/>
      <c r="I16" s="419"/>
      <c r="J16" s="419"/>
      <c r="K16" s="419"/>
      <c r="L16" s="419"/>
      <c r="M16" s="419"/>
      <c r="N16" s="6"/>
      <c r="O16" s="6"/>
      <c r="P16" s="6"/>
      <c r="Q16" s="6"/>
      <c r="R16" s="6"/>
      <c r="S16" s="6"/>
      <c r="T16" s="6"/>
      <c r="U16" s="6"/>
      <c r="V16" s="6"/>
      <c r="W16" s="6"/>
      <c r="X16" s="6"/>
    </row>
    <row r="17" spans="1:24" s="3" customFormat="1" ht="15" customHeight="1" x14ac:dyDescent="0.2">
      <c r="A17" s="422"/>
      <c r="B17" s="422"/>
      <c r="C17" s="422"/>
      <c r="D17" s="422"/>
      <c r="E17" s="422"/>
      <c r="F17" s="422"/>
      <c r="G17" s="422"/>
      <c r="H17" s="422"/>
      <c r="I17" s="422"/>
      <c r="J17" s="422"/>
      <c r="K17" s="422"/>
      <c r="L17" s="422"/>
      <c r="M17" s="422"/>
      <c r="N17" s="4"/>
      <c r="O17" s="4"/>
      <c r="P17" s="4"/>
      <c r="Q17" s="4"/>
      <c r="R17" s="4"/>
      <c r="S17" s="4"/>
      <c r="T17" s="4"/>
      <c r="U17" s="4"/>
    </row>
    <row r="18" spans="1:24" s="3" customFormat="1" ht="91.5" customHeight="1" x14ac:dyDescent="0.2">
      <c r="A18" s="456" t="s">
        <v>493</v>
      </c>
      <c r="B18" s="456"/>
      <c r="C18" s="456"/>
      <c r="D18" s="456"/>
      <c r="E18" s="456"/>
      <c r="F18" s="456"/>
      <c r="G18" s="456"/>
      <c r="H18" s="456"/>
      <c r="I18" s="456"/>
      <c r="J18" s="456"/>
      <c r="K18" s="456"/>
      <c r="L18" s="456"/>
      <c r="M18" s="456"/>
      <c r="N18" s="7"/>
      <c r="O18" s="7"/>
      <c r="P18" s="7"/>
      <c r="Q18" s="7"/>
      <c r="R18" s="7"/>
      <c r="S18" s="7"/>
      <c r="T18" s="7"/>
      <c r="U18" s="7"/>
      <c r="V18" s="7"/>
      <c r="W18" s="7"/>
      <c r="X18" s="7"/>
    </row>
    <row r="19" spans="1:24" s="3" customFormat="1" ht="78" customHeight="1" x14ac:dyDescent="0.2">
      <c r="A19" s="413" t="s">
        <v>3</v>
      </c>
      <c r="B19" s="413" t="s">
        <v>82</v>
      </c>
      <c r="C19" s="413" t="s">
        <v>81</v>
      </c>
      <c r="D19" s="413" t="s">
        <v>73</v>
      </c>
      <c r="E19" s="457" t="s">
        <v>80</v>
      </c>
      <c r="F19" s="458"/>
      <c r="G19" s="458"/>
      <c r="H19" s="458"/>
      <c r="I19" s="459"/>
      <c r="J19" s="413" t="s">
        <v>79</v>
      </c>
      <c r="K19" s="413"/>
      <c r="L19" s="413"/>
      <c r="M19" s="413"/>
      <c r="N19" s="4"/>
      <c r="O19" s="4"/>
      <c r="P19" s="4"/>
      <c r="Q19" s="4"/>
      <c r="R19" s="4"/>
      <c r="S19" s="4"/>
      <c r="T19" s="4"/>
      <c r="U19" s="4"/>
    </row>
    <row r="20" spans="1:24" s="3" customFormat="1" ht="51" customHeight="1" x14ac:dyDescent="0.2">
      <c r="A20" s="413"/>
      <c r="B20" s="413"/>
      <c r="C20" s="413"/>
      <c r="D20" s="413"/>
      <c r="E20" s="41" t="s">
        <v>78</v>
      </c>
      <c r="F20" s="41" t="s">
        <v>77</v>
      </c>
      <c r="G20" s="41" t="s">
        <v>76</v>
      </c>
      <c r="H20" s="41" t="s">
        <v>75</v>
      </c>
      <c r="I20" s="41" t="s">
        <v>74</v>
      </c>
      <c r="J20" s="41">
        <v>2020</v>
      </c>
      <c r="K20" s="390">
        <v>2021</v>
      </c>
      <c r="L20" s="390">
        <v>2022</v>
      </c>
      <c r="M20" s="390">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5" t="s">
        <v>62</v>
      </c>
      <c r="B22" s="47" t="s">
        <v>689</v>
      </c>
      <c r="C22" s="34">
        <v>0</v>
      </c>
      <c r="D22" s="34">
        <v>0</v>
      </c>
      <c r="E22" s="34">
        <v>0</v>
      </c>
      <c r="F22" s="34">
        <v>0</v>
      </c>
      <c r="G22" s="34">
        <v>0</v>
      </c>
      <c r="H22" s="34">
        <v>0</v>
      </c>
      <c r="I22" s="34">
        <v>0</v>
      </c>
      <c r="J22" s="44">
        <v>0</v>
      </c>
      <c r="K22" s="44">
        <v>0</v>
      </c>
      <c r="L22" s="5">
        <v>0</v>
      </c>
      <c r="M22" s="5">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5" t="str">
        <f>'1. паспорт местоположение'!A5:C5</f>
        <v>Год раскрытия информации: 2023 год</v>
      </c>
      <c r="B5" s="475"/>
      <c r="C5" s="475"/>
      <c r="D5" s="475"/>
      <c r="E5" s="475"/>
      <c r="F5" s="475"/>
      <c r="G5" s="475"/>
      <c r="H5" s="475"/>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4" t="s">
        <v>7</v>
      </c>
      <c r="B7" s="414"/>
      <c r="C7" s="414"/>
      <c r="D7" s="414"/>
      <c r="E7" s="414"/>
      <c r="F7" s="414"/>
      <c r="G7" s="414"/>
      <c r="H7" s="41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1"/>
      <c r="B8" s="391"/>
      <c r="C8" s="391"/>
      <c r="D8" s="391"/>
      <c r="E8" s="391"/>
      <c r="F8" s="391"/>
      <c r="G8" s="391"/>
      <c r="H8" s="391"/>
      <c r="I8" s="391"/>
      <c r="J8" s="391"/>
      <c r="K8" s="391"/>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9" t="str">
        <f>'1. паспорт местоположение'!A9:C9</f>
        <v>Акционерное общество "Россети Янтарь"</v>
      </c>
      <c r="B9" s="439"/>
      <c r="C9" s="439"/>
      <c r="D9" s="439"/>
      <c r="E9" s="439"/>
      <c r="F9" s="439"/>
      <c r="G9" s="439"/>
      <c r="H9" s="439"/>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9" t="s">
        <v>6</v>
      </c>
      <c r="B10" s="419"/>
      <c r="C10" s="419"/>
      <c r="D10" s="419"/>
      <c r="E10" s="419"/>
      <c r="F10" s="419"/>
      <c r="G10" s="419"/>
      <c r="H10" s="419"/>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1"/>
      <c r="B11" s="391"/>
      <c r="C11" s="391"/>
      <c r="D11" s="391"/>
      <c r="E11" s="391"/>
      <c r="F11" s="391"/>
      <c r="G11" s="391"/>
      <c r="H11" s="391"/>
      <c r="I11" s="391"/>
      <c r="J11" s="391"/>
      <c r="K11" s="391"/>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9" t="str">
        <f>'1. паспорт местоположение'!A12:C12</f>
        <v>I_3710</v>
      </c>
      <c r="B12" s="439"/>
      <c r="C12" s="439"/>
      <c r="D12" s="439"/>
      <c r="E12" s="439"/>
      <c r="F12" s="439"/>
      <c r="G12" s="439"/>
      <c r="H12" s="439"/>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9" t="s">
        <v>5</v>
      </c>
      <c r="B13" s="419"/>
      <c r="C13" s="419"/>
      <c r="D13" s="419"/>
      <c r="E13" s="419"/>
      <c r="F13" s="419"/>
      <c r="G13" s="419"/>
      <c r="H13" s="419"/>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9"/>
      <c r="AA14" s="9"/>
      <c r="AB14" s="9"/>
      <c r="AC14" s="9"/>
      <c r="AD14" s="9"/>
      <c r="AE14" s="9"/>
      <c r="AF14" s="9"/>
      <c r="AG14" s="9"/>
      <c r="AH14" s="9"/>
      <c r="AI14" s="9"/>
      <c r="AJ14" s="9"/>
      <c r="AK14" s="9"/>
      <c r="AL14" s="9"/>
      <c r="AM14" s="9"/>
      <c r="AN14" s="9"/>
      <c r="AO14" s="9"/>
      <c r="AP14" s="9"/>
      <c r="AQ14" s="179"/>
      <c r="AR14" s="179"/>
    </row>
    <row r="15" spans="1:44" ht="18.75" x14ac:dyDescent="0.2">
      <c r="A15" s="476" t="str">
        <f>'1. паспорт местоположение'!A15:C15</f>
        <v>Строительство БКТП 15/0,4 кВ, 2-х участков КЛ 15 кВ от БКТП Новой до места врезки в КЛ 15 кВ №14 на ул. Победы в г. Гусеве</v>
      </c>
      <c r="B15" s="423"/>
      <c r="C15" s="423"/>
      <c r="D15" s="423"/>
      <c r="E15" s="423"/>
      <c r="F15" s="423"/>
      <c r="G15" s="423"/>
      <c r="H15" s="423"/>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9" t="s">
        <v>4</v>
      </c>
      <c r="B16" s="419"/>
      <c r="C16" s="419"/>
      <c r="D16" s="419"/>
      <c r="E16" s="419"/>
      <c r="F16" s="419"/>
      <c r="G16" s="419"/>
      <c r="H16" s="419"/>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9" t="s">
        <v>494</v>
      </c>
      <c r="B18" s="439"/>
      <c r="C18" s="439"/>
      <c r="D18" s="439"/>
      <c r="E18" s="439"/>
      <c r="F18" s="439"/>
      <c r="G18" s="439"/>
      <c r="H18" s="43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'6.2. Паспорт фин осв ввод'!W52*1000000</f>
        <v>409691.85000000003</v>
      </c>
    </row>
    <row r="26" spans="1:44" x14ac:dyDescent="0.2">
      <c r="A26" s="192" t="s">
        <v>342</v>
      </c>
      <c r="B26" s="314">
        <v>0</v>
      </c>
    </row>
    <row r="27" spans="1:44" x14ac:dyDescent="0.2">
      <c r="A27" s="192" t="s">
        <v>340</v>
      </c>
      <c r="B27" s="314">
        <f>$B$123</f>
        <v>30</v>
      </c>
      <c r="D27" s="185" t="s">
        <v>343</v>
      </c>
    </row>
    <row r="28" spans="1:44" ht="16.149999999999999" customHeight="1" thickBot="1" x14ac:dyDescent="0.25">
      <c r="A28" s="193" t="s">
        <v>338</v>
      </c>
      <c r="B28" s="194">
        <v>1</v>
      </c>
      <c r="D28" s="462" t="s">
        <v>341</v>
      </c>
      <c r="E28" s="463"/>
      <c r="F28" s="464"/>
      <c r="G28" s="473">
        <f>IF(SUM(B89:L89)=0,"не окупается",SUM(B89:L89))</f>
        <v>1.2014850883709745</v>
      </c>
      <c r="H28" s="474"/>
    </row>
    <row r="29" spans="1:44" ht="15.6" customHeight="1" x14ac:dyDescent="0.2">
      <c r="A29" s="190" t="s">
        <v>336</v>
      </c>
      <c r="B29" s="191">
        <f>$B$126*$B$127</f>
        <v>4582.3152</v>
      </c>
      <c r="D29" s="462" t="s">
        <v>339</v>
      </c>
      <c r="E29" s="463"/>
      <c r="F29" s="464"/>
      <c r="G29" s="473">
        <f>IF(SUM(B90:L90)=0,"не окупается",SUM(B90:L90))</f>
        <v>1.2427895314870241</v>
      </c>
      <c r="H29" s="474"/>
    </row>
    <row r="30" spans="1:44" ht="27.6" customHeight="1" x14ac:dyDescent="0.2">
      <c r="A30" s="192" t="s">
        <v>533</v>
      </c>
      <c r="B30" s="314">
        <v>1</v>
      </c>
      <c r="D30" s="462" t="s">
        <v>337</v>
      </c>
      <c r="E30" s="463"/>
      <c r="F30" s="464"/>
      <c r="G30" s="465">
        <f>L87</f>
        <v>2287271.700600313</v>
      </c>
      <c r="H30" s="466"/>
    </row>
    <row r="31" spans="1:44" x14ac:dyDescent="0.2">
      <c r="A31" s="192" t="s">
        <v>335</v>
      </c>
      <c r="B31" s="314">
        <v>1</v>
      </c>
      <c r="D31" s="467"/>
      <c r="E31" s="468"/>
      <c r="F31" s="469"/>
      <c r="G31" s="467"/>
      <c r="H31" s="469"/>
    </row>
    <row r="32" spans="1:44" x14ac:dyDescent="0.2">
      <c r="A32" s="192" t="s">
        <v>313</v>
      </c>
      <c r="B32" s="314"/>
    </row>
    <row r="33" spans="1:42" x14ac:dyDescent="0.2">
      <c r="A33" s="192" t="s">
        <v>334</v>
      </c>
      <c r="B33" s="314"/>
    </row>
    <row r="34" spans="1:42" x14ac:dyDescent="0.2">
      <c r="A34" s="192" t="s">
        <v>333</v>
      </c>
      <c r="B34" s="314"/>
    </row>
    <row r="35" spans="1:42" x14ac:dyDescent="0.2">
      <c r="A35" s="315"/>
      <c r="B35" s="314"/>
    </row>
    <row r="36" spans="1:42" ht="16.5" thickBot="1" x14ac:dyDescent="0.25">
      <c r="A36" s="193" t="s">
        <v>305</v>
      </c>
      <c r="B36" s="195">
        <v>0.2</v>
      </c>
    </row>
    <row r="37" spans="1:42" x14ac:dyDescent="0.2">
      <c r="A37" s="190" t="s">
        <v>534</v>
      </c>
      <c r="B37" s="191">
        <v>0</v>
      </c>
    </row>
    <row r="38" spans="1:42" x14ac:dyDescent="0.2">
      <c r="A38" s="192" t="s">
        <v>332</v>
      </c>
      <c r="B38" s="314"/>
    </row>
    <row r="39" spans="1:42" ht="16.5" thickBot="1" x14ac:dyDescent="0.25">
      <c r="A39" s="316" t="s">
        <v>331</v>
      </c>
      <c r="B39" s="317"/>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8" t="s">
        <v>325</v>
      </c>
      <c r="B46" s="319">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7">
        <f>H136</f>
        <v>4.2000000000000003E-2</v>
      </c>
      <c r="C48" s="347">
        <f t="shared" ref="C48:R49" si="1">I136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Y136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AO136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4" customFormat="1" x14ac:dyDescent="0.2">
      <c r="A49" s="205" t="s">
        <v>322</v>
      </c>
      <c r="B49" s="347">
        <f>H137</f>
        <v>0.2354789208821122</v>
      </c>
      <c r="C49" s="347">
        <f t="shared" si="1"/>
        <v>0.28736903555916093</v>
      </c>
      <c r="D49" s="347">
        <f t="shared" si="1"/>
        <v>0.34143853505264565</v>
      </c>
      <c r="E49" s="347">
        <f t="shared" si="1"/>
        <v>0.39777895352485682</v>
      </c>
      <c r="F49" s="347">
        <f t="shared" si="1"/>
        <v>0.45648566957290093</v>
      </c>
      <c r="G49" s="347">
        <f t="shared" si="1"/>
        <v>0.51765806769496292</v>
      </c>
      <c r="H49" s="347">
        <f t="shared" si="1"/>
        <v>0.58139970653815132</v>
      </c>
      <c r="I49" s="347">
        <f t="shared" si="1"/>
        <v>0.64781849421275384</v>
      </c>
      <c r="J49" s="347">
        <f t="shared" si="1"/>
        <v>0.71702687096968964</v>
      </c>
      <c r="K49" s="347">
        <f t="shared" si="1"/>
        <v>0.78914199955041675</v>
      </c>
      <c r="L49" s="347">
        <f t="shared" si="1"/>
        <v>0.86428596353153431</v>
      </c>
      <c r="M49" s="347">
        <f t="shared" si="1"/>
        <v>0.94258597399985877</v>
      </c>
      <c r="N49" s="347">
        <f t="shared" si="1"/>
        <v>1.0241745849078527</v>
      </c>
      <c r="O49" s="347">
        <f t="shared" si="1"/>
        <v>1.1091899174739828</v>
      </c>
      <c r="P49" s="347">
        <f t="shared" si="1"/>
        <v>1.19777589400789</v>
      </c>
      <c r="Q49" s="347">
        <f t="shared" si="1"/>
        <v>1.2900824815562215</v>
      </c>
      <c r="R49" s="347">
        <f t="shared" si="1"/>
        <v>1.3862659457815827</v>
      </c>
      <c r="S49" s="347">
        <f t="shared" si="2"/>
        <v>1.4864891155044093</v>
      </c>
      <c r="T49" s="347">
        <f t="shared" si="2"/>
        <v>1.5909216583555947</v>
      </c>
      <c r="U49" s="347">
        <f t="shared" si="2"/>
        <v>1.6997403680065299</v>
      </c>
      <c r="V49" s="347">
        <f t="shared" si="2"/>
        <v>1.8131294634628041</v>
      </c>
      <c r="W49" s="347">
        <f t="shared" si="2"/>
        <v>1.9312809009282419</v>
      </c>
      <c r="X49" s="347">
        <f t="shared" si="2"/>
        <v>2.0543946987672284</v>
      </c>
      <c r="Y49" s="347">
        <f t="shared" si="2"/>
        <v>2.1826792761154521</v>
      </c>
      <c r="Z49" s="347">
        <f t="shared" si="2"/>
        <v>2.3163518057123014</v>
      </c>
      <c r="AA49" s="347">
        <f t="shared" si="2"/>
        <v>2.4556385815522184</v>
      </c>
      <c r="AB49" s="347">
        <f t="shared" si="2"/>
        <v>2.6007754019774119</v>
      </c>
      <c r="AC49" s="347">
        <f t="shared" si="2"/>
        <v>2.7520079688604633</v>
      </c>
      <c r="AD49" s="347">
        <f t="shared" si="2"/>
        <v>2.909592303552603</v>
      </c>
      <c r="AE49" s="347">
        <f t="shared" si="2"/>
        <v>3.0737951803018122</v>
      </c>
      <c r="AF49" s="347">
        <f t="shared" si="2"/>
        <v>3.2448945778744882</v>
      </c>
      <c r="AG49" s="347">
        <f t="shared" si="2"/>
        <v>3.4231801501452166</v>
      </c>
      <c r="AH49" s="347">
        <f t="shared" si="2"/>
        <v>3.6089537164513157</v>
      </c>
      <c r="AI49" s="347">
        <f t="shared" si="3"/>
        <v>3.8025297725422709</v>
      </c>
      <c r="AJ49" s="347">
        <f t="shared" si="3"/>
        <v>4.0042360229890468</v>
      </c>
      <c r="AK49" s="347">
        <f t="shared" si="3"/>
        <v>4.2144139359545871</v>
      </c>
      <c r="AL49" s="347">
        <f t="shared" si="3"/>
        <v>4.4334193212646804</v>
      </c>
      <c r="AM49" s="347">
        <f t="shared" si="3"/>
        <v>4.6616229327577976</v>
      </c>
      <c r="AN49" s="347">
        <f t="shared" si="3"/>
        <v>4.8994110959336252</v>
      </c>
      <c r="AO49" s="347">
        <f t="shared" si="3"/>
        <v>5.147186361962838</v>
      </c>
      <c r="AP49" s="347">
        <f t="shared" si="3"/>
        <v>5.4053681891652774</v>
      </c>
    </row>
    <row r="50" spans="1:45" s="204" customFormat="1" ht="16.5" thickBot="1" x14ac:dyDescent="0.25">
      <c r="A50" s="206" t="s">
        <v>536</v>
      </c>
      <c r="B50" s="207">
        <f>IF($B$124="да",($B$126-0.05),0)</f>
        <v>458231.47</v>
      </c>
      <c r="C50" s="207">
        <f>C108*(1+C49)</f>
        <v>570438.3217469271</v>
      </c>
      <c r="D50" s="207">
        <f t="shared" ref="D50:AP50" si="4">D108*(1+D49)</f>
        <v>1188793.4625205961</v>
      </c>
      <c r="E50" s="207">
        <f t="shared" si="4"/>
        <v>1876852.7090097896</v>
      </c>
      <c r="F50" s="207">
        <f t="shared" si="4"/>
        <v>1955680.522788201</v>
      </c>
      <c r="G50" s="207">
        <f t="shared" si="4"/>
        <v>2037819.1047453056</v>
      </c>
      <c r="H50" s="207">
        <f t="shared" si="4"/>
        <v>2123407.5071446085</v>
      </c>
      <c r="I50" s="207">
        <f t="shared" si="4"/>
        <v>2212590.6224446823</v>
      </c>
      <c r="J50" s="207">
        <f t="shared" si="4"/>
        <v>2305519.4285873589</v>
      </c>
      <c r="K50" s="207">
        <f t="shared" si="4"/>
        <v>2402351.2445880282</v>
      </c>
      <c r="L50" s="207">
        <f t="shared" si="4"/>
        <v>2503249.9968607258</v>
      </c>
      <c r="M50" s="207">
        <f t="shared" si="4"/>
        <v>2608386.4967288761</v>
      </c>
      <c r="N50" s="207">
        <f t="shared" si="4"/>
        <v>2717938.7295914888</v>
      </c>
      <c r="O50" s="207">
        <f t="shared" si="4"/>
        <v>2832092.1562343314</v>
      </c>
      <c r="P50" s="207">
        <f t="shared" si="4"/>
        <v>2951040.0267961733</v>
      </c>
      <c r="Q50" s="207">
        <f t="shared" si="4"/>
        <v>3074983.707921613</v>
      </c>
      <c r="R50" s="207">
        <f t="shared" si="4"/>
        <v>3204133.0236543207</v>
      </c>
      <c r="S50" s="207">
        <f t="shared" si="4"/>
        <v>3338706.6106478022</v>
      </c>
      <c r="T50" s="207">
        <f t="shared" si="4"/>
        <v>3478932.2882950101</v>
      </c>
      <c r="U50" s="207">
        <f t="shared" si="4"/>
        <v>3625047.4444034011</v>
      </c>
      <c r="V50" s="207">
        <f t="shared" si="4"/>
        <v>3777299.4370683436</v>
      </c>
      <c r="W50" s="207">
        <f t="shared" si="4"/>
        <v>3935946.0134252142</v>
      </c>
      <c r="X50" s="207">
        <f t="shared" si="4"/>
        <v>4101255.7459890735</v>
      </c>
      <c r="Y50" s="207">
        <f t="shared" si="4"/>
        <v>4273508.487320615</v>
      </c>
      <c r="Z50" s="207">
        <f t="shared" si="4"/>
        <v>4452995.8437880808</v>
      </c>
      <c r="AA50" s="207">
        <f t="shared" si="4"/>
        <v>4640021.669227181</v>
      </c>
      <c r="AB50" s="207">
        <f t="shared" si="4"/>
        <v>4834902.5793347228</v>
      </c>
      <c r="AC50" s="207">
        <f t="shared" si="4"/>
        <v>5037968.4876667811</v>
      </c>
      <c r="AD50" s="207">
        <f t="shared" si="4"/>
        <v>5249563.164148787</v>
      </c>
      <c r="AE50" s="207">
        <f t="shared" si="4"/>
        <v>5470044.8170430353</v>
      </c>
      <c r="AF50" s="207">
        <f t="shared" si="4"/>
        <v>5699786.6993588433</v>
      </c>
      <c r="AG50" s="207">
        <f t="shared" si="4"/>
        <v>5939177.7407319136</v>
      </c>
      <c r="AH50" s="207">
        <f t="shared" si="4"/>
        <v>6188623.2058426542</v>
      </c>
      <c r="AI50" s="207">
        <f t="shared" si="4"/>
        <v>6448545.3804880455</v>
      </c>
      <c r="AJ50" s="207">
        <f t="shared" si="4"/>
        <v>6719384.286468544</v>
      </c>
      <c r="AK50" s="207">
        <f t="shared" si="4"/>
        <v>7001598.4265002236</v>
      </c>
      <c r="AL50" s="207">
        <f t="shared" si="4"/>
        <v>7295665.5604132339</v>
      </c>
      <c r="AM50" s="207">
        <f t="shared" si="4"/>
        <v>7602083.513950591</v>
      </c>
      <c r="AN50" s="207">
        <f t="shared" si="4"/>
        <v>7921371.021536516</v>
      </c>
      <c r="AO50" s="207">
        <f t="shared" si="4"/>
        <v>8254068.6044410504</v>
      </c>
      <c r="AP50" s="207">
        <f t="shared" si="4"/>
        <v>8600739.4858275745</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0"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0"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9">
        <f t="shared" ref="B59:AP59" si="10">B50*$B$28</f>
        <v>458231.47</v>
      </c>
      <c r="C59" s="349">
        <f t="shared" si="10"/>
        <v>570438.3217469271</v>
      </c>
      <c r="D59" s="349">
        <f t="shared" si="10"/>
        <v>1188793.4625205961</v>
      </c>
      <c r="E59" s="349">
        <f t="shared" si="10"/>
        <v>1876852.7090097896</v>
      </c>
      <c r="F59" s="349">
        <f t="shared" si="10"/>
        <v>1955680.522788201</v>
      </c>
      <c r="G59" s="349">
        <f t="shared" si="10"/>
        <v>2037819.1047453056</v>
      </c>
      <c r="H59" s="349">
        <f t="shared" si="10"/>
        <v>2123407.5071446085</v>
      </c>
      <c r="I59" s="349">
        <f t="shared" si="10"/>
        <v>2212590.6224446823</v>
      </c>
      <c r="J59" s="349">
        <f t="shared" si="10"/>
        <v>2305519.4285873589</v>
      </c>
      <c r="K59" s="349">
        <f t="shared" si="10"/>
        <v>2402351.2445880282</v>
      </c>
      <c r="L59" s="349">
        <f t="shared" si="10"/>
        <v>2503249.9968607258</v>
      </c>
      <c r="M59" s="349">
        <f t="shared" si="10"/>
        <v>2608386.4967288761</v>
      </c>
      <c r="N59" s="349">
        <f t="shared" si="10"/>
        <v>2717938.7295914888</v>
      </c>
      <c r="O59" s="349">
        <f t="shared" si="10"/>
        <v>2832092.1562343314</v>
      </c>
      <c r="P59" s="349">
        <f t="shared" si="10"/>
        <v>2951040.0267961733</v>
      </c>
      <c r="Q59" s="349">
        <f t="shared" si="10"/>
        <v>3074983.707921613</v>
      </c>
      <c r="R59" s="349">
        <f t="shared" si="10"/>
        <v>3204133.0236543207</v>
      </c>
      <c r="S59" s="349">
        <f t="shared" si="10"/>
        <v>3338706.6106478022</v>
      </c>
      <c r="T59" s="349">
        <f t="shared" si="10"/>
        <v>3478932.2882950101</v>
      </c>
      <c r="U59" s="349">
        <f t="shared" si="10"/>
        <v>3625047.4444034011</v>
      </c>
      <c r="V59" s="349">
        <f t="shared" si="10"/>
        <v>3777299.4370683436</v>
      </c>
      <c r="W59" s="349">
        <f t="shared" si="10"/>
        <v>3935946.0134252142</v>
      </c>
      <c r="X59" s="349">
        <f t="shared" si="10"/>
        <v>4101255.7459890735</v>
      </c>
      <c r="Y59" s="349">
        <f t="shared" si="10"/>
        <v>4273508.487320615</v>
      </c>
      <c r="Z59" s="349">
        <f t="shared" si="10"/>
        <v>4452995.8437880808</v>
      </c>
      <c r="AA59" s="349">
        <f t="shared" si="10"/>
        <v>4640021.669227181</v>
      </c>
      <c r="AB59" s="349">
        <f t="shared" si="10"/>
        <v>4834902.5793347228</v>
      </c>
      <c r="AC59" s="349">
        <f t="shared" si="10"/>
        <v>5037968.4876667811</v>
      </c>
      <c r="AD59" s="349">
        <f t="shared" si="10"/>
        <v>5249563.164148787</v>
      </c>
      <c r="AE59" s="349">
        <f t="shared" si="10"/>
        <v>5470044.8170430353</v>
      </c>
      <c r="AF59" s="349">
        <f t="shared" si="10"/>
        <v>5699786.6993588433</v>
      </c>
      <c r="AG59" s="349">
        <f t="shared" si="10"/>
        <v>5939177.7407319136</v>
      </c>
      <c r="AH59" s="349">
        <f t="shared" si="10"/>
        <v>6188623.2058426542</v>
      </c>
      <c r="AI59" s="349">
        <f t="shared" si="10"/>
        <v>6448545.3804880455</v>
      </c>
      <c r="AJ59" s="349">
        <f t="shared" si="10"/>
        <v>6719384.286468544</v>
      </c>
      <c r="AK59" s="349">
        <f t="shared" si="10"/>
        <v>7001598.4265002236</v>
      </c>
      <c r="AL59" s="349">
        <f t="shared" si="10"/>
        <v>7295665.5604132339</v>
      </c>
      <c r="AM59" s="349">
        <f t="shared" si="10"/>
        <v>7602083.513950591</v>
      </c>
      <c r="AN59" s="349">
        <f t="shared" si="10"/>
        <v>7921371.021536516</v>
      </c>
      <c r="AO59" s="349">
        <f t="shared" si="10"/>
        <v>8254068.6044410504</v>
      </c>
      <c r="AP59" s="349">
        <f t="shared" si="10"/>
        <v>8600739.4858275745</v>
      </c>
    </row>
    <row r="60" spans="1:45" x14ac:dyDescent="0.2">
      <c r="A60" s="210" t="s">
        <v>315</v>
      </c>
      <c r="B60" s="348">
        <f t="shared" ref="B60:Z60" si="11">SUM(B61:B65)</f>
        <v>0</v>
      </c>
      <c r="C60" s="348">
        <f t="shared" si="11"/>
        <v>-5899.1306996520834</v>
      </c>
      <c r="D60" s="348">
        <f>SUM(D61:D65)</f>
        <v>-6146.8941890374708</v>
      </c>
      <c r="E60" s="348">
        <f t="shared" si="11"/>
        <v>-6405.0637449770447</v>
      </c>
      <c r="F60" s="348">
        <f t="shared" si="11"/>
        <v>-6674.0764222660819</v>
      </c>
      <c r="G60" s="348">
        <f t="shared" si="11"/>
        <v>-6954.3876320012578</v>
      </c>
      <c r="H60" s="348">
        <f t="shared" si="11"/>
        <v>-7246.4719125453103</v>
      </c>
      <c r="I60" s="348">
        <f t="shared" si="11"/>
        <v>-7550.8237328722144</v>
      </c>
      <c r="J60" s="348">
        <f t="shared" si="11"/>
        <v>-7867.9583296528472</v>
      </c>
      <c r="K60" s="348">
        <f t="shared" si="11"/>
        <v>-8198.4125794982683</v>
      </c>
      <c r="L60" s="348">
        <f t="shared" si="11"/>
        <v>-8542.7459078371958</v>
      </c>
      <c r="M60" s="348">
        <f t="shared" si="11"/>
        <v>-8901.5412359663569</v>
      </c>
      <c r="N60" s="348">
        <f t="shared" si="11"/>
        <v>-9275.4059678769445</v>
      </c>
      <c r="O60" s="348">
        <f t="shared" si="11"/>
        <v>-9664.9730185277767</v>
      </c>
      <c r="P60" s="348">
        <f t="shared" si="11"/>
        <v>-10070.901885305942</v>
      </c>
      <c r="Q60" s="348">
        <f t="shared" si="11"/>
        <v>-10493.879764488793</v>
      </c>
      <c r="R60" s="348">
        <f t="shared" si="11"/>
        <v>-10934.622714597323</v>
      </c>
      <c r="S60" s="348">
        <f t="shared" si="11"/>
        <v>-11393.87686861041</v>
      </c>
      <c r="T60" s="348">
        <f t="shared" si="11"/>
        <v>-11872.419697092049</v>
      </c>
      <c r="U60" s="348">
        <f t="shared" si="11"/>
        <v>-12371.061324369915</v>
      </c>
      <c r="V60" s="348">
        <f t="shared" si="11"/>
        <v>-12890.645899993451</v>
      </c>
      <c r="W60" s="348">
        <f t="shared" si="11"/>
        <v>-13432.053027793178</v>
      </c>
      <c r="X60" s="348">
        <f t="shared" si="11"/>
        <v>-13996.199254960491</v>
      </c>
      <c r="Y60" s="348">
        <f t="shared" si="11"/>
        <v>-14584.039623668834</v>
      </c>
      <c r="Z60" s="348">
        <f t="shared" si="11"/>
        <v>-15196.569287862925</v>
      </c>
      <c r="AA60" s="348">
        <f t="shared" ref="AA60:AP60" si="12">SUM(AA61:AA65)</f>
        <v>-15834.825197953171</v>
      </c>
      <c r="AB60" s="348">
        <f t="shared" si="12"/>
        <v>-16499.887856267203</v>
      </c>
      <c r="AC60" s="348">
        <f t="shared" si="12"/>
        <v>-17192.883146230426</v>
      </c>
      <c r="AD60" s="348">
        <f t="shared" si="12"/>
        <v>-17914.984238372108</v>
      </c>
      <c r="AE60" s="348">
        <f t="shared" si="12"/>
        <v>-18667.413576383733</v>
      </c>
      <c r="AF60" s="348">
        <f t="shared" si="12"/>
        <v>-19451.444946591851</v>
      </c>
      <c r="AG60" s="348">
        <f t="shared" si="12"/>
        <v>-20268.40563434871</v>
      </c>
      <c r="AH60" s="348">
        <f t="shared" si="12"/>
        <v>-21119.678670991354</v>
      </c>
      <c r="AI60" s="348">
        <f t="shared" si="12"/>
        <v>-22006.705175172989</v>
      </c>
      <c r="AJ60" s="348">
        <f t="shared" si="12"/>
        <v>-22930.986792530257</v>
      </c>
      <c r="AK60" s="348">
        <f t="shared" si="12"/>
        <v>-23894.08823781653</v>
      </c>
      <c r="AL60" s="348">
        <f t="shared" si="12"/>
        <v>-24897.639943804828</v>
      </c>
      <c r="AM60" s="348">
        <f t="shared" si="12"/>
        <v>-25943.340821444635</v>
      </c>
      <c r="AN60" s="348">
        <f t="shared" si="12"/>
        <v>-27032.961135945308</v>
      </c>
      <c r="AO60" s="348">
        <f t="shared" si="12"/>
        <v>-28168.345503655015</v>
      </c>
      <c r="AP60" s="348">
        <f t="shared" si="12"/>
        <v>-29351.416014808525</v>
      </c>
    </row>
    <row r="61" spans="1:45" x14ac:dyDescent="0.2">
      <c r="A61" s="217" t="s">
        <v>314</v>
      </c>
      <c r="B61" s="348"/>
      <c r="C61" s="348">
        <f>-IF(C$47&lt;=$B$30,0,$B$29*(1+C$49)*$B$28)</f>
        <v>-5899.1306996520834</v>
      </c>
      <c r="D61" s="348">
        <f>-IF(D$47&lt;=$B$30,0,$B$29*(1+D$49)*$B$28)</f>
        <v>-6146.8941890374708</v>
      </c>
      <c r="E61" s="348">
        <f t="shared" ref="E61:AP61" si="13">-IF(E$47&lt;=$B$30,0,$B$29*(1+E$49)*$B$28)</f>
        <v>-6405.0637449770447</v>
      </c>
      <c r="F61" s="348">
        <f t="shared" si="13"/>
        <v>-6674.0764222660819</v>
      </c>
      <c r="G61" s="348">
        <f t="shared" si="13"/>
        <v>-6954.3876320012578</v>
      </c>
      <c r="H61" s="348">
        <f t="shared" si="13"/>
        <v>-7246.4719125453103</v>
      </c>
      <c r="I61" s="348">
        <f t="shared" si="13"/>
        <v>-7550.8237328722144</v>
      </c>
      <c r="J61" s="348">
        <f t="shared" si="13"/>
        <v>-7867.9583296528472</v>
      </c>
      <c r="K61" s="348">
        <f t="shared" si="13"/>
        <v>-8198.4125794982683</v>
      </c>
      <c r="L61" s="348">
        <f t="shared" si="13"/>
        <v>-8542.7459078371958</v>
      </c>
      <c r="M61" s="348">
        <f t="shared" si="13"/>
        <v>-8901.5412359663569</v>
      </c>
      <c r="N61" s="348">
        <f t="shared" si="13"/>
        <v>-9275.4059678769445</v>
      </c>
      <c r="O61" s="348">
        <f t="shared" si="13"/>
        <v>-9664.9730185277767</v>
      </c>
      <c r="P61" s="348">
        <f t="shared" si="13"/>
        <v>-10070.901885305942</v>
      </c>
      <c r="Q61" s="348">
        <f t="shared" si="13"/>
        <v>-10493.879764488793</v>
      </c>
      <c r="R61" s="348">
        <f t="shared" si="13"/>
        <v>-10934.622714597323</v>
      </c>
      <c r="S61" s="348">
        <f t="shared" si="13"/>
        <v>-11393.87686861041</v>
      </c>
      <c r="T61" s="348">
        <f t="shared" si="13"/>
        <v>-11872.419697092049</v>
      </c>
      <c r="U61" s="348">
        <f t="shared" si="13"/>
        <v>-12371.061324369915</v>
      </c>
      <c r="V61" s="348">
        <f t="shared" si="13"/>
        <v>-12890.645899993451</v>
      </c>
      <c r="W61" s="348">
        <f t="shared" si="13"/>
        <v>-13432.053027793178</v>
      </c>
      <c r="X61" s="348">
        <f t="shared" si="13"/>
        <v>-13996.199254960491</v>
      </c>
      <c r="Y61" s="348">
        <f t="shared" si="13"/>
        <v>-14584.039623668834</v>
      </c>
      <c r="Z61" s="348">
        <f t="shared" si="13"/>
        <v>-15196.569287862925</v>
      </c>
      <c r="AA61" s="348">
        <f t="shared" si="13"/>
        <v>-15834.825197953171</v>
      </c>
      <c r="AB61" s="348">
        <f t="shared" si="13"/>
        <v>-16499.887856267203</v>
      </c>
      <c r="AC61" s="348">
        <f t="shared" si="13"/>
        <v>-17192.883146230426</v>
      </c>
      <c r="AD61" s="348">
        <f t="shared" si="13"/>
        <v>-17914.984238372108</v>
      </c>
      <c r="AE61" s="348">
        <f t="shared" si="13"/>
        <v>-18667.413576383733</v>
      </c>
      <c r="AF61" s="348">
        <f t="shared" si="13"/>
        <v>-19451.444946591851</v>
      </c>
      <c r="AG61" s="348">
        <f t="shared" si="13"/>
        <v>-20268.40563434871</v>
      </c>
      <c r="AH61" s="348">
        <f t="shared" si="13"/>
        <v>-21119.678670991354</v>
      </c>
      <c r="AI61" s="348">
        <f t="shared" si="13"/>
        <v>-22006.705175172989</v>
      </c>
      <c r="AJ61" s="348">
        <f t="shared" si="13"/>
        <v>-22930.986792530257</v>
      </c>
      <c r="AK61" s="348">
        <f t="shared" si="13"/>
        <v>-23894.08823781653</v>
      </c>
      <c r="AL61" s="348">
        <f t="shared" si="13"/>
        <v>-24897.639943804828</v>
      </c>
      <c r="AM61" s="348">
        <f t="shared" si="13"/>
        <v>-25943.340821444635</v>
      </c>
      <c r="AN61" s="348">
        <f t="shared" si="13"/>
        <v>-27032.961135945308</v>
      </c>
      <c r="AO61" s="348">
        <f t="shared" si="13"/>
        <v>-28168.345503655015</v>
      </c>
      <c r="AP61" s="348">
        <f t="shared" si="13"/>
        <v>-29351.416014808525</v>
      </c>
    </row>
    <row r="62" spans="1:45" x14ac:dyDescent="0.2">
      <c r="A62" s="217"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7" t="s">
        <v>534</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7" t="s">
        <v>534</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7" t="s">
        <v>538</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8" t="s">
        <v>312</v>
      </c>
      <c r="B66" s="349">
        <f t="shared" ref="B66:AO66" si="14">B59+B60</f>
        <v>458231.47</v>
      </c>
      <c r="C66" s="349">
        <f t="shared" si="14"/>
        <v>564539.19104727497</v>
      </c>
      <c r="D66" s="349">
        <f t="shared" si="14"/>
        <v>1182646.5683315587</v>
      </c>
      <c r="E66" s="349">
        <f t="shared" si="14"/>
        <v>1870447.6452648125</v>
      </c>
      <c r="F66" s="349">
        <f t="shared" si="14"/>
        <v>1949006.4463659348</v>
      </c>
      <c r="G66" s="349">
        <f t="shared" si="14"/>
        <v>2030864.7171133044</v>
      </c>
      <c r="H66" s="349">
        <f t="shared" si="14"/>
        <v>2116161.0352320634</v>
      </c>
      <c r="I66" s="349">
        <f t="shared" si="14"/>
        <v>2205039.7987118103</v>
      </c>
      <c r="J66" s="349">
        <f t="shared" si="14"/>
        <v>2297651.470257706</v>
      </c>
      <c r="K66" s="349">
        <f t="shared" si="14"/>
        <v>2394152.8320085299</v>
      </c>
      <c r="L66" s="349">
        <f t="shared" si="14"/>
        <v>2494707.2509528887</v>
      </c>
      <c r="M66" s="349">
        <f t="shared" si="14"/>
        <v>2599484.95549291</v>
      </c>
      <c r="N66" s="349">
        <f t="shared" si="14"/>
        <v>2708663.3236236121</v>
      </c>
      <c r="O66" s="349">
        <f t="shared" si="14"/>
        <v>2822427.1832158035</v>
      </c>
      <c r="P66" s="349">
        <f t="shared" si="14"/>
        <v>2940969.1249108673</v>
      </c>
      <c r="Q66" s="349">
        <f t="shared" si="14"/>
        <v>3064489.8281571241</v>
      </c>
      <c r="R66" s="349">
        <f t="shared" si="14"/>
        <v>3193198.4009397235</v>
      </c>
      <c r="S66" s="349">
        <f t="shared" si="14"/>
        <v>3327312.733779192</v>
      </c>
      <c r="T66" s="349">
        <f t="shared" si="14"/>
        <v>3467059.8685979182</v>
      </c>
      <c r="U66" s="349">
        <f t="shared" si="14"/>
        <v>3612676.383079031</v>
      </c>
      <c r="V66" s="349">
        <f t="shared" si="14"/>
        <v>3764408.7911683503</v>
      </c>
      <c r="W66" s="349">
        <f t="shared" si="14"/>
        <v>3922513.9603974209</v>
      </c>
      <c r="X66" s="349">
        <f t="shared" si="14"/>
        <v>4087259.5467341132</v>
      </c>
      <c r="Y66" s="349">
        <f t="shared" si="14"/>
        <v>4258924.4476969466</v>
      </c>
      <c r="Z66" s="349">
        <f t="shared" si="14"/>
        <v>4437799.2745002182</v>
      </c>
      <c r="AA66" s="349">
        <f t="shared" si="14"/>
        <v>4624186.8440292282</v>
      </c>
      <c r="AB66" s="349">
        <f t="shared" si="14"/>
        <v>4818402.6914784554</v>
      </c>
      <c r="AC66" s="349">
        <f t="shared" si="14"/>
        <v>5020775.6045205509</v>
      </c>
      <c r="AD66" s="349">
        <f t="shared" si="14"/>
        <v>5231648.1799104149</v>
      </c>
      <c r="AE66" s="349">
        <f t="shared" si="14"/>
        <v>5451377.4034666512</v>
      </c>
      <c r="AF66" s="349">
        <f t="shared" si="14"/>
        <v>5680335.2544122515</v>
      </c>
      <c r="AG66" s="349">
        <f t="shared" si="14"/>
        <v>5918909.3350975653</v>
      </c>
      <c r="AH66" s="349">
        <f t="shared" si="14"/>
        <v>6167503.527171663</v>
      </c>
      <c r="AI66" s="349">
        <f t="shared" si="14"/>
        <v>6426538.675312873</v>
      </c>
      <c r="AJ66" s="349">
        <f t="shared" si="14"/>
        <v>6696453.2996760141</v>
      </c>
      <c r="AK66" s="349">
        <f t="shared" si="14"/>
        <v>6977704.3382624071</v>
      </c>
      <c r="AL66" s="349">
        <f t="shared" si="14"/>
        <v>7270767.9204694293</v>
      </c>
      <c r="AM66" s="349">
        <f t="shared" si="14"/>
        <v>7576140.173129146</v>
      </c>
      <c r="AN66" s="349">
        <f t="shared" si="14"/>
        <v>7894338.0604005707</v>
      </c>
      <c r="AO66" s="349">
        <f t="shared" si="14"/>
        <v>8225900.2589373952</v>
      </c>
      <c r="AP66" s="349">
        <f>AP59+AP60</f>
        <v>8571388.0698127653</v>
      </c>
    </row>
    <row r="67" spans="1:45" x14ac:dyDescent="0.2">
      <c r="A67" s="217" t="s">
        <v>307</v>
      </c>
      <c r="B67" s="219"/>
      <c r="C67" s="348">
        <f>-($B$25)*1.18*$B$28/$B$27</f>
        <v>-16114.546100000001</v>
      </c>
      <c r="D67" s="348">
        <f>C67</f>
        <v>-16114.546100000001</v>
      </c>
      <c r="E67" s="348">
        <f t="shared" ref="E67:AP67" si="15">D67</f>
        <v>-16114.546100000001</v>
      </c>
      <c r="F67" s="348">
        <f t="shared" si="15"/>
        <v>-16114.546100000001</v>
      </c>
      <c r="G67" s="348">
        <f t="shared" si="15"/>
        <v>-16114.546100000001</v>
      </c>
      <c r="H67" s="348">
        <f t="shared" si="15"/>
        <v>-16114.546100000001</v>
      </c>
      <c r="I67" s="348">
        <f t="shared" si="15"/>
        <v>-16114.546100000001</v>
      </c>
      <c r="J67" s="348">
        <f t="shared" si="15"/>
        <v>-16114.546100000001</v>
      </c>
      <c r="K67" s="348">
        <f t="shared" si="15"/>
        <v>-16114.546100000001</v>
      </c>
      <c r="L67" s="348">
        <f t="shared" si="15"/>
        <v>-16114.546100000001</v>
      </c>
      <c r="M67" s="348">
        <f t="shared" si="15"/>
        <v>-16114.546100000001</v>
      </c>
      <c r="N67" s="348">
        <f t="shared" si="15"/>
        <v>-16114.546100000001</v>
      </c>
      <c r="O67" s="348">
        <f t="shared" si="15"/>
        <v>-16114.546100000001</v>
      </c>
      <c r="P67" s="348">
        <f t="shared" si="15"/>
        <v>-16114.546100000001</v>
      </c>
      <c r="Q67" s="348">
        <f t="shared" si="15"/>
        <v>-16114.546100000001</v>
      </c>
      <c r="R67" s="348">
        <f t="shared" si="15"/>
        <v>-16114.546100000001</v>
      </c>
      <c r="S67" s="348">
        <f t="shared" si="15"/>
        <v>-16114.546100000001</v>
      </c>
      <c r="T67" s="348">
        <f t="shared" si="15"/>
        <v>-16114.546100000001</v>
      </c>
      <c r="U67" s="348">
        <f t="shared" si="15"/>
        <v>-16114.546100000001</v>
      </c>
      <c r="V67" s="348">
        <f t="shared" si="15"/>
        <v>-16114.546100000001</v>
      </c>
      <c r="W67" s="348">
        <f t="shared" si="15"/>
        <v>-16114.546100000001</v>
      </c>
      <c r="X67" s="348">
        <f t="shared" si="15"/>
        <v>-16114.546100000001</v>
      </c>
      <c r="Y67" s="348">
        <f t="shared" si="15"/>
        <v>-16114.546100000001</v>
      </c>
      <c r="Z67" s="348">
        <f t="shared" si="15"/>
        <v>-16114.546100000001</v>
      </c>
      <c r="AA67" s="348">
        <f t="shared" si="15"/>
        <v>-16114.546100000001</v>
      </c>
      <c r="AB67" s="348">
        <f t="shared" si="15"/>
        <v>-16114.546100000001</v>
      </c>
      <c r="AC67" s="348">
        <f t="shared" si="15"/>
        <v>-16114.546100000001</v>
      </c>
      <c r="AD67" s="348">
        <f t="shared" si="15"/>
        <v>-16114.546100000001</v>
      </c>
      <c r="AE67" s="348">
        <f t="shared" si="15"/>
        <v>-16114.546100000001</v>
      </c>
      <c r="AF67" s="348">
        <f t="shared" si="15"/>
        <v>-16114.546100000001</v>
      </c>
      <c r="AG67" s="348">
        <f t="shared" si="15"/>
        <v>-16114.546100000001</v>
      </c>
      <c r="AH67" s="348">
        <f t="shared" si="15"/>
        <v>-16114.546100000001</v>
      </c>
      <c r="AI67" s="348">
        <f t="shared" si="15"/>
        <v>-16114.546100000001</v>
      </c>
      <c r="AJ67" s="348">
        <f t="shared" si="15"/>
        <v>-16114.546100000001</v>
      </c>
      <c r="AK67" s="348">
        <f t="shared" si="15"/>
        <v>-16114.546100000001</v>
      </c>
      <c r="AL67" s="348">
        <f t="shared" si="15"/>
        <v>-16114.546100000001</v>
      </c>
      <c r="AM67" s="348">
        <f t="shared" si="15"/>
        <v>-16114.546100000001</v>
      </c>
      <c r="AN67" s="348">
        <f t="shared" si="15"/>
        <v>-16114.546100000001</v>
      </c>
      <c r="AO67" s="348">
        <f t="shared" si="15"/>
        <v>-16114.546100000001</v>
      </c>
      <c r="AP67" s="348">
        <f t="shared" si="15"/>
        <v>-16114.546100000001</v>
      </c>
      <c r="AQ67" s="220">
        <f>SUM(B67:AA67)/1.18</f>
        <v>-341409.87499999994</v>
      </c>
      <c r="AR67" s="221">
        <f>SUM(B67:AF67)/1.18</f>
        <v>-409691.84999999986</v>
      </c>
      <c r="AS67" s="221">
        <f>SUM(B67:AP67)/1.18</f>
        <v>-546255.80000000005</v>
      </c>
    </row>
    <row r="68" spans="1:45" ht="28.5" x14ac:dyDescent="0.2">
      <c r="A68" s="218" t="s">
        <v>308</v>
      </c>
      <c r="B68" s="349">
        <f t="shared" ref="B68:J68" si="16">B66+B67</f>
        <v>458231.47</v>
      </c>
      <c r="C68" s="349">
        <f>C66+C67</f>
        <v>548424.64494727494</v>
      </c>
      <c r="D68" s="349">
        <f>D66+D67</f>
        <v>1166532.0222315588</v>
      </c>
      <c r="E68" s="349">
        <f t="shared" si="16"/>
        <v>1854333.0991648126</v>
      </c>
      <c r="F68" s="349">
        <f>F66+C67</f>
        <v>1932891.9002659349</v>
      </c>
      <c r="G68" s="349">
        <f t="shared" si="16"/>
        <v>2014750.1710133045</v>
      </c>
      <c r="H68" s="349">
        <f t="shared" si="16"/>
        <v>2100046.4891320635</v>
      </c>
      <c r="I68" s="349">
        <f t="shared" si="16"/>
        <v>2188925.2526118103</v>
      </c>
      <c r="J68" s="349">
        <f t="shared" si="16"/>
        <v>2281536.9241577061</v>
      </c>
      <c r="K68" s="349">
        <f>K66+K67</f>
        <v>2378038.28590853</v>
      </c>
      <c r="L68" s="349">
        <f>L66+L67</f>
        <v>2478592.7048528888</v>
      </c>
      <c r="M68" s="349">
        <f t="shared" ref="M68:AO68" si="17">M66+M67</f>
        <v>2583370.4093929101</v>
      </c>
      <c r="N68" s="349">
        <f t="shared" si="17"/>
        <v>2692548.7775236121</v>
      </c>
      <c r="O68" s="349">
        <f t="shared" si="17"/>
        <v>2806312.6371158035</v>
      </c>
      <c r="P68" s="349">
        <f t="shared" si="17"/>
        <v>2924854.5788108674</v>
      </c>
      <c r="Q68" s="349">
        <f t="shared" si="17"/>
        <v>3048375.2820571242</v>
      </c>
      <c r="R68" s="349">
        <f t="shared" si="17"/>
        <v>3177083.8548397236</v>
      </c>
      <c r="S68" s="349">
        <f t="shared" si="17"/>
        <v>3311198.1876791921</v>
      </c>
      <c r="T68" s="349">
        <f t="shared" si="17"/>
        <v>3450945.3224979183</v>
      </c>
      <c r="U68" s="349">
        <f t="shared" si="17"/>
        <v>3596561.8369790311</v>
      </c>
      <c r="V68" s="349">
        <f t="shared" si="17"/>
        <v>3748294.2450683503</v>
      </c>
      <c r="W68" s="349">
        <f t="shared" si="17"/>
        <v>3906399.414297421</v>
      </c>
      <c r="X68" s="349">
        <f t="shared" si="17"/>
        <v>4071145.0006341133</v>
      </c>
      <c r="Y68" s="349">
        <f t="shared" si="17"/>
        <v>4242809.9015969466</v>
      </c>
      <c r="Z68" s="349">
        <f t="shared" si="17"/>
        <v>4421684.7284002183</v>
      </c>
      <c r="AA68" s="349">
        <f t="shared" si="17"/>
        <v>4608072.2979292283</v>
      </c>
      <c r="AB68" s="349">
        <f t="shared" si="17"/>
        <v>4802288.1453784555</v>
      </c>
      <c r="AC68" s="349">
        <f t="shared" si="17"/>
        <v>5004661.058420551</v>
      </c>
      <c r="AD68" s="349">
        <f t="shared" si="17"/>
        <v>5215533.6338104149</v>
      </c>
      <c r="AE68" s="349">
        <f t="shared" si="17"/>
        <v>5435262.8573666513</v>
      </c>
      <c r="AF68" s="349">
        <f t="shared" si="17"/>
        <v>5664220.7083122516</v>
      </c>
      <c r="AG68" s="349">
        <f t="shared" si="17"/>
        <v>5902794.7889975654</v>
      </c>
      <c r="AH68" s="349">
        <f t="shared" si="17"/>
        <v>6151388.9810716631</v>
      </c>
      <c r="AI68" s="349">
        <f t="shared" si="17"/>
        <v>6410424.1292128731</v>
      </c>
      <c r="AJ68" s="349">
        <f t="shared" si="17"/>
        <v>6680338.7535760142</v>
      </c>
      <c r="AK68" s="349">
        <f t="shared" si="17"/>
        <v>6961589.7921624072</v>
      </c>
      <c r="AL68" s="349">
        <f t="shared" si="17"/>
        <v>7254653.3743694294</v>
      </c>
      <c r="AM68" s="349">
        <f t="shared" si="17"/>
        <v>7560025.6270291461</v>
      </c>
      <c r="AN68" s="349">
        <f t="shared" si="17"/>
        <v>7878223.5143005708</v>
      </c>
      <c r="AO68" s="349">
        <f t="shared" si="17"/>
        <v>8209785.7128373953</v>
      </c>
      <c r="AP68" s="349">
        <f>AP66+AP67</f>
        <v>8555273.5237127654</v>
      </c>
      <c r="AQ68" s="170">
        <v>25</v>
      </c>
      <c r="AR68" s="170">
        <v>30</v>
      </c>
      <c r="AS68" s="170">
        <v>40</v>
      </c>
    </row>
    <row r="69" spans="1:45" x14ac:dyDescent="0.2">
      <c r="A69" s="217"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8" t="s">
        <v>311</v>
      </c>
      <c r="B70" s="349">
        <f t="shared" ref="B70:AO70" si="19">B68+B69</f>
        <v>458231.47</v>
      </c>
      <c r="C70" s="349">
        <f t="shared" si="19"/>
        <v>548424.64494727494</v>
      </c>
      <c r="D70" s="349">
        <f t="shared" si="19"/>
        <v>1166532.0222315588</v>
      </c>
      <c r="E70" s="349">
        <f t="shared" si="19"/>
        <v>1854333.0991648126</v>
      </c>
      <c r="F70" s="349">
        <f t="shared" si="19"/>
        <v>1932891.9002659349</v>
      </c>
      <c r="G70" s="349">
        <f t="shared" si="19"/>
        <v>2014750.1710133045</v>
      </c>
      <c r="H70" s="349">
        <f t="shared" si="19"/>
        <v>2100046.4891320635</v>
      </c>
      <c r="I70" s="349">
        <f t="shared" si="19"/>
        <v>2188925.2526118103</v>
      </c>
      <c r="J70" s="349">
        <f t="shared" si="19"/>
        <v>2281536.9241577061</v>
      </c>
      <c r="K70" s="349">
        <f t="shared" si="19"/>
        <v>2378038.28590853</v>
      </c>
      <c r="L70" s="349">
        <f t="shared" si="19"/>
        <v>2478592.7048528888</v>
      </c>
      <c r="M70" s="349">
        <f t="shared" si="19"/>
        <v>2583370.4093929101</v>
      </c>
      <c r="N70" s="349">
        <f t="shared" si="19"/>
        <v>2692548.7775236121</v>
      </c>
      <c r="O70" s="349">
        <f t="shared" si="19"/>
        <v>2806312.6371158035</v>
      </c>
      <c r="P70" s="349">
        <f t="shared" si="19"/>
        <v>2924854.5788108674</v>
      </c>
      <c r="Q70" s="349">
        <f t="shared" si="19"/>
        <v>3048375.2820571242</v>
      </c>
      <c r="R70" s="349">
        <f t="shared" si="19"/>
        <v>3177083.8548397236</v>
      </c>
      <c r="S70" s="349">
        <f t="shared" si="19"/>
        <v>3311198.1876791921</v>
      </c>
      <c r="T70" s="349">
        <f t="shared" si="19"/>
        <v>3450945.3224979183</v>
      </c>
      <c r="U70" s="349">
        <f t="shared" si="19"/>
        <v>3596561.8369790311</v>
      </c>
      <c r="V70" s="349">
        <f t="shared" si="19"/>
        <v>3748294.2450683503</v>
      </c>
      <c r="W70" s="349">
        <f t="shared" si="19"/>
        <v>3906399.414297421</v>
      </c>
      <c r="X70" s="349">
        <f t="shared" si="19"/>
        <v>4071145.0006341133</v>
      </c>
      <c r="Y70" s="349">
        <f t="shared" si="19"/>
        <v>4242809.9015969466</v>
      </c>
      <c r="Z70" s="349">
        <f t="shared" si="19"/>
        <v>4421684.7284002183</v>
      </c>
      <c r="AA70" s="349">
        <f t="shared" si="19"/>
        <v>4608072.2979292283</v>
      </c>
      <c r="AB70" s="349">
        <f t="shared" si="19"/>
        <v>4802288.1453784555</v>
      </c>
      <c r="AC70" s="349">
        <f t="shared" si="19"/>
        <v>5004661.058420551</v>
      </c>
      <c r="AD70" s="349">
        <f t="shared" si="19"/>
        <v>5215533.6338104149</v>
      </c>
      <c r="AE70" s="349">
        <f t="shared" si="19"/>
        <v>5435262.8573666513</v>
      </c>
      <c r="AF70" s="349">
        <f t="shared" si="19"/>
        <v>5664220.7083122516</v>
      </c>
      <c r="AG70" s="349">
        <f t="shared" si="19"/>
        <v>5902794.7889975654</v>
      </c>
      <c r="AH70" s="349">
        <f t="shared" si="19"/>
        <v>6151388.9810716631</v>
      </c>
      <c r="AI70" s="349">
        <f t="shared" si="19"/>
        <v>6410424.1292128731</v>
      </c>
      <c r="AJ70" s="349">
        <f t="shared" si="19"/>
        <v>6680338.7535760142</v>
      </c>
      <c r="AK70" s="349">
        <f t="shared" si="19"/>
        <v>6961589.7921624072</v>
      </c>
      <c r="AL70" s="349">
        <f t="shared" si="19"/>
        <v>7254653.3743694294</v>
      </c>
      <c r="AM70" s="349">
        <f t="shared" si="19"/>
        <v>7560025.6270291461</v>
      </c>
      <c r="AN70" s="349">
        <f t="shared" si="19"/>
        <v>7878223.5143005708</v>
      </c>
      <c r="AO70" s="349">
        <f t="shared" si="19"/>
        <v>8209785.7128373953</v>
      </c>
      <c r="AP70" s="349">
        <f>AP68+AP69</f>
        <v>8555273.5237127654</v>
      </c>
    </row>
    <row r="71" spans="1:45" x14ac:dyDescent="0.2">
      <c r="A71" s="217" t="s">
        <v>305</v>
      </c>
      <c r="B71" s="348">
        <f t="shared" ref="B71:AP71" si="20">-B70*$B$36</f>
        <v>-91646.293999999994</v>
      </c>
      <c r="C71" s="348">
        <f t="shared" si="20"/>
        <v>-109684.92898945499</v>
      </c>
      <c r="D71" s="348">
        <f t="shared" si="20"/>
        <v>-233306.40444631176</v>
      </c>
      <c r="E71" s="348">
        <f t="shared" si="20"/>
        <v>-370866.61983296252</v>
      </c>
      <c r="F71" s="348">
        <f t="shared" si="20"/>
        <v>-386578.38005318702</v>
      </c>
      <c r="G71" s="348">
        <f t="shared" si="20"/>
        <v>-402950.0342026609</v>
      </c>
      <c r="H71" s="348">
        <f t="shared" si="20"/>
        <v>-420009.29782641272</v>
      </c>
      <c r="I71" s="348">
        <f t="shared" si="20"/>
        <v>-437785.05052236211</v>
      </c>
      <c r="J71" s="348">
        <f t="shared" si="20"/>
        <v>-456307.38483154122</v>
      </c>
      <c r="K71" s="348">
        <f t="shared" si="20"/>
        <v>-475607.65718170605</v>
      </c>
      <c r="L71" s="348">
        <f t="shared" si="20"/>
        <v>-495718.5409705778</v>
      </c>
      <c r="M71" s="348">
        <f t="shared" si="20"/>
        <v>-516674.08187858202</v>
      </c>
      <c r="N71" s="348">
        <f t="shared" si="20"/>
        <v>-538509.75550472247</v>
      </c>
      <c r="O71" s="348">
        <f t="shared" si="20"/>
        <v>-561262.52742316073</v>
      </c>
      <c r="P71" s="348">
        <f t="shared" si="20"/>
        <v>-584970.91576217348</v>
      </c>
      <c r="Q71" s="348">
        <f t="shared" si="20"/>
        <v>-609675.05641142488</v>
      </c>
      <c r="R71" s="348">
        <f t="shared" si="20"/>
        <v>-635416.77096794476</v>
      </c>
      <c r="S71" s="348">
        <f t="shared" si="20"/>
        <v>-662239.63753583841</v>
      </c>
      <c r="T71" s="348">
        <f t="shared" si="20"/>
        <v>-690189.06449958368</v>
      </c>
      <c r="U71" s="348">
        <f t="shared" si="20"/>
        <v>-719312.36739580624</v>
      </c>
      <c r="V71" s="348">
        <f t="shared" si="20"/>
        <v>-749658.84901367011</v>
      </c>
      <c r="W71" s="348">
        <f t="shared" si="20"/>
        <v>-781279.88285948429</v>
      </c>
      <c r="X71" s="348">
        <f t="shared" si="20"/>
        <v>-814229.00012682274</v>
      </c>
      <c r="Y71" s="348">
        <f t="shared" si="20"/>
        <v>-848561.98031938937</v>
      </c>
      <c r="Z71" s="348">
        <f t="shared" si="20"/>
        <v>-884336.94568004366</v>
      </c>
      <c r="AA71" s="348">
        <f t="shared" si="20"/>
        <v>-921614.4595858457</v>
      </c>
      <c r="AB71" s="348">
        <f t="shared" si="20"/>
        <v>-960457.6290756911</v>
      </c>
      <c r="AC71" s="348">
        <f t="shared" si="20"/>
        <v>-1000932.2116841102</v>
      </c>
      <c r="AD71" s="348">
        <f t="shared" si="20"/>
        <v>-1043106.726762083</v>
      </c>
      <c r="AE71" s="348">
        <f t="shared" si="20"/>
        <v>-1087052.5714733303</v>
      </c>
      <c r="AF71" s="348">
        <f t="shared" si="20"/>
        <v>-1132844.1416624503</v>
      </c>
      <c r="AG71" s="348">
        <f t="shared" si="20"/>
        <v>-1180558.9577995131</v>
      </c>
      <c r="AH71" s="348">
        <f t="shared" si="20"/>
        <v>-1230277.7962143326</v>
      </c>
      <c r="AI71" s="348">
        <f t="shared" si="20"/>
        <v>-1282084.8258425747</v>
      </c>
      <c r="AJ71" s="348">
        <f t="shared" si="20"/>
        <v>-1336067.7507152029</v>
      </c>
      <c r="AK71" s="348">
        <f t="shared" si="20"/>
        <v>-1392317.9584324816</v>
      </c>
      <c r="AL71" s="348">
        <f t="shared" si="20"/>
        <v>-1450930.6748738859</v>
      </c>
      <c r="AM71" s="348">
        <f t="shared" si="20"/>
        <v>-1512005.1254058294</v>
      </c>
      <c r="AN71" s="348">
        <f t="shared" si="20"/>
        <v>-1575644.7028601142</v>
      </c>
      <c r="AO71" s="348">
        <f t="shared" si="20"/>
        <v>-1641957.1425674791</v>
      </c>
      <c r="AP71" s="348">
        <f t="shared" si="20"/>
        <v>-1711054.7047425532</v>
      </c>
    </row>
    <row r="72" spans="1:45" ht="15" thickBot="1" x14ac:dyDescent="0.25">
      <c r="A72" s="222" t="s">
        <v>310</v>
      </c>
      <c r="B72" s="223">
        <f t="shared" ref="B72:AO72" si="21">B70+B71</f>
        <v>366585.17599999998</v>
      </c>
      <c r="C72" s="223">
        <f t="shared" si="21"/>
        <v>438739.71595781995</v>
      </c>
      <c r="D72" s="223">
        <f t="shared" si="21"/>
        <v>933225.61778524704</v>
      </c>
      <c r="E72" s="223">
        <f t="shared" si="21"/>
        <v>1483466.4793318501</v>
      </c>
      <c r="F72" s="223">
        <f t="shared" si="21"/>
        <v>1546313.5202127479</v>
      </c>
      <c r="G72" s="223">
        <f t="shared" si="21"/>
        <v>1611800.1368106436</v>
      </c>
      <c r="H72" s="223">
        <f t="shared" si="21"/>
        <v>1680037.1913056509</v>
      </c>
      <c r="I72" s="223">
        <f t="shared" si="21"/>
        <v>1751140.2020894482</v>
      </c>
      <c r="J72" s="223">
        <f t="shared" si="21"/>
        <v>1825229.5393261649</v>
      </c>
      <c r="K72" s="223">
        <f t="shared" si="21"/>
        <v>1902430.628726824</v>
      </c>
      <c r="L72" s="223">
        <f t="shared" si="21"/>
        <v>1982874.163882311</v>
      </c>
      <c r="M72" s="223">
        <f t="shared" si="21"/>
        <v>2066696.3275143281</v>
      </c>
      <c r="N72" s="223">
        <f t="shared" si="21"/>
        <v>2154039.0220188899</v>
      </c>
      <c r="O72" s="223">
        <f t="shared" si="21"/>
        <v>2245050.1096926429</v>
      </c>
      <c r="P72" s="223">
        <f t="shared" si="21"/>
        <v>2339883.6630486939</v>
      </c>
      <c r="Q72" s="223">
        <f t="shared" si="21"/>
        <v>2438700.2256456995</v>
      </c>
      <c r="R72" s="223">
        <f t="shared" si="21"/>
        <v>2541667.083871779</v>
      </c>
      <c r="S72" s="223">
        <f t="shared" si="21"/>
        <v>2648958.5501433536</v>
      </c>
      <c r="T72" s="223">
        <f t="shared" si="21"/>
        <v>2760756.2579983347</v>
      </c>
      <c r="U72" s="223">
        <f t="shared" si="21"/>
        <v>2877249.469583225</v>
      </c>
      <c r="V72" s="223">
        <f t="shared" si="21"/>
        <v>2998635.3960546805</v>
      </c>
      <c r="W72" s="223">
        <f t="shared" si="21"/>
        <v>3125119.5314379367</v>
      </c>
      <c r="X72" s="223">
        <f t="shared" si="21"/>
        <v>3256916.0005072905</v>
      </c>
      <c r="Y72" s="223">
        <f t="shared" si="21"/>
        <v>3394247.9212775575</v>
      </c>
      <c r="Z72" s="223">
        <f t="shared" si="21"/>
        <v>3537347.7827201746</v>
      </c>
      <c r="AA72" s="223">
        <f t="shared" si="21"/>
        <v>3686457.8383433828</v>
      </c>
      <c r="AB72" s="223">
        <f t="shared" si="21"/>
        <v>3841830.5163027644</v>
      </c>
      <c r="AC72" s="223">
        <f t="shared" si="21"/>
        <v>4003728.8467364409</v>
      </c>
      <c r="AD72" s="223">
        <f t="shared" si="21"/>
        <v>4172426.907048332</v>
      </c>
      <c r="AE72" s="223">
        <f t="shared" si="21"/>
        <v>4348210.285893321</v>
      </c>
      <c r="AF72" s="223">
        <f t="shared" si="21"/>
        <v>4531376.5666498011</v>
      </c>
      <c r="AG72" s="223">
        <f t="shared" si="21"/>
        <v>4722235.8311980525</v>
      </c>
      <c r="AH72" s="223">
        <f t="shared" si="21"/>
        <v>4921111.1848573303</v>
      </c>
      <c r="AI72" s="223">
        <f t="shared" si="21"/>
        <v>5128339.3033702988</v>
      </c>
      <c r="AJ72" s="223">
        <f t="shared" si="21"/>
        <v>5344271.0028608115</v>
      </c>
      <c r="AK72" s="223">
        <f t="shared" si="21"/>
        <v>5569271.8337299256</v>
      </c>
      <c r="AL72" s="223">
        <f t="shared" si="21"/>
        <v>5803722.6994955437</v>
      </c>
      <c r="AM72" s="223">
        <f t="shared" si="21"/>
        <v>6048020.5016233167</v>
      </c>
      <c r="AN72" s="223">
        <f t="shared" si="21"/>
        <v>6302578.8114404567</v>
      </c>
      <c r="AO72" s="223">
        <f t="shared" si="21"/>
        <v>6567828.5702699162</v>
      </c>
      <c r="AP72" s="223">
        <f>AP70+AP71</f>
        <v>6844218.8189702127</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9">
        <f t="shared" ref="B75:AO75" si="24">B68</f>
        <v>458231.47</v>
      </c>
      <c r="C75" s="349">
        <f t="shared" si="24"/>
        <v>548424.64494727494</v>
      </c>
      <c r="D75" s="349">
        <f>D68</f>
        <v>1166532.0222315588</v>
      </c>
      <c r="E75" s="349">
        <f t="shared" si="24"/>
        <v>1854333.0991648126</v>
      </c>
      <c r="F75" s="349">
        <f t="shared" si="24"/>
        <v>1932891.9002659349</v>
      </c>
      <c r="G75" s="349">
        <f t="shared" si="24"/>
        <v>2014750.1710133045</v>
      </c>
      <c r="H75" s="349">
        <f t="shared" si="24"/>
        <v>2100046.4891320635</v>
      </c>
      <c r="I75" s="349">
        <f t="shared" si="24"/>
        <v>2188925.2526118103</v>
      </c>
      <c r="J75" s="349">
        <f t="shared" si="24"/>
        <v>2281536.9241577061</v>
      </c>
      <c r="K75" s="349">
        <f t="shared" si="24"/>
        <v>2378038.28590853</v>
      </c>
      <c r="L75" s="349">
        <f t="shared" si="24"/>
        <v>2478592.7048528888</v>
      </c>
      <c r="M75" s="349">
        <f t="shared" si="24"/>
        <v>2583370.4093929101</v>
      </c>
      <c r="N75" s="349">
        <f t="shared" si="24"/>
        <v>2692548.7775236121</v>
      </c>
      <c r="O75" s="349">
        <f t="shared" si="24"/>
        <v>2806312.6371158035</v>
      </c>
      <c r="P75" s="349">
        <f t="shared" si="24"/>
        <v>2924854.5788108674</v>
      </c>
      <c r="Q75" s="349">
        <f t="shared" si="24"/>
        <v>3048375.2820571242</v>
      </c>
      <c r="R75" s="349">
        <f t="shared" si="24"/>
        <v>3177083.8548397236</v>
      </c>
      <c r="S75" s="349">
        <f t="shared" si="24"/>
        <v>3311198.1876791921</v>
      </c>
      <c r="T75" s="349">
        <f t="shared" si="24"/>
        <v>3450945.3224979183</v>
      </c>
      <c r="U75" s="349">
        <f t="shared" si="24"/>
        <v>3596561.8369790311</v>
      </c>
      <c r="V75" s="349">
        <f t="shared" si="24"/>
        <v>3748294.2450683503</v>
      </c>
      <c r="W75" s="349">
        <f t="shared" si="24"/>
        <v>3906399.414297421</v>
      </c>
      <c r="X75" s="349">
        <f t="shared" si="24"/>
        <v>4071145.0006341133</v>
      </c>
      <c r="Y75" s="349">
        <f t="shared" si="24"/>
        <v>4242809.9015969466</v>
      </c>
      <c r="Z75" s="349">
        <f t="shared" si="24"/>
        <v>4421684.7284002183</v>
      </c>
      <c r="AA75" s="349">
        <f t="shared" si="24"/>
        <v>4608072.2979292283</v>
      </c>
      <c r="AB75" s="349">
        <f t="shared" si="24"/>
        <v>4802288.1453784555</v>
      </c>
      <c r="AC75" s="349">
        <f t="shared" si="24"/>
        <v>5004661.058420551</v>
      </c>
      <c r="AD75" s="349">
        <f t="shared" si="24"/>
        <v>5215533.6338104149</v>
      </c>
      <c r="AE75" s="349">
        <f t="shared" si="24"/>
        <v>5435262.8573666513</v>
      </c>
      <c r="AF75" s="349">
        <f t="shared" si="24"/>
        <v>5664220.7083122516</v>
      </c>
      <c r="AG75" s="349">
        <f t="shared" si="24"/>
        <v>5902794.7889975654</v>
      </c>
      <c r="AH75" s="349">
        <f t="shared" si="24"/>
        <v>6151388.9810716631</v>
      </c>
      <c r="AI75" s="349">
        <f t="shared" si="24"/>
        <v>6410424.1292128731</v>
      </c>
      <c r="AJ75" s="349">
        <f t="shared" si="24"/>
        <v>6680338.7535760142</v>
      </c>
      <c r="AK75" s="349">
        <f t="shared" si="24"/>
        <v>6961589.7921624072</v>
      </c>
      <c r="AL75" s="349">
        <f t="shared" si="24"/>
        <v>7254653.3743694294</v>
      </c>
      <c r="AM75" s="349">
        <f t="shared" si="24"/>
        <v>7560025.6270291461</v>
      </c>
      <c r="AN75" s="349">
        <f t="shared" si="24"/>
        <v>7878223.5143005708</v>
      </c>
      <c r="AO75" s="349">
        <f t="shared" si="24"/>
        <v>8209785.7128373953</v>
      </c>
      <c r="AP75" s="349">
        <f>AP68</f>
        <v>8555273.5237127654</v>
      </c>
    </row>
    <row r="76" spans="1:45" x14ac:dyDescent="0.2">
      <c r="A76" s="217" t="s">
        <v>307</v>
      </c>
      <c r="B76" s="348">
        <f t="shared" ref="B76:AO76" si="25">-B67</f>
        <v>0</v>
      </c>
      <c r="C76" s="348">
        <f>-C67</f>
        <v>16114.546100000001</v>
      </c>
      <c r="D76" s="348">
        <f t="shared" si="25"/>
        <v>16114.546100000001</v>
      </c>
      <c r="E76" s="348">
        <f t="shared" si="25"/>
        <v>16114.546100000001</v>
      </c>
      <c r="F76" s="348">
        <f>-C67</f>
        <v>16114.546100000001</v>
      </c>
      <c r="G76" s="348">
        <f t="shared" si="25"/>
        <v>16114.546100000001</v>
      </c>
      <c r="H76" s="348">
        <f t="shared" si="25"/>
        <v>16114.546100000001</v>
      </c>
      <c r="I76" s="348">
        <f t="shared" si="25"/>
        <v>16114.546100000001</v>
      </c>
      <c r="J76" s="348">
        <f t="shared" si="25"/>
        <v>16114.546100000001</v>
      </c>
      <c r="K76" s="348">
        <f t="shared" si="25"/>
        <v>16114.546100000001</v>
      </c>
      <c r="L76" s="348">
        <f>-L67</f>
        <v>16114.546100000001</v>
      </c>
      <c r="M76" s="348">
        <f>-M67</f>
        <v>16114.546100000001</v>
      </c>
      <c r="N76" s="348">
        <f t="shared" si="25"/>
        <v>16114.546100000001</v>
      </c>
      <c r="O76" s="348">
        <f t="shared" si="25"/>
        <v>16114.546100000001</v>
      </c>
      <c r="P76" s="348">
        <f t="shared" si="25"/>
        <v>16114.546100000001</v>
      </c>
      <c r="Q76" s="348">
        <f t="shared" si="25"/>
        <v>16114.546100000001</v>
      </c>
      <c r="R76" s="348">
        <f t="shared" si="25"/>
        <v>16114.546100000001</v>
      </c>
      <c r="S76" s="348">
        <f t="shared" si="25"/>
        <v>16114.546100000001</v>
      </c>
      <c r="T76" s="348">
        <f t="shared" si="25"/>
        <v>16114.546100000001</v>
      </c>
      <c r="U76" s="348">
        <f t="shared" si="25"/>
        <v>16114.546100000001</v>
      </c>
      <c r="V76" s="348">
        <f t="shared" si="25"/>
        <v>16114.546100000001</v>
      </c>
      <c r="W76" s="348">
        <f t="shared" si="25"/>
        <v>16114.546100000001</v>
      </c>
      <c r="X76" s="348">
        <f t="shared" si="25"/>
        <v>16114.546100000001</v>
      </c>
      <c r="Y76" s="348">
        <f t="shared" si="25"/>
        <v>16114.546100000001</v>
      </c>
      <c r="Z76" s="348">
        <f t="shared" si="25"/>
        <v>16114.546100000001</v>
      </c>
      <c r="AA76" s="348">
        <f t="shared" si="25"/>
        <v>16114.546100000001</v>
      </c>
      <c r="AB76" s="348">
        <f t="shared" si="25"/>
        <v>16114.546100000001</v>
      </c>
      <c r="AC76" s="348">
        <f t="shared" si="25"/>
        <v>16114.546100000001</v>
      </c>
      <c r="AD76" s="348">
        <f t="shared" si="25"/>
        <v>16114.546100000001</v>
      </c>
      <c r="AE76" s="348">
        <f t="shared" si="25"/>
        <v>16114.546100000001</v>
      </c>
      <c r="AF76" s="348">
        <f t="shared" si="25"/>
        <v>16114.546100000001</v>
      </c>
      <c r="AG76" s="348">
        <f t="shared" si="25"/>
        <v>16114.546100000001</v>
      </c>
      <c r="AH76" s="348">
        <f t="shared" si="25"/>
        <v>16114.546100000001</v>
      </c>
      <c r="AI76" s="348">
        <f t="shared" si="25"/>
        <v>16114.546100000001</v>
      </c>
      <c r="AJ76" s="348">
        <f t="shared" si="25"/>
        <v>16114.546100000001</v>
      </c>
      <c r="AK76" s="348">
        <f t="shared" si="25"/>
        <v>16114.546100000001</v>
      </c>
      <c r="AL76" s="348">
        <f t="shared" si="25"/>
        <v>16114.546100000001</v>
      </c>
      <c r="AM76" s="348">
        <f t="shared" si="25"/>
        <v>16114.546100000001</v>
      </c>
      <c r="AN76" s="348">
        <f t="shared" si="25"/>
        <v>16114.546100000001</v>
      </c>
      <c r="AO76" s="348">
        <f t="shared" si="25"/>
        <v>16114.546100000001</v>
      </c>
      <c r="AP76" s="348">
        <f>-AP67</f>
        <v>16114.546100000001</v>
      </c>
    </row>
    <row r="77" spans="1:45" x14ac:dyDescent="0.2">
      <c r="A77" s="217"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7" t="s">
        <v>305</v>
      </c>
      <c r="B78" s="348">
        <f>IF(SUM($B$71:B71)+SUM($A$78:A78)&gt;0,0,SUM($B$71:B71)-SUM($A$78:A78))</f>
        <v>-91646.293999999994</v>
      </c>
      <c r="C78" s="348">
        <f>IF(SUM($B$71:C71)+SUM($A$78:B78)&gt;0,0,SUM($B$71:C71)-SUM($A$78:B78))</f>
        <v>-109684.92898945499</v>
      </c>
      <c r="D78" s="348">
        <f>IF(SUM($B$71:D71)+SUM($A$78:C78)&gt;0,0,SUM($B$71:D71)-SUM($A$78:C78))</f>
        <v>-233306.40444631176</v>
      </c>
      <c r="E78" s="348">
        <f>IF(SUM($B$71:E71)+SUM($A$78:D78)&gt;0,0,SUM($B$71:E71)-SUM($A$78:D78))</f>
        <v>-370866.61983296252</v>
      </c>
      <c r="F78" s="348">
        <f>IF(SUM($B$71:F71)+SUM($A$78:E78)&gt;0,0,SUM($B$71:F71)-SUM($A$78:E78))</f>
        <v>-386578.38005318691</v>
      </c>
      <c r="G78" s="348">
        <f>IF(SUM($B$71:G71)+SUM($A$78:F78)&gt;0,0,SUM($B$71:G71)-SUM($A$78:F78))</f>
        <v>-402950.0342026609</v>
      </c>
      <c r="H78" s="348">
        <f>IF(SUM($B$71:H71)+SUM($A$78:G78)&gt;0,0,SUM($B$71:H71)-SUM($A$78:G78))</f>
        <v>-420009.2978264126</v>
      </c>
      <c r="I78" s="348">
        <f>IF(SUM($B$71:I71)+SUM($A$78:H78)&gt;0,0,SUM($B$71:I71)-SUM($A$78:H78))</f>
        <v>-437785.05052236235</v>
      </c>
      <c r="J78" s="348">
        <f>IF(SUM($B$71:J71)+SUM($A$78:I78)&gt;0,0,SUM($B$71:J71)-SUM($A$78:I78))</f>
        <v>-456307.38483154122</v>
      </c>
      <c r="K78" s="348">
        <f>IF(SUM($B$71:K71)+SUM($A$78:J78)&gt;0,0,SUM($B$71:K71)-SUM($A$78:J78))</f>
        <v>-475607.65718170628</v>
      </c>
      <c r="L78" s="348">
        <f>IF(SUM($B$71:L71)+SUM($A$78:K78)&gt;0,0,SUM($B$71:L71)-SUM($A$78:K78))</f>
        <v>-495718.54097057786</v>
      </c>
      <c r="M78" s="348">
        <f>IF(SUM($B$71:M71)+SUM($A$78:L78)&gt;0,0,SUM($B$71:M71)-SUM($A$78:L78))</f>
        <v>-516674.08187858202</v>
      </c>
      <c r="N78" s="348">
        <f>IF(SUM($B$71:N71)+SUM($A$78:M78)&gt;0,0,SUM($B$71:N71)-SUM($A$78:M78))</f>
        <v>-538509.75550472271</v>
      </c>
      <c r="O78" s="348">
        <f>IF(SUM($B$71:O71)+SUM($A$78:N78)&gt;0,0,SUM($B$71:O71)-SUM($A$78:N78))</f>
        <v>-561262.52742316108</v>
      </c>
      <c r="P78" s="348">
        <f>IF(SUM($B$71:P71)+SUM($A$78:O78)&gt;0,0,SUM($B$71:P71)-SUM($A$78:O78))</f>
        <v>-584970.91576217394</v>
      </c>
      <c r="Q78" s="348">
        <f>IF(SUM($B$71:Q71)+SUM($A$78:P78)&gt;0,0,SUM($B$71:Q71)-SUM($A$78:P78))</f>
        <v>-609675.05641142465</v>
      </c>
      <c r="R78" s="348">
        <f>IF(SUM($B$71:R71)+SUM($A$78:Q78)&gt;0,0,SUM($B$71:R71)-SUM($A$78:Q78))</f>
        <v>-635416.77096794453</v>
      </c>
      <c r="S78" s="348">
        <f>IF(SUM($B$71:S71)+SUM($A$78:R78)&gt;0,0,SUM($B$71:S71)-SUM($A$78:R78))</f>
        <v>-662239.63753583841</v>
      </c>
      <c r="T78" s="348">
        <f>IF(SUM($B$71:T71)+SUM($A$78:S78)&gt;0,0,SUM($B$71:T71)-SUM($A$78:S78))</f>
        <v>-690189.06449958403</v>
      </c>
      <c r="U78" s="348">
        <f>IF(SUM($B$71:U71)+SUM($A$78:T78)&gt;0,0,SUM($B$71:U71)-SUM($A$78:T78))</f>
        <v>-719312.36739580706</v>
      </c>
      <c r="V78" s="348">
        <f>IF(SUM($B$71:V71)+SUM($A$78:U78)&gt;0,0,SUM($B$71:V71)-SUM($A$78:U78))</f>
        <v>-749658.84901366942</v>
      </c>
      <c r="W78" s="348">
        <f>IF(SUM($B$71:W71)+SUM($A$78:V78)&gt;0,0,SUM($B$71:W71)-SUM($A$78:V78))</f>
        <v>-781279.88285948336</v>
      </c>
      <c r="X78" s="348">
        <f>IF(SUM($B$71:X71)+SUM($A$78:W78)&gt;0,0,SUM($B$71:X71)-SUM($A$78:W78))</f>
        <v>-814229.00012682192</v>
      </c>
      <c r="Y78" s="348">
        <f>IF(SUM($B$71:Y71)+SUM($A$78:X78)&gt;0,0,SUM($B$71:Y71)-SUM($A$78:X78))</f>
        <v>-848561.98031939007</v>
      </c>
      <c r="Z78" s="348">
        <f>IF(SUM($B$71:Z71)+SUM($A$78:Y78)&gt;0,0,SUM($B$71:Z71)-SUM($A$78:Y78))</f>
        <v>-884336.94568004459</v>
      </c>
      <c r="AA78" s="348">
        <f>IF(SUM($B$71:AA71)+SUM($A$78:Z78)&gt;0,0,SUM($B$71:AA71)-SUM($A$78:Z78))</f>
        <v>-921614.45958584547</v>
      </c>
      <c r="AB78" s="348">
        <f>IF(SUM($B$71:AB71)+SUM($A$78:AA78)&gt;0,0,SUM($B$71:AB71)-SUM($A$78:AA78))</f>
        <v>-960457.6290756911</v>
      </c>
      <c r="AC78" s="348">
        <f>IF(SUM($B$71:AC71)+SUM($A$78:AB78)&gt;0,0,SUM($B$71:AC71)-SUM($A$78:AB78))</f>
        <v>-1000932.2116841096</v>
      </c>
      <c r="AD78" s="348">
        <f>IF(SUM($B$71:AD71)+SUM($A$78:AC78)&gt;0,0,SUM($B$71:AD71)-SUM($A$78:AC78))</f>
        <v>-1043106.7267620843</v>
      </c>
      <c r="AE78" s="348">
        <f>IF(SUM($B$71:AE71)+SUM($A$78:AD78)&gt;0,0,SUM($B$71:AE71)-SUM($A$78:AD78))</f>
        <v>-1087052.5714733303</v>
      </c>
      <c r="AF78" s="348">
        <f>IF(SUM($B$71:AF71)+SUM($A$78:AE78)&gt;0,0,SUM($B$71:AF71)-SUM($A$78:AE78))</f>
        <v>-1132844.1416624486</v>
      </c>
      <c r="AG78" s="348">
        <f>IF(SUM($B$71:AG71)+SUM($A$78:AF78)&gt;0,0,SUM($B$71:AG71)-SUM($A$78:AF78))</f>
        <v>-1180558.9577995129</v>
      </c>
      <c r="AH78" s="348">
        <f>IF(SUM($B$71:AH71)+SUM($A$78:AG78)&gt;0,0,SUM($B$71:AH71)-SUM($A$78:AG78))</f>
        <v>-1230277.7962143309</v>
      </c>
      <c r="AI78" s="348">
        <f>IF(SUM($B$71:AI71)+SUM($A$78:AH78)&gt;0,0,SUM($B$71:AI71)-SUM($A$78:AH78))</f>
        <v>-1282084.8258425742</v>
      </c>
      <c r="AJ78" s="348">
        <f>IF(SUM($B$71:AJ71)+SUM($A$78:AI78)&gt;0,0,SUM($B$71:AJ71)-SUM($A$78:AI78))</f>
        <v>-1336067.7507152036</v>
      </c>
      <c r="AK78" s="348">
        <f>IF(SUM($B$71:AK71)+SUM($A$78:AJ78)&gt;0,0,SUM($B$71:AK71)-SUM($A$78:AJ78))</f>
        <v>-1392317.9584324807</v>
      </c>
      <c r="AL78" s="348">
        <f>IF(SUM($B$71:AL71)+SUM($A$78:AK78)&gt;0,0,SUM($B$71:AL71)-SUM($A$78:AK78))</f>
        <v>-1450930.6748738848</v>
      </c>
      <c r="AM78" s="348">
        <f>IF(SUM($B$71:AM71)+SUM($A$78:AL78)&gt;0,0,SUM($B$71:AM71)-SUM($A$78:AL78))</f>
        <v>-1512005.1254058294</v>
      </c>
      <c r="AN78" s="348">
        <f>IF(SUM($B$71:AN71)+SUM($A$78:AM78)&gt;0,0,SUM($B$71:AN71)-SUM($A$78:AM78))</f>
        <v>-1575644.7028601132</v>
      </c>
      <c r="AO78" s="348">
        <f>IF(SUM($B$71:AO71)+SUM($A$78:AN78)&gt;0,0,SUM($B$71:AO71)-SUM($A$78:AN78))</f>
        <v>-1641957.1425674781</v>
      </c>
      <c r="AP78" s="348">
        <f>IF(SUM($B$71:AP71)+SUM($A$78:AO78)&gt;0,0,SUM($B$71:AP71)-SUM($A$78:AO78))</f>
        <v>-1711054.7047425508</v>
      </c>
    </row>
    <row r="79" spans="1:45" x14ac:dyDescent="0.2">
      <c r="A79" s="217" t="s">
        <v>304</v>
      </c>
      <c r="B79" s="348">
        <f>IF(((SUM($B$59:B59)+SUM($B$61:B64))+SUM($B$81:B81))&lt;0,((SUM($B$59:B59)+SUM($B$61:B64))+SUM($B$81:B81))*0.18-SUM($A$79:A79),IF(SUM(A$79:$B79)&lt;0,0-SUM(A$79:$B79),0))</f>
        <v>-8.9999999979045245E-3</v>
      </c>
      <c r="C79" s="348">
        <f>IF(((SUM($B$59:C59)+SUM($B$61:C64))+SUM($B$81:C81))&lt;0,((SUM($B$59:C59)+SUM($B$61:C64))+SUM($B$81:C81))*0.18-SUM($A$79:B79),IF(SUM($B$79:B79)&lt;0,0-SUM($B$79:B79),0))</f>
        <v>8.9999999979045245E-3</v>
      </c>
      <c r="D79" s="348">
        <f>IF(((SUM($B$59:D59)+SUM($B$61:D64))+SUM($B$81:D81))&lt;0,((SUM($B$59:D59)+SUM($B$61:D64))+SUM($B$81:D81))*0.18-SUM($A$79:C79),IF(SUM($B$79:C79)&lt;0,0-SUM($B$79:C79),0))</f>
        <v>0</v>
      </c>
      <c r="E79" s="348">
        <f>IF(((SUM($B$59:E59)+SUM($B$61:E64))+SUM($B$81:E81))&lt;0,((SUM($B$59:E59)+SUM($B$61:E64))+SUM($B$81:E81))*0.18-SUM($A$79:D79),IF(SUM($B$79:D79)&lt;0,0-SUM($B$79:D79),0))</f>
        <v>0</v>
      </c>
      <c r="F79" s="348">
        <f>IF(((SUM($B$59:F59)+SUM($B$61:F64))+SUM($B$81:F81))&lt;0,((SUM($B$59:F59)+SUM($B$61:F64))+SUM($B$81:F81))*0.18-SUM($A$79:E79),IF(SUM($B$79:E79)&lt;0,0-SUM($B$79:E79),0))</f>
        <v>0</v>
      </c>
      <c r="G79" s="348">
        <f>IF(((SUM($B$59:G59)+SUM($B$61:G64))+SUM($B$81:G81))&lt;0,((SUM($B$59:G59)+SUM($B$61:G64))+SUM($B$81:G81))*0.18-SUM($A$79:F79),IF(SUM($B$79:F79)&lt;0,0-SUM($B$79:F79),0))</f>
        <v>0</v>
      </c>
      <c r="H79" s="348">
        <f>IF(((SUM($B$59:H59)+SUM($B$61:H64))+SUM($B$81:H81))&lt;0,((SUM($B$59:H59)+SUM($B$61:H64))+SUM($B$81:H81))*0.18-SUM($A$79:G79),IF(SUM($B$79:G79)&lt;0,0-SUM($B$79:G79),0))</f>
        <v>0</v>
      </c>
      <c r="I79" s="348">
        <f>IF(((SUM($B$59:I59)+SUM($B$61:I64))+SUM($B$81:I81))&lt;0,((SUM($B$59:I59)+SUM($B$61:I64))+SUM($B$81:I81))*0.18-SUM($A$79:H79),IF(SUM($B$79:H79)&lt;0,0-SUM($B$79:H79),0))</f>
        <v>0</v>
      </c>
      <c r="J79" s="348">
        <f>IF(((SUM($B$59:J59)+SUM($B$61:J64))+SUM($B$81:J81))&lt;0,((SUM($B$59:J59)+SUM($B$61:J64))+SUM($B$81:J81))*0.18-SUM($A$79:I79),IF(SUM($B$79:I79)&lt;0,0-SUM($B$79:I79),0))</f>
        <v>0</v>
      </c>
      <c r="K79" s="348">
        <f>IF(((SUM($B$59:K59)+SUM($B$61:K64))+SUM($B$81:K81))&lt;0,((SUM($B$59:K59)+SUM($B$61:K64))+SUM($B$81:K81))*0.18-SUM($A$79:J79),IF(SUM($B$79:J79)&lt;0,0-SUM($B$79:J79),0))</f>
        <v>0</v>
      </c>
      <c r="L79" s="348">
        <f>IF(((SUM($B$59:L59)+SUM($B$61:L64))+SUM($B$81:L81))&lt;0,((SUM($B$59:L59)+SUM($B$61:L64))+SUM($B$81:L81))*0.18-SUM($A$79:K79),IF(SUM($B$79:K79)&lt;0,0-SUM($B$79:K79),0))</f>
        <v>0</v>
      </c>
      <c r="M79" s="348">
        <f>IF(((SUM($B$59:M59)+SUM($B$61:M64))+SUM($B$81:M81))&lt;0,((SUM($B$59:M59)+SUM($B$61:M64))+SUM($B$81:M81))*0.18-SUM($A$79:L79),IF(SUM($B$79:L79)&lt;0,0-SUM($B$79:L79),0))</f>
        <v>0</v>
      </c>
      <c r="N79" s="348">
        <f>IF(((SUM($B$59:N59)+SUM($B$61:N64))+SUM($B$81:N81))&lt;0,((SUM($B$59:N59)+SUM($B$61:N64))+SUM($B$81:N81))*0.18-SUM($A$79:M79),IF(SUM($B$79:M79)&lt;0,0-SUM($B$79:M79),0))</f>
        <v>0</v>
      </c>
      <c r="O79" s="348">
        <f>IF(((SUM($B$59:O59)+SUM($B$61:O64))+SUM($B$81:O81))&lt;0,((SUM($B$59:O59)+SUM($B$61:O64))+SUM($B$81:O81))*0.18-SUM($A$79:N79),IF(SUM($B$79:N79)&lt;0,0-SUM($B$79:N79),0))</f>
        <v>0</v>
      </c>
      <c r="P79" s="348">
        <f>IF(((SUM($B$59:P59)+SUM($B$61:P64))+SUM($B$81:P81))&lt;0,((SUM($B$59:P59)+SUM($B$61:P64))+SUM($B$81:P81))*0.18-SUM($A$79:O79),IF(SUM($B$79:O79)&lt;0,0-SUM($B$79:O79),0))</f>
        <v>0</v>
      </c>
      <c r="Q79" s="348">
        <f>IF(((SUM($B$59:Q59)+SUM($B$61:Q64))+SUM($B$81:Q81))&lt;0,((SUM($B$59:Q59)+SUM($B$61:Q64))+SUM($B$81:Q81))*0.18-SUM($A$79:P79),IF(SUM($B$79:P79)&lt;0,0-SUM($B$79:P79),0))</f>
        <v>0</v>
      </c>
      <c r="R79" s="348">
        <f>IF(((SUM($B$59:R59)+SUM($B$61:R64))+SUM($B$81:R81))&lt;0,((SUM($B$59:R59)+SUM($B$61:R64))+SUM($B$81:R81))*0.18-SUM($A$79:Q79),IF(SUM($B$79:Q79)&lt;0,0-SUM($B$79:Q79),0))</f>
        <v>0</v>
      </c>
      <c r="S79" s="348">
        <f>IF(((SUM($B$59:S59)+SUM($B$61:S64))+SUM($B$81:S81))&lt;0,((SUM($B$59:S59)+SUM($B$61:S64))+SUM($B$81:S81))*0.18-SUM($A$79:R79),IF(SUM($B$79:R79)&lt;0,0-SUM($B$79:R79),0))</f>
        <v>0</v>
      </c>
      <c r="T79" s="348">
        <f>IF(((SUM($B$59:T59)+SUM($B$61:T64))+SUM($B$81:T81))&lt;0,((SUM($B$59:T59)+SUM($B$61:T64))+SUM($B$81:T81))*0.18-SUM($A$79:S79),IF(SUM($B$79:S79)&lt;0,0-SUM($B$79:S79),0))</f>
        <v>0</v>
      </c>
      <c r="U79" s="348">
        <f>IF(((SUM($B$59:U59)+SUM($B$61:U64))+SUM($B$81:U81))&lt;0,((SUM($B$59:U59)+SUM($B$61:U64))+SUM($B$81:U81))*0.18-SUM($A$79:T79),IF(SUM($B$79:T79)&lt;0,0-SUM($B$79:T79),0))</f>
        <v>0</v>
      </c>
      <c r="V79" s="348">
        <f>IF(((SUM($B$59:V59)+SUM($B$61:V64))+SUM($B$81:V81))&lt;0,((SUM($B$59:V59)+SUM($B$61:V64))+SUM($B$81:V81))*0.18-SUM($A$79:U79),IF(SUM($B$79:U79)&lt;0,0-SUM($B$79:U79),0))</f>
        <v>0</v>
      </c>
      <c r="W79" s="348">
        <f>IF(((SUM($B$59:W59)+SUM($B$61:W64))+SUM($B$81:W81))&lt;0,((SUM($B$59:W59)+SUM($B$61:W64))+SUM($B$81:W81))*0.18-SUM($A$79:V79),IF(SUM($B$79:V79)&lt;0,0-SUM($B$79:V79),0))</f>
        <v>0</v>
      </c>
      <c r="X79" s="348">
        <f>IF(((SUM($B$59:X59)+SUM($B$61:X64))+SUM($B$81:X81))&lt;0,((SUM($B$59:X59)+SUM($B$61:X64))+SUM($B$81:X81))*0.18-SUM($A$79:W79),IF(SUM($B$79:W79)&lt;0,0-SUM($B$79:W79),0))</f>
        <v>0</v>
      </c>
      <c r="Y79" s="348">
        <f>IF(((SUM($B$59:Y59)+SUM($B$61:Y64))+SUM($B$81:Y81))&lt;0,((SUM($B$59:Y59)+SUM($B$61:Y64))+SUM($B$81:Y81))*0.18-SUM($A$79:X79),IF(SUM($B$79:X79)&lt;0,0-SUM($B$79:X79),0))</f>
        <v>0</v>
      </c>
      <c r="Z79" s="348">
        <f>IF(((SUM($B$59:Z59)+SUM($B$61:Z64))+SUM($B$81:Z81))&lt;0,((SUM($B$59:Z59)+SUM($B$61:Z64))+SUM($B$81:Z81))*0.18-SUM($A$79:Y79),IF(SUM($B$79:Y79)&lt;0,0-SUM($B$79:Y79),0))</f>
        <v>0</v>
      </c>
      <c r="AA79" s="348">
        <f>IF(((SUM($B$59:AA59)+SUM($B$61:AA64))+SUM($B$81:AA81))&lt;0,((SUM($B$59:AA59)+SUM($B$61:AA64))+SUM($B$81:AA81))*0.18-SUM($A$79:Z79),IF(SUM($B$79:Z79)&lt;0,0-SUM($B$79:Z79),0))</f>
        <v>0</v>
      </c>
      <c r="AB79" s="348">
        <f>IF(((SUM($B$59:AB59)+SUM($B$61:AB64))+SUM($B$81:AB81))&lt;0,((SUM($B$59:AB59)+SUM($B$61:AB64))+SUM($B$81:AB81))*0.18-SUM($A$79:AA79),IF(SUM($B$79:AA79)&lt;0,0-SUM($B$79:AA79),0))</f>
        <v>0</v>
      </c>
      <c r="AC79" s="348">
        <f>IF(((SUM($B$59:AC59)+SUM($B$61:AC64))+SUM($B$81:AC81))&lt;0,((SUM($B$59:AC59)+SUM($B$61:AC64))+SUM($B$81:AC81))*0.18-SUM($A$79:AB79),IF(SUM($B$79:AB79)&lt;0,0-SUM($B$79:AB79),0))</f>
        <v>0</v>
      </c>
      <c r="AD79" s="348">
        <f>IF(((SUM($B$59:AD59)+SUM($B$61:AD64))+SUM($B$81:AD81))&lt;0,((SUM($B$59:AD59)+SUM($B$61:AD64))+SUM($B$81:AD81))*0.18-SUM($A$79:AC79),IF(SUM($B$79:AC79)&lt;0,0-SUM($B$79:AC79),0))</f>
        <v>0</v>
      </c>
      <c r="AE79" s="348">
        <f>IF(((SUM($B$59:AE59)+SUM($B$61:AE64))+SUM($B$81:AE81))&lt;0,((SUM($B$59:AE59)+SUM($B$61:AE64))+SUM($B$81:AE81))*0.18-SUM($A$79:AD79),IF(SUM($B$79:AD79)&lt;0,0-SUM($B$79:AD79),0))</f>
        <v>0</v>
      </c>
      <c r="AF79" s="348">
        <f>IF(((SUM($B$59:AF59)+SUM($B$61:AF64))+SUM($B$81:AF81))&lt;0,((SUM($B$59:AF59)+SUM($B$61:AF64))+SUM($B$81:AF81))*0.18-SUM($A$79:AE79),IF(SUM($B$79:AE79)&lt;0,0-SUM($B$79:AE79),0))</f>
        <v>0</v>
      </c>
      <c r="AG79" s="348">
        <f>IF(((SUM($B$59:AG59)+SUM($B$61:AG64))+SUM($B$81:AG81))&lt;0,((SUM($B$59:AG59)+SUM($B$61:AG64))+SUM($B$81:AG81))*0.18-SUM($A$79:AF79),IF(SUM($B$79:AF79)&lt;0,0-SUM($B$79:AF79),0))</f>
        <v>0</v>
      </c>
      <c r="AH79" s="348">
        <f>IF(((SUM($B$59:AH59)+SUM($B$61:AH64))+SUM($B$81:AH81))&lt;0,((SUM($B$59:AH59)+SUM($B$61:AH64))+SUM($B$81:AH81))*0.18-SUM($A$79:AG79),IF(SUM($B$79:AG79)&lt;0,0-SUM($B$79:AG79),0))</f>
        <v>0</v>
      </c>
      <c r="AI79" s="348">
        <f>IF(((SUM($B$59:AI59)+SUM($B$61:AI64))+SUM($B$81:AI81))&lt;0,((SUM($B$59:AI59)+SUM($B$61:AI64))+SUM($B$81:AI81))*0.18-SUM($A$79:AH79),IF(SUM($B$79:AH79)&lt;0,0-SUM($B$79:AH79),0))</f>
        <v>0</v>
      </c>
      <c r="AJ79" s="348">
        <f>IF(((SUM($B$59:AJ59)+SUM($B$61:AJ64))+SUM($B$81:AJ81))&lt;0,((SUM($B$59:AJ59)+SUM($B$61:AJ64))+SUM($B$81:AJ81))*0.18-SUM($A$79:AI79),IF(SUM($B$79:AI79)&lt;0,0-SUM($B$79:AI79),0))</f>
        <v>0</v>
      </c>
      <c r="AK79" s="348">
        <f>IF(((SUM($B$59:AK59)+SUM($B$61:AK64))+SUM($B$81:AK81))&lt;0,((SUM($B$59:AK59)+SUM($B$61:AK64))+SUM($B$81:AK81))*0.18-SUM($A$79:AJ79),IF(SUM($B$79:AJ79)&lt;0,0-SUM($B$79:AJ79),0))</f>
        <v>0</v>
      </c>
      <c r="AL79" s="348">
        <f>IF(((SUM($B$59:AL59)+SUM($B$61:AL64))+SUM($B$81:AL81))&lt;0,((SUM($B$59:AL59)+SUM($B$61:AL64))+SUM($B$81:AL81))*0.18-SUM($A$79:AK79),IF(SUM($B$79:AK79)&lt;0,0-SUM($B$79:AK79),0))</f>
        <v>0</v>
      </c>
      <c r="AM79" s="348">
        <f>IF(((SUM($B$59:AM59)+SUM($B$61:AM64))+SUM($B$81:AM81))&lt;0,((SUM($B$59:AM59)+SUM($B$61:AM64))+SUM($B$81:AM81))*0.18-SUM($A$79:AL79),IF(SUM($B$79:AL79)&lt;0,0-SUM($B$79:AL79),0))</f>
        <v>0</v>
      </c>
      <c r="AN79" s="348">
        <f>IF(((SUM($B$59:AN59)+SUM($B$61:AN64))+SUM($B$81:AN81))&lt;0,((SUM($B$59:AN59)+SUM($B$61:AN64))+SUM($B$81:AN81))*0.18-SUM($A$79:AM79),IF(SUM($B$79:AM79)&lt;0,0-SUM($B$79:AM79),0))</f>
        <v>0</v>
      </c>
      <c r="AO79" s="348">
        <f>IF(((SUM($B$59:AO59)+SUM($B$61:AO64))+SUM($B$81:AO81))&lt;0,((SUM($B$59:AO59)+SUM($B$61:AO64))+SUM($B$81:AO81))*0.18-SUM($A$79:AN79),IF(SUM($B$79:AN79)&lt;0,0-SUM($B$79:AN79),0))</f>
        <v>0</v>
      </c>
      <c r="AP79" s="348">
        <f>IF(((SUM($B$59:AP59)+SUM($B$61:AP64))+SUM($B$81:AP81))&lt;0,((SUM($B$59:AP59)+SUM($B$61:AP64))+SUM($B$81:AP81))*0.18-SUM($A$79:AO79),IF(SUM($B$79:AO79)&lt;0,0-SUM($B$79:AO79),0))</f>
        <v>0</v>
      </c>
    </row>
    <row r="80" spans="1:45" x14ac:dyDescent="0.2">
      <c r="A80" s="217"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7" t="s">
        <v>539</v>
      </c>
      <c r="B81" s="348">
        <f>-$B$126</f>
        <v>-458231.51999999996</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0">
        <f>SUM(B81:AP81)</f>
        <v>-458231.51999999996</v>
      </c>
      <c r="AR81" s="221"/>
    </row>
    <row r="82" spans="1:45" x14ac:dyDescent="0.2">
      <c r="A82" s="217"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8" t="s">
        <v>301</v>
      </c>
      <c r="B83" s="349">
        <f>SUM(B75:B82)</f>
        <v>-91646.353000000003</v>
      </c>
      <c r="C83" s="349">
        <f t="shared" ref="C83:V83" si="29">SUM(C75:C82)</f>
        <v>454854.27105782001</v>
      </c>
      <c r="D83" s="349">
        <f t="shared" si="29"/>
        <v>949340.16388524696</v>
      </c>
      <c r="E83" s="349">
        <f t="shared" si="29"/>
        <v>1499581.02543185</v>
      </c>
      <c r="F83" s="349">
        <f t="shared" si="29"/>
        <v>1562428.066312748</v>
      </c>
      <c r="G83" s="349">
        <f t="shared" si="29"/>
        <v>1627914.6829106435</v>
      </c>
      <c r="H83" s="349">
        <f t="shared" si="29"/>
        <v>1696151.7374056508</v>
      </c>
      <c r="I83" s="349">
        <f t="shared" si="29"/>
        <v>1767254.7481894479</v>
      </c>
      <c r="J83" s="349">
        <f t="shared" si="29"/>
        <v>1841344.0854261648</v>
      </c>
      <c r="K83" s="349">
        <f t="shared" si="29"/>
        <v>1918545.1748268236</v>
      </c>
      <c r="L83" s="349">
        <f t="shared" si="29"/>
        <v>1998988.7099823109</v>
      </c>
      <c r="M83" s="349">
        <f t="shared" si="29"/>
        <v>2082810.873614328</v>
      </c>
      <c r="N83" s="349">
        <f t="shared" si="29"/>
        <v>2170153.5681188894</v>
      </c>
      <c r="O83" s="349">
        <f t="shared" si="29"/>
        <v>2261164.6557926424</v>
      </c>
      <c r="P83" s="349">
        <f t="shared" si="29"/>
        <v>2355998.2091486934</v>
      </c>
      <c r="Q83" s="349">
        <f t="shared" si="29"/>
        <v>2454814.7717456995</v>
      </c>
      <c r="R83" s="349">
        <f t="shared" si="29"/>
        <v>2557781.629971779</v>
      </c>
      <c r="S83" s="349">
        <f t="shared" si="29"/>
        <v>2665073.0962433536</v>
      </c>
      <c r="T83" s="349">
        <f t="shared" si="29"/>
        <v>2776870.8040983342</v>
      </c>
      <c r="U83" s="349">
        <f t="shared" si="29"/>
        <v>2893364.015683224</v>
      </c>
      <c r="V83" s="349">
        <f t="shared" si="29"/>
        <v>3014749.9421546808</v>
      </c>
      <c r="W83" s="349">
        <f>SUM(W75:W82)</f>
        <v>3141234.0775379376</v>
      </c>
      <c r="X83" s="349">
        <f>SUM(X75:X82)</f>
        <v>3273030.5466072913</v>
      </c>
      <c r="Y83" s="349">
        <f>SUM(Y75:Y82)</f>
        <v>3410362.4673775565</v>
      </c>
      <c r="Z83" s="349">
        <f>SUM(Z75:Z82)</f>
        <v>3553462.3288201736</v>
      </c>
      <c r="AA83" s="349">
        <f t="shared" ref="AA83:AP83" si="30">SUM(AA75:AA82)</f>
        <v>3702572.3844433827</v>
      </c>
      <c r="AB83" s="349">
        <f t="shared" si="30"/>
        <v>3857945.0624027643</v>
      </c>
      <c r="AC83" s="349">
        <f t="shared" si="30"/>
        <v>4019843.3928364413</v>
      </c>
      <c r="AD83" s="349">
        <f t="shared" si="30"/>
        <v>4188541.4531483306</v>
      </c>
      <c r="AE83" s="349">
        <f t="shared" si="30"/>
        <v>4364324.831993321</v>
      </c>
      <c r="AF83" s="349">
        <f t="shared" si="30"/>
        <v>4547491.1127498029</v>
      </c>
      <c r="AG83" s="349">
        <f t="shared" si="30"/>
        <v>4738350.3772980524</v>
      </c>
      <c r="AH83" s="349">
        <f t="shared" si="30"/>
        <v>4937225.7309573321</v>
      </c>
      <c r="AI83" s="349">
        <f t="shared" si="30"/>
        <v>5144453.8494702987</v>
      </c>
      <c r="AJ83" s="349">
        <f t="shared" si="30"/>
        <v>5360385.5489608105</v>
      </c>
      <c r="AK83" s="349">
        <f t="shared" si="30"/>
        <v>5585386.3798299264</v>
      </c>
      <c r="AL83" s="349">
        <f t="shared" si="30"/>
        <v>5819837.2455955446</v>
      </c>
      <c r="AM83" s="349">
        <f t="shared" si="30"/>
        <v>6064135.0477233166</v>
      </c>
      <c r="AN83" s="349">
        <f t="shared" si="30"/>
        <v>6318693.3575404575</v>
      </c>
      <c r="AO83" s="349">
        <f t="shared" si="30"/>
        <v>6583943.1163699171</v>
      </c>
      <c r="AP83" s="349">
        <f t="shared" si="30"/>
        <v>6860333.3650702145</v>
      </c>
    </row>
    <row r="84" spans="1:45" ht="14.25" x14ac:dyDescent="0.2">
      <c r="A84" s="218" t="s">
        <v>300</v>
      </c>
      <c r="B84" s="349">
        <f>SUM($B$83:B83)</f>
        <v>-91646.353000000003</v>
      </c>
      <c r="C84" s="349">
        <f>SUM($B$83:C83)</f>
        <v>363207.91805782</v>
      </c>
      <c r="D84" s="349">
        <f>SUM($B$83:D83)</f>
        <v>1312548.081943067</v>
      </c>
      <c r="E84" s="349">
        <f>SUM($B$83:E83)</f>
        <v>2812129.1073749168</v>
      </c>
      <c r="F84" s="349">
        <f>SUM($B$83:F83)</f>
        <v>4374557.1736876648</v>
      </c>
      <c r="G84" s="349">
        <f>SUM($B$83:G83)</f>
        <v>6002471.8565983083</v>
      </c>
      <c r="H84" s="349">
        <f>SUM($B$83:H83)</f>
        <v>7698623.5940039586</v>
      </c>
      <c r="I84" s="349">
        <f>SUM($B$83:I83)</f>
        <v>9465878.3421934061</v>
      </c>
      <c r="J84" s="349">
        <f>SUM($B$83:J83)</f>
        <v>11307222.427619571</v>
      </c>
      <c r="K84" s="349">
        <f>SUM($B$83:K83)</f>
        <v>13225767.602446394</v>
      </c>
      <c r="L84" s="349">
        <f>SUM($B$83:L83)</f>
        <v>15224756.312428705</v>
      </c>
      <c r="M84" s="349">
        <f>SUM($B$83:M83)</f>
        <v>17307567.186043032</v>
      </c>
      <c r="N84" s="349">
        <f>SUM($B$83:N83)</f>
        <v>19477720.75416192</v>
      </c>
      <c r="O84" s="349">
        <f>SUM($B$83:O83)</f>
        <v>21738885.409954563</v>
      </c>
      <c r="P84" s="349">
        <f>SUM($B$83:P83)</f>
        <v>24094883.619103257</v>
      </c>
      <c r="Q84" s="349">
        <f>SUM($B$83:Q83)</f>
        <v>26549698.390848957</v>
      </c>
      <c r="R84" s="349">
        <f>SUM($B$83:R83)</f>
        <v>29107480.020820737</v>
      </c>
      <c r="S84" s="349">
        <f>SUM($B$83:S83)</f>
        <v>31772553.117064089</v>
      </c>
      <c r="T84" s="349">
        <f>SUM($B$83:T83)</f>
        <v>34549423.921162426</v>
      </c>
      <c r="U84" s="349">
        <f>SUM($B$83:U83)</f>
        <v>37442787.936845653</v>
      </c>
      <c r="V84" s="349">
        <f>SUM($B$83:V83)</f>
        <v>40457537.879000336</v>
      </c>
      <c r="W84" s="349">
        <f>SUM($B$83:W83)</f>
        <v>43598771.956538275</v>
      </c>
      <c r="X84" s="349">
        <f>SUM($B$83:X83)</f>
        <v>46871802.503145568</v>
      </c>
      <c r="Y84" s="349">
        <f>SUM($B$83:Y83)</f>
        <v>50282164.970523126</v>
      </c>
      <c r="Z84" s="349">
        <f>SUM($B$83:Z83)</f>
        <v>53835627.299343303</v>
      </c>
      <c r="AA84" s="349">
        <f>SUM($B$83:AA83)</f>
        <v>57538199.683786683</v>
      </c>
      <c r="AB84" s="349">
        <f>SUM($B$83:AB83)</f>
        <v>61396144.746189445</v>
      </c>
      <c r="AC84" s="349">
        <f>SUM($B$83:AC83)</f>
        <v>65415988.139025889</v>
      </c>
      <c r="AD84" s="349">
        <f>SUM($B$83:AD83)</f>
        <v>69604529.592174217</v>
      </c>
      <c r="AE84" s="349">
        <f>SUM($B$83:AE83)</f>
        <v>73968854.424167544</v>
      </c>
      <c r="AF84" s="349">
        <f>SUM($B$83:AF83)</f>
        <v>78516345.536917344</v>
      </c>
      <c r="AG84" s="349">
        <f>SUM($B$83:AG83)</f>
        <v>83254695.914215401</v>
      </c>
      <c r="AH84" s="349">
        <f>SUM($B$83:AH83)</f>
        <v>88191921.64517273</v>
      </c>
      <c r="AI84" s="349">
        <f>SUM($B$83:AI83)</f>
        <v>93336375.494643033</v>
      </c>
      <c r="AJ84" s="349">
        <f>SUM($B$83:AJ83)</f>
        <v>98696761.043603837</v>
      </c>
      <c r="AK84" s="349">
        <f>SUM($B$83:AK83)</f>
        <v>104282147.42343377</v>
      </c>
      <c r="AL84" s="349">
        <f>SUM($B$83:AL83)</f>
        <v>110101984.66902931</v>
      </c>
      <c r="AM84" s="349">
        <f>SUM($B$83:AM83)</f>
        <v>116166119.71675263</v>
      </c>
      <c r="AN84" s="349">
        <f>SUM($B$83:AN83)</f>
        <v>122484813.07429309</v>
      </c>
      <c r="AO84" s="349">
        <f>SUM($B$83:AO83)</f>
        <v>129068756.19066301</v>
      </c>
      <c r="AP84" s="349">
        <f>SUM($B$83:AP83)</f>
        <v>135929089.55573323</v>
      </c>
    </row>
    <row r="85" spans="1:45" x14ac:dyDescent="0.2">
      <c r="A85" s="217" t="s">
        <v>540</v>
      </c>
      <c r="B85" s="350">
        <f t="shared" ref="B85:AP85" si="31">1/POWER((1+$B$44),B73)</f>
        <v>0.43207415462612664</v>
      </c>
      <c r="C85" s="350">
        <f t="shared" si="31"/>
        <v>0.35856776317520883</v>
      </c>
      <c r="D85" s="350">
        <f t="shared" si="31"/>
        <v>0.29756660844415667</v>
      </c>
      <c r="E85" s="350">
        <f t="shared" si="31"/>
        <v>0.24694324352212174</v>
      </c>
      <c r="F85" s="350">
        <f t="shared" si="31"/>
        <v>0.20493215230051592</v>
      </c>
      <c r="G85" s="350">
        <f t="shared" si="31"/>
        <v>0.1700681761830008</v>
      </c>
      <c r="H85" s="350">
        <f t="shared" si="31"/>
        <v>0.14113541591950271</v>
      </c>
      <c r="I85" s="350">
        <f t="shared" si="31"/>
        <v>0.11712482648921385</v>
      </c>
      <c r="J85" s="350">
        <f t="shared" si="31"/>
        <v>9.719902613212765E-2</v>
      </c>
      <c r="K85" s="350">
        <f t="shared" si="31"/>
        <v>8.0663092225832109E-2</v>
      </c>
      <c r="L85" s="350">
        <f t="shared" si="31"/>
        <v>6.6940325498615838E-2</v>
      </c>
      <c r="M85" s="350">
        <f t="shared" si="31"/>
        <v>5.5552137343249659E-2</v>
      </c>
      <c r="N85" s="350">
        <f t="shared" si="31"/>
        <v>4.6101358791078552E-2</v>
      </c>
      <c r="O85" s="350">
        <f t="shared" si="31"/>
        <v>3.825838903823945E-2</v>
      </c>
      <c r="P85" s="350">
        <f t="shared" si="31"/>
        <v>3.174970044667174E-2</v>
      </c>
      <c r="Q85" s="350">
        <f t="shared" si="31"/>
        <v>2.6348299125868668E-2</v>
      </c>
      <c r="R85" s="350">
        <f t="shared" si="31"/>
        <v>2.1865808403210511E-2</v>
      </c>
      <c r="S85" s="350">
        <f t="shared" si="31"/>
        <v>1.814589908980126E-2</v>
      </c>
      <c r="T85" s="350">
        <f t="shared" si="31"/>
        <v>1.5058837418922204E-2</v>
      </c>
      <c r="U85" s="350">
        <f t="shared" si="31"/>
        <v>1.2496960513628384E-2</v>
      </c>
      <c r="V85" s="350">
        <f t="shared" si="31"/>
        <v>1.0370921588073345E-2</v>
      </c>
      <c r="W85" s="350">
        <f t="shared" si="31"/>
        <v>8.6065739320110735E-3</v>
      </c>
      <c r="X85" s="350">
        <f t="shared" si="31"/>
        <v>7.1423850058183183E-3</v>
      </c>
      <c r="Y85" s="350">
        <f t="shared" si="31"/>
        <v>5.9272904612600145E-3</v>
      </c>
      <c r="Z85" s="350">
        <f t="shared" si="31"/>
        <v>4.9189132458589318E-3</v>
      </c>
      <c r="AA85" s="350">
        <f t="shared" si="31"/>
        <v>4.082085681210732E-3</v>
      </c>
      <c r="AB85" s="350">
        <f t="shared" si="31"/>
        <v>3.3876229719591129E-3</v>
      </c>
      <c r="AC85" s="350">
        <f t="shared" si="31"/>
        <v>2.8113053709204251E-3</v>
      </c>
      <c r="AD85" s="350">
        <f t="shared" si="31"/>
        <v>2.3330335028385286E-3</v>
      </c>
      <c r="AE85" s="350">
        <f t="shared" si="31"/>
        <v>1.9361273882477412E-3</v>
      </c>
      <c r="AF85" s="350">
        <f t="shared" si="31"/>
        <v>1.6067447205375444E-3</v>
      </c>
      <c r="AG85" s="350">
        <f t="shared" si="31"/>
        <v>1.3333981083299121E-3</v>
      </c>
      <c r="AH85" s="350">
        <f t="shared" si="31"/>
        <v>1.1065544467468149E-3</v>
      </c>
      <c r="AI85" s="350">
        <f t="shared" si="31"/>
        <v>9.1830244543304122E-4</v>
      </c>
      <c r="AJ85" s="350">
        <f t="shared" si="31"/>
        <v>7.6207671820169396E-4</v>
      </c>
      <c r="AK85" s="350">
        <f t="shared" si="31"/>
        <v>6.3242881178563804E-4</v>
      </c>
      <c r="AL85" s="350">
        <f t="shared" si="31"/>
        <v>5.2483718820384888E-4</v>
      </c>
      <c r="AM85" s="350">
        <f t="shared" si="31"/>
        <v>4.3554953377912764E-4</v>
      </c>
      <c r="AN85" s="350">
        <f t="shared" si="31"/>
        <v>3.6145189525238806E-4</v>
      </c>
      <c r="AO85" s="350">
        <f t="shared" si="31"/>
        <v>2.9996007904762516E-4</v>
      </c>
      <c r="AP85" s="350">
        <f t="shared" si="31"/>
        <v>2.4892952618060153E-4</v>
      </c>
    </row>
    <row r="86" spans="1:45" ht="28.5" x14ac:dyDescent="0.2">
      <c r="A86" s="216" t="s">
        <v>299</v>
      </c>
      <c r="B86" s="349">
        <f>B83*B85</f>
        <v>-39598.020497042584</v>
      </c>
      <c r="C86" s="349">
        <f>C83*C85</f>
        <v>163096.07854389265</v>
      </c>
      <c r="D86" s="349">
        <f t="shared" ref="D86:AO86" si="32">D83*D85</f>
        <v>282491.93282715278</v>
      </c>
      <c r="E86" s="349">
        <f t="shared" si="32"/>
        <v>370311.40234437038</v>
      </c>
      <c r="F86" s="349">
        <f t="shared" si="32"/>
        <v>320191.74644420465</v>
      </c>
      <c r="G86" s="349">
        <f t="shared" si="32"/>
        <v>276856.48110414122</v>
      </c>
      <c r="H86" s="349">
        <f t="shared" si="32"/>
        <v>239387.08092133366</v>
      </c>
      <c r="I86" s="349">
        <f t="shared" si="32"/>
        <v>206989.40574392839</v>
      </c>
      <c r="J86" s="349">
        <f t="shared" si="32"/>
        <v>178976.85187757647</v>
      </c>
      <c r="K86" s="349">
        <f t="shared" si="32"/>
        <v>154755.78637648126</v>
      </c>
      <c r="L86" s="349">
        <f t="shared" si="32"/>
        <v>133812.95491427407</v>
      </c>
      <c r="M86" s="349">
        <f t="shared" si="32"/>
        <v>115704.59571103695</v>
      </c>
      <c r="N86" s="349">
        <f t="shared" si="32"/>
        <v>100047.02827558825</v>
      </c>
      <c r="O86" s="349">
        <f t="shared" si="32"/>
        <v>86508.517080831705</v>
      </c>
      <c r="P86" s="349">
        <f t="shared" si="32"/>
        <v>74802.237393366086</v>
      </c>
      <c r="Q86" s="349">
        <f t="shared" si="32"/>
        <v>64680.193904556705</v>
      </c>
      <c r="R86" s="349">
        <f t="shared" si="32"/>
        <v>55927.963058214402</v>
      </c>
      <c r="S86" s="349">
        <f t="shared" si="32"/>
        <v>48360.147471376098</v>
      </c>
      <c r="T86" s="349">
        <f t="shared" si="32"/>
        <v>41816.445972268586</v>
      </c>
      <c r="U86" s="349">
        <f t="shared" si="32"/>
        <v>36158.255855546508</v>
      </c>
      <c r="V86" s="349">
        <f t="shared" si="32"/>
        <v>31265.735257734847</v>
      </c>
      <c r="W86" s="349">
        <f t="shared" si="32"/>
        <v>27035.263326082866</v>
      </c>
      <c r="X86" s="349">
        <f t="shared" si="32"/>
        <v>23377.244299673253</v>
      </c>
      <c r="Y86" s="349">
        <f t="shared" si="32"/>
        <v>20214.208922326157</v>
      </c>
      <c r="Z86" s="349">
        <f t="shared" si="32"/>
        <v>17479.172917894281</v>
      </c>
      <c r="AA86" s="349">
        <f t="shared" si="32"/>
        <v>15114.217714182611</v>
      </c>
      <c r="AB86" s="349">
        <f t="shared" si="32"/>
        <v>13069.263317951838</v>
      </c>
      <c r="AC86" s="349">
        <f t="shared" si="32"/>
        <v>11301.007320540071</v>
      </c>
      <c r="AD86" s="349">
        <f t="shared" si="32"/>
        <v>9772.0075382230298</v>
      </c>
      <c r="AE86" s="349">
        <f t="shared" si="32"/>
        <v>8449.8888384319907</v>
      </c>
      <c r="AF86" s="349">
        <f t="shared" si="32"/>
        <v>7306.6573371021486</v>
      </c>
      <c r="AG86" s="349">
        <f t="shared" si="32"/>
        <v>6318.1074296935485</v>
      </c>
      <c r="AH86" s="349">
        <f t="shared" si="32"/>
        <v>5463.3090871836293</v>
      </c>
      <c r="AI86" s="349">
        <f t="shared" si="32"/>
        <v>4724.1645503859982</v>
      </c>
      <c r="AJ86" s="349">
        <f t="shared" si="32"/>
        <v>4085.0250274478403</v>
      </c>
      <c r="AK86" s="349">
        <f t="shared" si="32"/>
        <v>3532.3592715595269</v>
      </c>
      <c r="AL86" s="349">
        <f t="shared" si="32"/>
        <v>3054.4670157823984</v>
      </c>
      <c r="AM86" s="349">
        <f t="shared" si="32"/>
        <v>2641.2311928095587</v>
      </c>
      <c r="AN86" s="349">
        <f t="shared" si="32"/>
        <v>2283.9036896016737</v>
      </c>
      <c r="AO86" s="349">
        <f t="shared" si="32"/>
        <v>1974.9200976313878</v>
      </c>
      <c r="AP86" s="349">
        <f>AP83*AP85</f>
        <v>1707.7395340079001</v>
      </c>
    </row>
    <row r="87" spans="1:45" ht="14.25" x14ac:dyDescent="0.2">
      <c r="A87" s="216" t="s">
        <v>298</v>
      </c>
      <c r="B87" s="349">
        <f>SUM($B$86:B86)</f>
        <v>-39598.020497042584</v>
      </c>
      <c r="C87" s="349">
        <f>SUM($B$86:C86)</f>
        <v>123498.05804685007</v>
      </c>
      <c r="D87" s="349">
        <f>SUM($B$86:D86)</f>
        <v>405989.99087400286</v>
      </c>
      <c r="E87" s="349">
        <f>SUM($B$86:E86)</f>
        <v>776301.39321837318</v>
      </c>
      <c r="F87" s="349">
        <f>SUM($B$86:F86)</f>
        <v>1096493.1396625778</v>
      </c>
      <c r="G87" s="349">
        <f>SUM($B$86:G86)</f>
        <v>1373349.6207667189</v>
      </c>
      <c r="H87" s="349">
        <f>SUM($B$86:H86)</f>
        <v>1612736.7016880526</v>
      </c>
      <c r="I87" s="349">
        <f>SUM($B$86:I86)</f>
        <v>1819726.107431981</v>
      </c>
      <c r="J87" s="349">
        <f>SUM($B$86:J86)</f>
        <v>1998702.9593095575</v>
      </c>
      <c r="K87" s="349">
        <f>SUM($B$86:K86)</f>
        <v>2153458.7456860389</v>
      </c>
      <c r="L87" s="349">
        <f>SUM($B$86:L86)</f>
        <v>2287271.700600313</v>
      </c>
      <c r="M87" s="349">
        <f>SUM($B$86:M86)</f>
        <v>2402976.2963113501</v>
      </c>
      <c r="N87" s="349">
        <f>SUM($B$86:N86)</f>
        <v>2503023.3245869381</v>
      </c>
      <c r="O87" s="349">
        <f>SUM($B$86:O86)</f>
        <v>2589531.8416677699</v>
      </c>
      <c r="P87" s="349">
        <f>SUM($B$86:P86)</f>
        <v>2664334.0790611361</v>
      </c>
      <c r="Q87" s="349">
        <f>SUM($B$86:Q86)</f>
        <v>2729014.2729656929</v>
      </c>
      <c r="R87" s="349">
        <f>SUM($B$86:R86)</f>
        <v>2784942.2360239075</v>
      </c>
      <c r="S87" s="349">
        <f>SUM($B$86:S86)</f>
        <v>2833302.3834952838</v>
      </c>
      <c r="T87" s="349">
        <f>SUM($B$86:T86)</f>
        <v>2875118.8294675522</v>
      </c>
      <c r="U87" s="349">
        <f>SUM($B$86:U86)</f>
        <v>2911277.0853230986</v>
      </c>
      <c r="V87" s="349">
        <f>SUM($B$86:V86)</f>
        <v>2942542.8205808336</v>
      </c>
      <c r="W87" s="349">
        <f>SUM($B$86:W86)</f>
        <v>2969578.0839069164</v>
      </c>
      <c r="X87" s="349">
        <f>SUM($B$86:X86)</f>
        <v>2992955.3282065899</v>
      </c>
      <c r="Y87" s="349">
        <f>SUM($B$86:Y86)</f>
        <v>3013169.537128916</v>
      </c>
      <c r="Z87" s="349">
        <f>SUM($B$86:Z86)</f>
        <v>3030648.7100468101</v>
      </c>
      <c r="AA87" s="349">
        <f>SUM($B$86:AA86)</f>
        <v>3045762.9277609927</v>
      </c>
      <c r="AB87" s="349">
        <f>SUM($B$86:AB86)</f>
        <v>3058832.1910789446</v>
      </c>
      <c r="AC87" s="349">
        <f>SUM($B$86:AC86)</f>
        <v>3070133.1983994846</v>
      </c>
      <c r="AD87" s="349">
        <f>SUM($B$86:AD86)</f>
        <v>3079905.2059377078</v>
      </c>
      <c r="AE87" s="349">
        <f>SUM($B$86:AE86)</f>
        <v>3088355.0947761396</v>
      </c>
      <c r="AF87" s="349">
        <f>SUM($B$86:AF86)</f>
        <v>3095661.7521132417</v>
      </c>
      <c r="AG87" s="349">
        <f>SUM($B$86:AG86)</f>
        <v>3101979.8595429352</v>
      </c>
      <c r="AH87" s="349">
        <f>SUM($B$86:AH86)</f>
        <v>3107443.1686301189</v>
      </c>
      <c r="AI87" s="349">
        <f>SUM($B$86:AI86)</f>
        <v>3112167.3331805049</v>
      </c>
      <c r="AJ87" s="349">
        <f>SUM($B$86:AJ86)</f>
        <v>3116252.3582079527</v>
      </c>
      <c r="AK87" s="349">
        <f>SUM($B$86:AK86)</f>
        <v>3119784.7174795121</v>
      </c>
      <c r="AL87" s="349">
        <f>SUM($B$86:AL86)</f>
        <v>3122839.1844952945</v>
      </c>
      <c r="AM87" s="349">
        <f>SUM($B$86:AM86)</f>
        <v>3125480.415688104</v>
      </c>
      <c r="AN87" s="349">
        <f>SUM($B$86:AN86)</f>
        <v>3127764.3193777055</v>
      </c>
      <c r="AO87" s="349">
        <f>SUM($B$86:AO86)</f>
        <v>3129739.2394753369</v>
      </c>
      <c r="AP87" s="349">
        <f>SUM($B$86:AP86)</f>
        <v>3131446.9790093447</v>
      </c>
    </row>
    <row r="88" spans="1:45" ht="14.25" x14ac:dyDescent="0.2">
      <c r="A88" s="216" t="s">
        <v>297</v>
      </c>
      <c r="B88" s="351">
        <f>IF((ISERR(IRR($B$83:B83))),0,IF(IRR($B$83:B83)&lt;0,0,IRR($B$83:B83)))</f>
        <v>0</v>
      </c>
      <c r="C88" s="351">
        <f>IF((ISERR(IRR($B$83:C83))),0,IF(IRR($B$83:C83)&lt;0,0,IRR($B$83:C83)))</f>
        <v>3.9631464446579763</v>
      </c>
      <c r="D88" s="351">
        <f>IF((ISERR(IRR($B$83:D83))),0,IF(IRR($B$83:D83)&lt;0,0,IRR($B$83:D83)))</f>
        <v>5.5456769786703912</v>
      </c>
      <c r="E88" s="351">
        <f>IF((ISERR(IRR($B$83:E83))),0,IF(IRR($B$83:E83)&lt;0,0,IRR($B$83:E83)))</f>
        <v>5.830423606378746</v>
      </c>
      <c r="F88" s="351">
        <f>IF((ISERR(IRR($B$83:F83))),0,IF(IRR($B$83:F83)&lt;0,0,IRR($B$83:F83)))</f>
        <v>5.8701765649080526</v>
      </c>
      <c r="G88" s="351">
        <f>IF((ISERR(IRR($B$83:G83))),0,IF(IRR($B$83:G83)&lt;0,0,IRR($B$83:G83)))</f>
        <v>5.8760932333675386</v>
      </c>
      <c r="H88" s="351">
        <f>IF((ISERR(IRR($B$83:H83))),0,IF(IRR($B$83:H83)&lt;0,0,IRR($B$83:H83)))</f>
        <v>5.876986389978252</v>
      </c>
      <c r="I88" s="351">
        <f>IF((ISERR(IRR($B$83:I83))),0,IF(IRR($B$83:I83)&lt;0,0,IRR($B$83:I83)))</f>
        <v>5.8771216132178008</v>
      </c>
      <c r="J88" s="351">
        <f>IF((ISERR(IRR($B$83:J83))),0,IF(IRR($B$83:J83)&lt;0,0,IRR($B$83:J83)))</f>
        <v>5.877142097621288</v>
      </c>
      <c r="K88" s="351">
        <f>IF((ISERR(IRR($B$83:K83))),0,IF(IRR($B$83:K83)&lt;0,0,IRR($B$83:K83)))</f>
        <v>5.8771452010531338</v>
      </c>
      <c r="L88" s="351">
        <f>IF((ISERR(IRR($B$83:L83))),0,IF(IRR($B$83:L83)&lt;0,0,IRR($B$83:L83)))</f>
        <v>5.8771456712400596</v>
      </c>
      <c r="M88" s="351">
        <f>IF((ISERR(IRR($B$83:M83))),0,IF(IRR($B$83:M83)&lt;0,0,IRR($B$83:M83)))</f>
        <v>5.8771457424761548</v>
      </c>
      <c r="N88" s="351">
        <f>IF((ISERR(IRR($B$83:N83))),0,IF(IRR($B$83:N83)&lt;0,0,IRR($B$83:N83)))</f>
        <v>5.8771457532667677</v>
      </c>
      <c r="O88" s="351">
        <f>IF((ISERR(IRR($B$83:O83))),0,IF(IRR($B$83:O83)&lt;0,0,IRR($B$83:O83)))</f>
        <v>5.8771457549043919</v>
      </c>
      <c r="P88" s="351">
        <f>IF((ISERR(IRR($B$83:P83))),0,IF(IRR($B$83:P83)&lt;0,0,IRR($B$83:P83)))</f>
        <v>5.8771457551521307</v>
      </c>
      <c r="Q88" s="351">
        <f>IF((ISERR(IRR($B$83:Q83))),0,IF(IRR($B$83:Q83)&lt;0,0,IRR($B$83:Q83)))</f>
        <v>5.8771457551896686</v>
      </c>
      <c r="R88" s="351">
        <f>IF((ISERR(IRR($B$83:R83))),0,IF(IRR($B$83:R83)&lt;0,0,IRR($B$83:R83)))</f>
        <v>5.8771457551953556</v>
      </c>
      <c r="S88" s="351">
        <f>IF((ISERR(IRR($B$83:S83))),0,IF(IRR($B$83:S83)&lt;0,0,IRR($B$83:S83)))</f>
        <v>5.877145755196211</v>
      </c>
      <c r="T88" s="351">
        <f>IF((ISERR(IRR($B$83:T83))),0,IF(IRR($B$83:T83)&lt;0,0,IRR($B$83:T83)))</f>
        <v>5.8771457551963371</v>
      </c>
      <c r="U88" s="351">
        <f>IF((ISERR(IRR($B$83:U83))),0,IF(IRR($B$83:U83)&lt;0,0,IRR($B$83:U83)))</f>
        <v>5.8771457551963318</v>
      </c>
      <c r="V88" s="351">
        <f>IF((ISERR(IRR($B$83:V83))),0,IF(IRR($B$83:V83)&lt;0,0,IRR($B$83:V83)))</f>
        <v>5.877145755196258</v>
      </c>
      <c r="W88" s="351">
        <f>IF((ISERR(IRR($B$83:W83))),0,IF(IRR($B$83:W83)&lt;0,0,IRR($B$83:W83)))</f>
        <v>5.8771457551960538</v>
      </c>
      <c r="X88" s="351">
        <f>IF((ISERR(IRR($B$83:X83))),0,IF(IRR($B$83:X83)&lt;0,0,IRR($B$83:X83)))</f>
        <v>5.8771457551955653</v>
      </c>
      <c r="Y88" s="351">
        <f>IF((ISERR(IRR($B$83:Y83))),0,IF(IRR($B$83:Y83)&lt;0,0,IRR($B$83:Y83)))</f>
        <v>5.8771457551944941</v>
      </c>
      <c r="Z88" s="351">
        <f>IF((ISERR(IRR($B$83:Z83))),0,IF(IRR($B$83:Z83)&lt;0,0,IRR($B$83:Z83)))</f>
        <v>5.8771457551923252</v>
      </c>
      <c r="AA88" s="351">
        <f>IF((ISERR(IRR($B$83:AA83))),0,IF(IRR($B$83:AA83)&lt;0,0,IRR($B$83:AA83)))</f>
        <v>5.8771457551963691</v>
      </c>
      <c r="AB88" s="351">
        <f>IF((ISERR(IRR($B$83:AB83))),0,IF(IRR($B$83:AB83)&lt;0,0,IRR($B$83:AB83)))</f>
        <v>5.8771457551963691</v>
      </c>
      <c r="AC88" s="351">
        <f>IF((ISERR(IRR($B$83:AC83))),0,IF(IRR($B$83:AC83)&lt;0,0,IRR($B$83:AC83)))</f>
        <v>5.8771457551963691</v>
      </c>
      <c r="AD88" s="351">
        <f>IF((ISERR(IRR($B$83:AD83))),0,IF(IRR($B$83:AD83)&lt;0,0,IRR($B$83:AD83)))</f>
        <v>5.8771457551963691</v>
      </c>
      <c r="AE88" s="351">
        <f>IF((ISERR(IRR($B$83:AE83))),0,IF(IRR($B$83:AE83)&lt;0,0,IRR($B$83:AE83)))</f>
        <v>5.8771457551963691</v>
      </c>
      <c r="AF88" s="351">
        <f>IF((ISERR(IRR($B$83:AF83))),0,IF(IRR($B$83:AF83)&lt;0,0,IRR($B$83:AF83)))</f>
        <v>5.8771457551963691</v>
      </c>
      <c r="AG88" s="351">
        <f>IF((ISERR(IRR($B$83:AG83))),0,IF(IRR($B$83:AG83)&lt;0,0,IRR($B$83:AG83)))</f>
        <v>5.8771457551963691</v>
      </c>
      <c r="AH88" s="351">
        <f>IF((ISERR(IRR($B$83:AH83))),0,IF(IRR($B$83:AH83)&lt;0,0,IRR($B$83:AH83)))</f>
        <v>5.8771457551963691</v>
      </c>
      <c r="AI88" s="351">
        <f>IF((ISERR(IRR($B$83:AI83))),0,IF(IRR($B$83:AI83)&lt;0,0,IRR($B$83:AI83)))</f>
        <v>5.8771457551963691</v>
      </c>
      <c r="AJ88" s="351">
        <f>IF((ISERR(IRR($B$83:AJ83))),0,IF(IRR($B$83:AJ83)&lt;0,0,IRR($B$83:AJ83)))</f>
        <v>5.8771457551963691</v>
      </c>
      <c r="AK88" s="351">
        <f>IF((ISERR(IRR($B$83:AK83))),0,IF(IRR($B$83:AK83)&lt;0,0,IRR($B$83:AK83)))</f>
        <v>5.8771457551963691</v>
      </c>
      <c r="AL88" s="351">
        <f>IF((ISERR(IRR($B$83:AL83))),0,IF(IRR($B$83:AL83)&lt;0,0,IRR($B$83:AL83)))</f>
        <v>5.8771457551963691</v>
      </c>
      <c r="AM88" s="351">
        <f>IF((ISERR(IRR($B$83:AM83))),0,IF(IRR($B$83:AM83)&lt;0,0,IRR($B$83:AM83)))</f>
        <v>5.8771457551963691</v>
      </c>
      <c r="AN88" s="351">
        <f>IF((ISERR(IRR($B$83:AN83))),0,IF(IRR($B$83:AN83)&lt;0,0,IRR($B$83:AN83)))</f>
        <v>5.8771457551963691</v>
      </c>
      <c r="AO88" s="351">
        <f>IF((ISERR(IRR($B$83:AO83))),0,IF(IRR($B$83:AO83)&lt;0,0,IRR($B$83:AO83)))</f>
        <v>5.8771457551963691</v>
      </c>
      <c r="AP88" s="351">
        <f>IF((ISERR(IRR($B$83:AP83))),0,IF(IRR($B$83:AP83)&lt;0,0,IRR($B$83:AP83)))</f>
        <v>5.8771457551963691</v>
      </c>
    </row>
    <row r="89" spans="1:45" ht="14.25" x14ac:dyDescent="0.2">
      <c r="A89" s="216" t="s">
        <v>296</v>
      </c>
      <c r="B89" s="352">
        <f>IF(AND(B84&gt;0,A84&lt;0),(B74-(B84/(B84-A84))),0)</f>
        <v>0</v>
      </c>
      <c r="C89" s="352">
        <f t="shared" ref="C89:AP89" si="33">IF(AND(C84&gt;0,B84&lt;0),(C74-(C84/(C84-B84))),0)</f>
        <v>1.2014850883709745</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6" t="s">
        <v>295</v>
      </c>
      <c r="B90" s="227">
        <f t="shared" ref="B90:AP90" si="34">IF(AND(B87&gt;0,A87&lt;0),(B74-(B87/(B87-A87))),0)</f>
        <v>0</v>
      </c>
      <c r="C90" s="227">
        <f t="shared" si="34"/>
        <v>1.2427895314870241</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0" t="s">
        <v>541</v>
      </c>
      <c r="B97" s="470"/>
      <c r="C97" s="470"/>
      <c r="D97" s="470"/>
      <c r="E97" s="470"/>
      <c r="F97" s="470"/>
      <c r="G97" s="470"/>
      <c r="H97" s="470"/>
      <c r="I97" s="470"/>
      <c r="J97" s="470"/>
      <c r="K97" s="470"/>
      <c r="L97" s="470"/>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-197989.99662704504</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-197989.99662704504</v>
      </c>
      <c r="AR99" s="236"/>
      <c r="AS99" s="236"/>
    </row>
    <row r="100" spans="1:71" s="240" customFormat="1" x14ac:dyDescent="0.2">
      <c r="A100" s="238">
        <f>AQ99</f>
        <v>-197989.99662704504</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3131446.9790093447</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53">
        <f>(A101+-A100)/-A100</f>
        <v>16.816187849672378</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4" t="s">
        <v>544</v>
      </c>
      <c r="B104" s="354" t="s">
        <v>545</v>
      </c>
      <c r="C104" s="354" t="s">
        <v>546</v>
      </c>
      <c r="D104" s="354"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5">
        <f>G30/1000/1000</f>
        <v>2.2872717006003129</v>
      </c>
      <c r="B105" s="356">
        <f>L88</f>
        <v>5.8771456712400596</v>
      </c>
      <c r="C105" s="357">
        <f>G28</f>
        <v>1.2014850883709745</v>
      </c>
      <c r="D105" s="357">
        <f>G29</f>
        <v>1.2427895314870241</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0"/>
      <c r="AU107" s="240"/>
      <c r="AV107" s="240"/>
      <c r="AW107" s="240"/>
      <c r="AX107" s="240"/>
      <c r="AY107" s="240"/>
      <c r="AZ107" s="240"/>
      <c r="BA107" s="240"/>
      <c r="BB107" s="240"/>
      <c r="BC107" s="240"/>
      <c r="BD107" s="240"/>
      <c r="BE107" s="240"/>
      <c r="BF107" s="240"/>
      <c r="BG107" s="240"/>
    </row>
    <row r="108" spans="1:71" ht="12.75" x14ac:dyDescent="0.2">
      <c r="A108" s="361" t="s">
        <v>549</v>
      </c>
      <c r="B108" s="362"/>
      <c r="C108" s="362">
        <f>C109*$B$111*$B$112*1000</f>
        <v>443103.96319200011</v>
      </c>
      <c r="D108" s="362">
        <f t="shared" ref="D108:AP108" si="38">D109*$B$111*$B$112*1000</f>
        <v>886207.92638400022</v>
      </c>
      <c r="E108" s="362">
        <f>E109*$B$111*$B$112*1000</f>
        <v>1342739.2824000004</v>
      </c>
      <c r="F108" s="362">
        <f t="shared" si="38"/>
        <v>1342739.2824000004</v>
      </c>
      <c r="G108" s="362">
        <f t="shared" si="38"/>
        <v>1342739.2824000004</v>
      </c>
      <c r="H108" s="362">
        <f t="shared" si="38"/>
        <v>1342739.2824000004</v>
      </c>
      <c r="I108" s="362">
        <f t="shared" si="38"/>
        <v>1342739.2824000004</v>
      </c>
      <c r="J108" s="362">
        <f t="shared" si="38"/>
        <v>1342739.2824000004</v>
      </c>
      <c r="K108" s="362">
        <f t="shared" si="38"/>
        <v>1342739.2824000004</v>
      </c>
      <c r="L108" s="362">
        <f t="shared" si="38"/>
        <v>1342739.2824000004</v>
      </c>
      <c r="M108" s="362">
        <f t="shared" si="38"/>
        <v>1342739.2824000004</v>
      </c>
      <c r="N108" s="362">
        <f t="shared" si="38"/>
        <v>1342739.2824000004</v>
      </c>
      <c r="O108" s="362">
        <f t="shared" si="38"/>
        <v>1342739.2824000004</v>
      </c>
      <c r="P108" s="362">
        <f t="shared" si="38"/>
        <v>1342739.2824000004</v>
      </c>
      <c r="Q108" s="362">
        <f t="shared" si="38"/>
        <v>1342739.2824000004</v>
      </c>
      <c r="R108" s="362">
        <f t="shared" si="38"/>
        <v>1342739.2824000004</v>
      </c>
      <c r="S108" s="362">
        <f t="shared" si="38"/>
        <v>1342739.2824000004</v>
      </c>
      <c r="T108" s="362">
        <f t="shared" si="38"/>
        <v>1342739.2824000004</v>
      </c>
      <c r="U108" s="362">
        <f t="shared" si="38"/>
        <v>1342739.2824000004</v>
      </c>
      <c r="V108" s="362">
        <f t="shared" si="38"/>
        <v>1342739.2824000004</v>
      </c>
      <c r="W108" s="362">
        <f t="shared" si="38"/>
        <v>1342739.2824000004</v>
      </c>
      <c r="X108" s="362">
        <f t="shared" si="38"/>
        <v>1342739.2824000004</v>
      </c>
      <c r="Y108" s="362">
        <f t="shared" si="38"/>
        <v>1342739.2824000004</v>
      </c>
      <c r="Z108" s="362">
        <f t="shared" si="38"/>
        <v>1342739.2824000004</v>
      </c>
      <c r="AA108" s="362">
        <f t="shared" si="38"/>
        <v>1342739.2824000004</v>
      </c>
      <c r="AB108" s="362">
        <f t="shared" si="38"/>
        <v>1342739.2824000004</v>
      </c>
      <c r="AC108" s="362">
        <f t="shared" si="38"/>
        <v>1342739.2824000004</v>
      </c>
      <c r="AD108" s="362">
        <f t="shared" si="38"/>
        <v>1342739.2824000004</v>
      </c>
      <c r="AE108" s="362">
        <f t="shared" si="38"/>
        <v>1342739.2824000004</v>
      </c>
      <c r="AF108" s="362">
        <f t="shared" si="38"/>
        <v>1342739.2824000004</v>
      </c>
      <c r="AG108" s="362">
        <f t="shared" si="38"/>
        <v>1342739.2824000004</v>
      </c>
      <c r="AH108" s="362">
        <f t="shared" si="38"/>
        <v>1342739.2824000004</v>
      </c>
      <c r="AI108" s="362">
        <f t="shared" si="38"/>
        <v>1342739.2824000004</v>
      </c>
      <c r="AJ108" s="362">
        <f t="shared" si="38"/>
        <v>1342739.2824000004</v>
      </c>
      <c r="AK108" s="362">
        <f t="shared" si="38"/>
        <v>1342739.2824000004</v>
      </c>
      <c r="AL108" s="362">
        <f t="shared" si="38"/>
        <v>1342739.2824000004</v>
      </c>
      <c r="AM108" s="362">
        <f t="shared" si="38"/>
        <v>1342739.2824000004</v>
      </c>
      <c r="AN108" s="362">
        <f t="shared" si="38"/>
        <v>1342739.2824000004</v>
      </c>
      <c r="AO108" s="362">
        <f t="shared" si="38"/>
        <v>1342739.2824000004</v>
      </c>
      <c r="AP108" s="362">
        <f t="shared" si="38"/>
        <v>1342739.2824000004</v>
      </c>
      <c r="AT108" s="240"/>
      <c r="AU108" s="240"/>
      <c r="AV108" s="240"/>
      <c r="AW108" s="240"/>
      <c r="AX108" s="240"/>
      <c r="AY108" s="240"/>
      <c r="AZ108" s="240"/>
      <c r="BA108" s="240"/>
      <c r="BB108" s="240"/>
      <c r="BC108" s="240"/>
      <c r="BD108" s="240"/>
      <c r="BE108" s="240"/>
      <c r="BF108" s="240"/>
      <c r="BG108" s="240"/>
    </row>
    <row r="109" spans="1:71" ht="12.75" x14ac:dyDescent="0.2">
      <c r="A109" s="361" t="s">
        <v>550</v>
      </c>
      <c r="B109" s="360"/>
      <c r="C109" s="360">
        <f>B109+$I$120*C113</f>
        <v>7.0587000000000011E-2</v>
      </c>
      <c r="D109" s="360">
        <f>C109+$I$120*D113</f>
        <v>0.14117400000000002</v>
      </c>
      <c r="E109" s="360">
        <f t="shared" ref="E109:AP109" si="39">D109+$I$120*E113</f>
        <v>0.21390000000000003</v>
      </c>
      <c r="F109" s="360">
        <f t="shared" si="39"/>
        <v>0.21390000000000003</v>
      </c>
      <c r="G109" s="360">
        <f t="shared" si="39"/>
        <v>0.21390000000000003</v>
      </c>
      <c r="H109" s="360">
        <f t="shared" si="39"/>
        <v>0.21390000000000003</v>
      </c>
      <c r="I109" s="360">
        <f t="shared" si="39"/>
        <v>0.21390000000000003</v>
      </c>
      <c r="J109" s="360">
        <f t="shared" si="39"/>
        <v>0.21390000000000003</v>
      </c>
      <c r="K109" s="360">
        <f t="shared" si="39"/>
        <v>0.21390000000000003</v>
      </c>
      <c r="L109" s="360">
        <f t="shared" si="39"/>
        <v>0.21390000000000003</v>
      </c>
      <c r="M109" s="360">
        <f t="shared" si="39"/>
        <v>0.21390000000000003</v>
      </c>
      <c r="N109" s="360">
        <f t="shared" si="39"/>
        <v>0.21390000000000003</v>
      </c>
      <c r="O109" s="360">
        <f t="shared" si="39"/>
        <v>0.21390000000000003</v>
      </c>
      <c r="P109" s="360">
        <f t="shared" si="39"/>
        <v>0.21390000000000003</v>
      </c>
      <c r="Q109" s="360">
        <f t="shared" si="39"/>
        <v>0.21390000000000003</v>
      </c>
      <c r="R109" s="360">
        <f t="shared" si="39"/>
        <v>0.21390000000000003</v>
      </c>
      <c r="S109" s="360">
        <f t="shared" si="39"/>
        <v>0.21390000000000003</v>
      </c>
      <c r="T109" s="360">
        <f t="shared" si="39"/>
        <v>0.21390000000000003</v>
      </c>
      <c r="U109" s="360">
        <f t="shared" si="39"/>
        <v>0.21390000000000003</v>
      </c>
      <c r="V109" s="360">
        <f t="shared" si="39"/>
        <v>0.21390000000000003</v>
      </c>
      <c r="W109" s="360">
        <f t="shared" si="39"/>
        <v>0.21390000000000003</v>
      </c>
      <c r="X109" s="360">
        <f t="shared" si="39"/>
        <v>0.21390000000000003</v>
      </c>
      <c r="Y109" s="360">
        <f t="shared" si="39"/>
        <v>0.21390000000000003</v>
      </c>
      <c r="Z109" s="360">
        <f t="shared" si="39"/>
        <v>0.21390000000000003</v>
      </c>
      <c r="AA109" s="360">
        <f t="shared" si="39"/>
        <v>0.21390000000000003</v>
      </c>
      <c r="AB109" s="360">
        <f t="shared" si="39"/>
        <v>0.21390000000000003</v>
      </c>
      <c r="AC109" s="360">
        <f t="shared" si="39"/>
        <v>0.21390000000000003</v>
      </c>
      <c r="AD109" s="360">
        <f t="shared" si="39"/>
        <v>0.21390000000000003</v>
      </c>
      <c r="AE109" s="360">
        <f t="shared" si="39"/>
        <v>0.21390000000000003</v>
      </c>
      <c r="AF109" s="360">
        <f t="shared" si="39"/>
        <v>0.21390000000000003</v>
      </c>
      <c r="AG109" s="360">
        <f t="shared" si="39"/>
        <v>0.21390000000000003</v>
      </c>
      <c r="AH109" s="360">
        <f t="shared" si="39"/>
        <v>0.21390000000000003</v>
      </c>
      <c r="AI109" s="360">
        <f t="shared" si="39"/>
        <v>0.21390000000000003</v>
      </c>
      <c r="AJ109" s="360">
        <f t="shared" si="39"/>
        <v>0.21390000000000003</v>
      </c>
      <c r="AK109" s="360">
        <f t="shared" si="39"/>
        <v>0.21390000000000003</v>
      </c>
      <c r="AL109" s="360">
        <f t="shared" si="39"/>
        <v>0.21390000000000003</v>
      </c>
      <c r="AM109" s="360">
        <f t="shared" si="39"/>
        <v>0.21390000000000003</v>
      </c>
      <c r="AN109" s="360">
        <f t="shared" si="39"/>
        <v>0.21390000000000003</v>
      </c>
      <c r="AO109" s="360">
        <f t="shared" si="39"/>
        <v>0.21390000000000003</v>
      </c>
      <c r="AP109" s="360">
        <f t="shared" si="39"/>
        <v>0.21390000000000003</v>
      </c>
      <c r="AT109" s="240"/>
      <c r="AU109" s="240"/>
      <c r="AV109" s="240"/>
      <c r="AW109" s="240"/>
      <c r="AX109" s="240"/>
      <c r="AY109" s="240"/>
      <c r="AZ109" s="240"/>
      <c r="BA109" s="240"/>
      <c r="BB109" s="240"/>
      <c r="BC109" s="240"/>
      <c r="BD109" s="240"/>
      <c r="BE109" s="240"/>
      <c r="BF109" s="240"/>
      <c r="BG109" s="240"/>
    </row>
    <row r="110" spans="1:71" ht="12.75" x14ac:dyDescent="0.2">
      <c r="A110" s="361" t="s">
        <v>551</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0"/>
      <c r="AU110" s="240"/>
      <c r="AV110" s="240"/>
      <c r="AW110" s="240"/>
      <c r="AX110" s="240"/>
      <c r="AY110" s="240"/>
      <c r="AZ110" s="240"/>
      <c r="BA110" s="240"/>
      <c r="BB110" s="240"/>
      <c r="BC110" s="240"/>
      <c r="BD110" s="240"/>
      <c r="BE110" s="240"/>
      <c r="BF110" s="240"/>
      <c r="BG110" s="240"/>
    </row>
    <row r="111" spans="1:71" ht="12.75" x14ac:dyDescent="0.2">
      <c r="A111" s="361" t="s">
        <v>552</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0"/>
      <c r="AU111" s="240"/>
      <c r="AV111" s="240"/>
      <c r="AW111" s="240"/>
      <c r="AX111" s="240"/>
      <c r="AY111" s="240"/>
      <c r="AZ111" s="240"/>
      <c r="BA111" s="240"/>
      <c r="BB111" s="240"/>
      <c r="BC111" s="240"/>
      <c r="BD111" s="240"/>
      <c r="BE111" s="240"/>
      <c r="BF111" s="240"/>
      <c r="BG111" s="240"/>
    </row>
    <row r="112" spans="1:71" ht="12.75" x14ac:dyDescent="0.2">
      <c r="A112" s="361" t="s">
        <v>553</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0"/>
      <c r="AU112" s="240"/>
      <c r="AV112" s="240"/>
      <c r="AW112" s="240"/>
      <c r="AX112" s="240"/>
      <c r="AY112" s="240"/>
      <c r="AZ112" s="240"/>
      <c r="BA112" s="240"/>
      <c r="BB112" s="240"/>
      <c r="BC112" s="240"/>
      <c r="BD112" s="240"/>
      <c r="BE112" s="240"/>
      <c r="BF112" s="240"/>
      <c r="BG112" s="240"/>
    </row>
    <row r="113" spans="1:71" ht="15" x14ac:dyDescent="0.2">
      <c r="A113" s="364" t="s">
        <v>554</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8"/>
      <c r="B116" s="471" t="s">
        <v>555</v>
      </c>
      <c r="C116" s="472"/>
      <c r="D116" s="471" t="s">
        <v>556</v>
      </c>
      <c r="E116" s="472"/>
      <c r="F116" s="358"/>
      <c r="G116" s="358"/>
      <c r="H116" s="358"/>
      <c r="I116" s="358"/>
      <c r="J116" s="35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1" t="s">
        <v>557</v>
      </c>
      <c r="B117" s="367">
        <f>'3.1. паспорт Техсостояние ПС'!N25</f>
        <v>0.4</v>
      </c>
      <c r="C117" s="358" t="s">
        <v>558</v>
      </c>
      <c r="D117" s="367">
        <f>'3.1. паспорт Техсостояние ПС'!O25</f>
        <v>0.63</v>
      </c>
      <c r="E117" s="358" t="s">
        <v>558</v>
      </c>
      <c r="F117" s="358"/>
      <c r="G117" s="358"/>
      <c r="H117" s="358"/>
      <c r="I117" s="358"/>
      <c r="J117" s="35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1" t="s">
        <v>557</v>
      </c>
      <c r="B118" s="358">
        <f>$B$110*B117</f>
        <v>0.37200000000000005</v>
      </c>
      <c r="C118" s="358" t="s">
        <v>126</v>
      </c>
      <c r="D118" s="358">
        <f>$B$110*D117</f>
        <v>0.58590000000000009</v>
      </c>
      <c r="E118" s="358" t="s">
        <v>126</v>
      </c>
      <c r="F118" s="361" t="s">
        <v>559</v>
      </c>
      <c r="G118" s="358">
        <f>D117-B117</f>
        <v>0.22999999999999998</v>
      </c>
      <c r="H118" s="358" t="s">
        <v>558</v>
      </c>
      <c r="I118" s="368">
        <f>$B$110*G118</f>
        <v>0.21390000000000001</v>
      </c>
      <c r="J118" s="35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8"/>
      <c r="B119" s="358"/>
      <c r="C119" s="358"/>
      <c r="D119" s="358"/>
      <c r="E119" s="358"/>
      <c r="F119" s="361" t="s">
        <v>560</v>
      </c>
      <c r="G119" s="358">
        <f>I119/$B$110</f>
        <v>0</v>
      </c>
      <c r="H119" s="358" t="s">
        <v>558</v>
      </c>
      <c r="I119" s="367"/>
      <c r="J119" s="35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9"/>
      <c r="B120" s="370"/>
      <c r="C120" s="370"/>
      <c r="D120" s="370"/>
      <c r="E120" s="370"/>
      <c r="F120" s="371" t="s">
        <v>561</v>
      </c>
      <c r="G120" s="368">
        <f>G118</f>
        <v>0.22999999999999998</v>
      </c>
      <c r="H120" s="358" t="s">
        <v>558</v>
      </c>
      <c r="I120" s="363">
        <f>I118</f>
        <v>0.21390000000000001</v>
      </c>
      <c r="J120" s="35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2" t="s">
        <v>562</v>
      </c>
      <c r="B122" s="373">
        <f>'6.2. Паспорт фин осв ввод'!Y24</f>
        <v>0.45823152</v>
      </c>
      <c r="C122" s="245"/>
      <c r="D122" s="460" t="s">
        <v>340</v>
      </c>
      <c r="E122" s="320" t="s">
        <v>642</v>
      </c>
      <c r="F122" s="321">
        <v>35</v>
      </c>
      <c r="G122" s="461" t="s">
        <v>643</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2" t="s">
        <v>340</v>
      </c>
      <c r="B123" s="374">
        <v>30</v>
      </c>
      <c r="C123" s="245"/>
      <c r="D123" s="460"/>
      <c r="E123" s="320" t="s">
        <v>638</v>
      </c>
      <c r="F123" s="321">
        <v>30</v>
      </c>
      <c r="G123" s="461"/>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2" t="s">
        <v>563</v>
      </c>
      <c r="B124" s="374" t="s">
        <v>531</v>
      </c>
      <c r="C124" s="248" t="s">
        <v>564</v>
      </c>
      <c r="D124" s="460"/>
      <c r="E124" s="320" t="s">
        <v>644</v>
      </c>
      <c r="F124" s="321">
        <v>30</v>
      </c>
      <c r="G124" s="461"/>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2"/>
      <c r="B125" s="323"/>
      <c r="C125" s="249"/>
      <c r="D125" s="460"/>
      <c r="E125" s="320" t="s">
        <v>645</v>
      </c>
      <c r="F125" s="321">
        <v>30</v>
      </c>
      <c r="G125" s="461"/>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2" t="s">
        <v>565</v>
      </c>
      <c r="B126" s="375">
        <f>$B$122*1000*1000</f>
        <v>458231.51999999996</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2" t="s">
        <v>566</v>
      </c>
      <c r="B127" s="376">
        <v>0.01</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2" t="s">
        <v>567</v>
      </c>
      <c r="B129" s="37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4"/>
      <c r="B130" s="32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646</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2" t="s">
        <v>568</v>
      </c>
      <c r="C134" s="250" t="s">
        <v>647</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2"/>
      <c r="B135" s="380">
        <v>2016</v>
      </c>
      <c r="C135" s="380">
        <f>B135+1</f>
        <v>2017</v>
      </c>
      <c r="D135" s="380">
        <f t="shared" ref="D135:AY135" si="40">C135+1</f>
        <v>2018</v>
      </c>
      <c r="E135" s="380">
        <f t="shared" si="40"/>
        <v>2019</v>
      </c>
      <c r="F135" s="380">
        <f t="shared" si="40"/>
        <v>2020</v>
      </c>
      <c r="G135" s="380">
        <f t="shared" si="40"/>
        <v>2021</v>
      </c>
      <c r="H135" s="380">
        <f t="shared" si="40"/>
        <v>2022</v>
      </c>
      <c r="I135" s="380">
        <f t="shared" si="40"/>
        <v>2023</v>
      </c>
      <c r="J135" s="380">
        <f t="shared" si="40"/>
        <v>2024</v>
      </c>
      <c r="K135" s="380">
        <f t="shared" si="40"/>
        <v>2025</v>
      </c>
      <c r="L135" s="380">
        <f t="shared" si="40"/>
        <v>2026</v>
      </c>
      <c r="M135" s="380">
        <f t="shared" si="40"/>
        <v>2027</v>
      </c>
      <c r="N135" s="380">
        <f t="shared" si="40"/>
        <v>2028</v>
      </c>
      <c r="O135" s="380">
        <f t="shared" si="40"/>
        <v>2029</v>
      </c>
      <c r="P135" s="380">
        <f t="shared" si="40"/>
        <v>2030</v>
      </c>
      <c r="Q135" s="380">
        <f t="shared" si="40"/>
        <v>2031</v>
      </c>
      <c r="R135" s="380">
        <f t="shared" si="40"/>
        <v>2032</v>
      </c>
      <c r="S135" s="380">
        <f t="shared" si="40"/>
        <v>2033</v>
      </c>
      <c r="T135" s="380">
        <f t="shared" si="40"/>
        <v>2034</v>
      </c>
      <c r="U135" s="380">
        <f t="shared" si="40"/>
        <v>2035</v>
      </c>
      <c r="V135" s="380">
        <f t="shared" si="40"/>
        <v>2036</v>
      </c>
      <c r="W135" s="380">
        <f t="shared" si="40"/>
        <v>2037</v>
      </c>
      <c r="X135" s="380">
        <f t="shared" si="40"/>
        <v>2038</v>
      </c>
      <c r="Y135" s="380">
        <f t="shared" si="40"/>
        <v>2039</v>
      </c>
      <c r="Z135" s="380">
        <f t="shared" si="40"/>
        <v>2040</v>
      </c>
      <c r="AA135" s="380">
        <f t="shared" si="40"/>
        <v>2041</v>
      </c>
      <c r="AB135" s="380">
        <f t="shared" si="40"/>
        <v>2042</v>
      </c>
      <c r="AC135" s="380">
        <f t="shared" si="40"/>
        <v>2043</v>
      </c>
      <c r="AD135" s="380">
        <f t="shared" si="40"/>
        <v>2044</v>
      </c>
      <c r="AE135" s="380">
        <f t="shared" si="40"/>
        <v>2045</v>
      </c>
      <c r="AF135" s="380">
        <f t="shared" si="40"/>
        <v>2046</v>
      </c>
      <c r="AG135" s="380">
        <f t="shared" si="40"/>
        <v>2047</v>
      </c>
      <c r="AH135" s="380">
        <f t="shared" si="40"/>
        <v>2048</v>
      </c>
      <c r="AI135" s="380">
        <f t="shared" si="40"/>
        <v>2049</v>
      </c>
      <c r="AJ135" s="380">
        <f t="shared" si="40"/>
        <v>2050</v>
      </c>
      <c r="AK135" s="380">
        <f t="shared" si="40"/>
        <v>2051</v>
      </c>
      <c r="AL135" s="380">
        <f t="shared" si="40"/>
        <v>2052</v>
      </c>
      <c r="AM135" s="380">
        <f t="shared" si="40"/>
        <v>2053</v>
      </c>
      <c r="AN135" s="380">
        <f t="shared" si="40"/>
        <v>2054</v>
      </c>
      <c r="AO135" s="380">
        <f t="shared" si="40"/>
        <v>2055</v>
      </c>
      <c r="AP135" s="380">
        <f t="shared" si="40"/>
        <v>2056</v>
      </c>
      <c r="AQ135" s="380">
        <f t="shared" si="40"/>
        <v>2057</v>
      </c>
      <c r="AR135" s="380">
        <f t="shared" si="40"/>
        <v>2058</v>
      </c>
      <c r="AS135" s="380">
        <f t="shared" si="40"/>
        <v>2059</v>
      </c>
      <c r="AT135" s="380">
        <f t="shared" si="40"/>
        <v>2060</v>
      </c>
      <c r="AU135" s="380">
        <f t="shared" si="40"/>
        <v>2061</v>
      </c>
      <c r="AV135" s="380">
        <f t="shared" si="40"/>
        <v>2062</v>
      </c>
      <c r="AW135" s="380">
        <f t="shared" si="40"/>
        <v>2063</v>
      </c>
      <c r="AX135" s="380">
        <f t="shared" si="40"/>
        <v>2064</v>
      </c>
      <c r="AY135" s="380">
        <f t="shared" si="40"/>
        <v>2065</v>
      </c>
    </row>
    <row r="136" spans="1:71" ht="12.75" x14ac:dyDescent="0.2">
      <c r="A136" s="372" t="s">
        <v>569</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4" customFormat="1" ht="15" x14ac:dyDescent="0.2">
      <c r="A137" s="372" t="s">
        <v>570</v>
      </c>
      <c r="B137" s="326"/>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4" customFormat="1" x14ac:dyDescent="0.2">
      <c r="A138" s="252"/>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70"/>
    </row>
    <row r="139" spans="1:71" ht="12.75" x14ac:dyDescent="0.2">
      <c r="A139" s="247"/>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60" workbookViewId="0">
      <selection activeCell="E52" sqref="E52"/>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5" t="str">
        <f>'2. паспорт  ТП'!A4:S4</f>
        <v>Год раскрытия информации: 2023 год</v>
      </c>
      <c r="B5" s="405"/>
      <c r="C5" s="405"/>
      <c r="D5" s="405"/>
      <c r="E5" s="405"/>
      <c r="F5" s="405"/>
      <c r="G5" s="405"/>
      <c r="H5" s="405"/>
      <c r="I5" s="405"/>
      <c r="J5" s="405"/>
      <c r="K5" s="405"/>
      <c r="L5" s="40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15" t="str">
        <f>'1. паспорт местоположение'!A9:C9</f>
        <v>Акционерное общество "Россети Янтарь"</v>
      </c>
      <c r="B9" s="415"/>
      <c r="C9" s="415"/>
      <c r="D9" s="415"/>
      <c r="E9" s="415"/>
      <c r="F9" s="415"/>
      <c r="G9" s="415"/>
      <c r="H9" s="415"/>
      <c r="I9" s="415"/>
      <c r="J9" s="415"/>
      <c r="K9" s="415"/>
      <c r="L9" s="415"/>
    </row>
    <row r="10" spans="1:44" x14ac:dyDescent="0.25">
      <c r="A10" s="419" t="s">
        <v>6</v>
      </c>
      <c r="B10" s="419"/>
      <c r="C10" s="419"/>
      <c r="D10" s="419"/>
      <c r="E10" s="419"/>
      <c r="F10" s="419"/>
      <c r="G10" s="419"/>
      <c r="H10" s="419"/>
      <c r="I10" s="419"/>
      <c r="J10" s="419"/>
      <c r="K10" s="419"/>
      <c r="L10" s="419"/>
    </row>
    <row r="11" spans="1:44" ht="18.75" x14ac:dyDescent="0.25">
      <c r="A11" s="414"/>
      <c r="B11" s="414"/>
      <c r="C11" s="414"/>
      <c r="D11" s="414"/>
      <c r="E11" s="414"/>
      <c r="F11" s="414"/>
      <c r="G11" s="414"/>
      <c r="H11" s="414"/>
      <c r="I11" s="414"/>
      <c r="J11" s="414"/>
      <c r="K11" s="414"/>
      <c r="L11" s="414"/>
    </row>
    <row r="12" spans="1:44" x14ac:dyDescent="0.25">
      <c r="A12" s="415" t="str">
        <f>'1. паспорт местоположение'!A12:C12</f>
        <v>I_3710</v>
      </c>
      <c r="B12" s="415"/>
      <c r="C12" s="415"/>
      <c r="D12" s="415"/>
      <c r="E12" s="415"/>
      <c r="F12" s="415"/>
      <c r="G12" s="415"/>
      <c r="H12" s="415"/>
      <c r="I12" s="415"/>
      <c r="J12" s="415"/>
      <c r="K12" s="415"/>
      <c r="L12" s="415"/>
    </row>
    <row r="13" spans="1:44" x14ac:dyDescent="0.25">
      <c r="A13" s="419" t="s">
        <v>5</v>
      </c>
      <c r="B13" s="419"/>
      <c r="C13" s="419"/>
      <c r="D13" s="419"/>
      <c r="E13" s="419"/>
      <c r="F13" s="419"/>
      <c r="G13" s="419"/>
      <c r="H13" s="419"/>
      <c r="I13" s="419"/>
      <c r="J13" s="419"/>
      <c r="K13" s="419"/>
      <c r="L13" s="419"/>
    </row>
    <row r="14" spans="1:44" ht="18.75" x14ac:dyDescent="0.25">
      <c r="A14" s="420"/>
      <c r="B14" s="420"/>
      <c r="C14" s="420"/>
      <c r="D14" s="420"/>
      <c r="E14" s="420"/>
      <c r="F14" s="420"/>
      <c r="G14" s="420"/>
      <c r="H14" s="420"/>
      <c r="I14" s="420"/>
      <c r="J14" s="420"/>
      <c r="K14" s="420"/>
      <c r="L14" s="420"/>
    </row>
    <row r="15" spans="1:44" x14ac:dyDescent="0.25">
      <c r="A15" s="415" t="str">
        <f>'1. паспорт местоположение'!A15</f>
        <v>Строительство БКТП 15/0,4 кВ, 2-х участков КЛ 15 кВ от БКТП Новой до места врезки в КЛ 15 кВ №14 на ул. Победы в г. Гусеве</v>
      </c>
      <c r="B15" s="415"/>
      <c r="C15" s="415"/>
      <c r="D15" s="415"/>
      <c r="E15" s="415"/>
      <c r="F15" s="415"/>
      <c r="G15" s="415"/>
      <c r="H15" s="415"/>
      <c r="I15" s="415"/>
      <c r="J15" s="415"/>
      <c r="K15" s="415"/>
      <c r="L15" s="415"/>
    </row>
    <row r="16" spans="1:44" x14ac:dyDescent="0.25">
      <c r="A16" s="419" t="s">
        <v>4</v>
      </c>
      <c r="B16" s="419"/>
      <c r="C16" s="419"/>
      <c r="D16" s="419"/>
      <c r="E16" s="419"/>
      <c r="F16" s="419"/>
      <c r="G16" s="419"/>
      <c r="H16" s="419"/>
      <c r="I16" s="419"/>
      <c r="J16" s="419"/>
      <c r="K16" s="419"/>
      <c r="L16" s="419"/>
    </row>
    <row r="17" spans="1:12" ht="15.75" customHeight="1" x14ac:dyDescent="0.25">
      <c r="L17" s="97"/>
    </row>
    <row r="18" spans="1:12" x14ac:dyDescent="0.25">
      <c r="K18" s="96"/>
    </row>
    <row r="19" spans="1:12" ht="15.75" customHeight="1" x14ac:dyDescent="0.25">
      <c r="A19" s="487" t="s">
        <v>495</v>
      </c>
      <c r="B19" s="487"/>
      <c r="C19" s="487"/>
      <c r="D19" s="487"/>
      <c r="E19" s="487"/>
      <c r="F19" s="487"/>
      <c r="G19" s="487"/>
      <c r="H19" s="487"/>
      <c r="I19" s="487"/>
      <c r="J19" s="487"/>
      <c r="K19" s="487"/>
      <c r="L19" s="487"/>
    </row>
    <row r="20" spans="1:12" x14ac:dyDescent="0.25">
      <c r="A20" s="65"/>
      <c r="B20" s="65"/>
      <c r="C20" s="95"/>
      <c r="D20" s="95"/>
      <c r="E20" s="95"/>
      <c r="F20" s="95"/>
      <c r="G20" s="95"/>
      <c r="H20" s="95"/>
      <c r="I20" s="95"/>
      <c r="J20" s="95"/>
      <c r="K20" s="95"/>
      <c r="L20" s="95"/>
    </row>
    <row r="21" spans="1:12" ht="28.5" customHeight="1" x14ac:dyDescent="0.25">
      <c r="A21" s="477" t="s">
        <v>218</v>
      </c>
      <c r="B21" s="477" t="s">
        <v>217</v>
      </c>
      <c r="C21" s="483" t="s">
        <v>427</v>
      </c>
      <c r="D21" s="483"/>
      <c r="E21" s="483"/>
      <c r="F21" s="483"/>
      <c r="G21" s="483"/>
      <c r="H21" s="483"/>
      <c r="I21" s="478" t="s">
        <v>216</v>
      </c>
      <c r="J21" s="480" t="s">
        <v>429</v>
      </c>
      <c r="K21" s="477" t="s">
        <v>215</v>
      </c>
      <c r="L21" s="479" t="s">
        <v>428</v>
      </c>
    </row>
    <row r="22" spans="1:12" ht="58.5" customHeight="1" x14ac:dyDescent="0.25">
      <c r="A22" s="477"/>
      <c r="B22" s="477"/>
      <c r="C22" s="484" t="s">
        <v>2</v>
      </c>
      <c r="D22" s="484"/>
      <c r="E22" s="485" t="s">
        <v>636</v>
      </c>
      <c r="F22" s="486"/>
      <c r="G22" s="485" t="s">
        <v>639</v>
      </c>
      <c r="H22" s="486"/>
      <c r="I22" s="478"/>
      <c r="J22" s="481"/>
      <c r="K22" s="477"/>
      <c r="L22" s="479"/>
    </row>
    <row r="23" spans="1:12" ht="31.5" x14ac:dyDescent="0.25">
      <c r="A23" s="477"/>
      <c r="B23" s="477"/>
      <c r="C23" s="94" t="s">
        <v>214</v>
      </c>
      <c r="D23" s="94" t="s">
        <v>213</v>
      </c>
      <c r="E23" s="94" t="s">
        <v>214</v>
      </c>
      <c r="F23" s="94" t="s">
        <v>213</v>
      </c>
      <c r="G23" s="94" t="s">
        <v>214</v>
      </c>
      <c r="H23" s="94" t="s">
        <v>213</v>
      </c>
      <c r="I23" s="478"/>
      <c r="J23" s="482"/>
      <c r="K23" s="477"/>
      <c r="L23" s="479"/>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637</v>
      </c>
      <c r="D26" s="303" t="s">
        <v>637</v>
      </c>
      <c r="E26" s="304">
        <v>43007</v>
      </c>
      <c r="F26" s="304">
        <v>43007</v>
      </c>
      <c r="G26" s="303"/>
      <c r="H26" s="304">
        <v>42338</v>
      </c>
      <c r="I26" s="303">
        <v>100</v>
      </c>
      <c r="J26" s="303"/>
      <c r="K26" s="86"/>
      <c r="L26" s="86"/>
    </row>
    <row r="27" spans="1:12" s="68" customFormat="1" ht="39" customHeight="1" x14ac:dyDescent="0.25">
      <c r="A27" s="89" t="s">
        <v>210</v>
      </c>
      <c r="B27" s="93" t="s">
        <v>436</v>
      </c>
      <c r="C27" s="87" t="s">
        <v>637</v>
      </c>
      <c r="D27" s="303" t="s">
        <v>637</v>
      </c>
      <c r="E27" s="303" t="s">
        <v>530</v>
      </c>
      <c r="F27" s="303" t="s">
        <v>530</v>
      </c>
      <c r="G27" s="303" t="s">
        <v>530</v>
      </c>
      <c r="H27" s="303" t="s">
        <v>530</v>
      </c>
      <c r="I27" s="303"/>
      <c r="J27" s="303"/>
      <c r="K27" s="86"/>
      <c r="L27" s="86"/>
    </row>
    <row r="28" spans="1:12" s="68" customFormat="1" ht="70.5" customHeight="1" x14ac:dyDescent="0.25">
      <c r="A28" s="89" t="s">
        <v>435</v>
      </c>
      <c r="B28" s="93" t="s">
        <v>440</v>
      </c>
      <c r="C28" s="87" t="s">
        <v>637</v>
      </c>
      <c r="D28" s="303" t="s">
        <v>637</v>
      </c>
      <c r="E28" s="303" t="s">
        <v>530</v>
      </c>
      <c r="F28" s="303" t="s">
        <v>530</v>
      </c>
      <c r="G28" s="303" t="s">
        <v>530</v>
      </c>
      <c r="H28" s="303" t="s">
        <v>530</v>
      </c>
      <c r="I28" s="303"/>
      <c r="J28" s="303"/>
      <c r="K28" s="86"/>
      <c r="L28" s="86"/>
    </row>
    <row r="29" spans="1:12" s="68" customFormat="1" ht="54" customHeight="1" x14ac:dyDescent="0.25">
      <c r="A29" s="89" t="s">
        <v>209</v>
      </c>
      <c r="B29" s="93" t="s">
        <v>439</v>
      </c>
      <c r="C29" s="87" t="s">
        <v>637</v>
      </c>
      <c r="D29" s="303" t="s">
        <v>637</v>
      </c>
      <c r="E29" s="303" t="s">
        <v>530</v>
      </c>
      <c r="F29" s="303" t="s">
        <v>530</v>
      </c>
      <c r="G29" s="303" t="s">
        <v>530</v>
      </c>
      <c r="H29" s="303" t="s">
        <v>530</v>
      </c>
      <c r="I29" s="303"/>
      <c r="J29" s="303"/>
      <c r="K29" s="86"/>
      <c r="L29" s="86"/>
    </row>
    <row r="30" spans="1:12" s="68" customFormat="1" ht="42" customHeight="1" x14ac:dyDescent="0.25">
      <c r="A30" s="89" t="s">
        <v>208</v>
      </c>
      <c r="B30" s="93" t="s">
        <v>441</v>
      </c>
      <c r="C30" s="87" t="s">
        <v>637</v>
      </c>
      <c r="D30" s="303" t="s">
        <v>637</v>
      </c>
      <c r="E30" s="303" t="s">
        <v>530</v>
      </c>
      <c r="F30" s="303" t="s">
        <v>530</v>
      </c>
      <c r="G30" s="303" t="s">
        <v>530</v>
      </c>
      <c r="H30" s="303" t="s">
        <v>530</v>
      </c>
      <c r="I30" s="303"/>
      <c r="J30" s="303"/>
      <c r="K30" s="86"/>
      <c r="L30" s="86"/>
    </row>
    <row r="31" spans="1:12" s="68" customFormat="1" ht="37.5" customHeight="1" x14ac:dyDescent="0.25">
      <c r="A31" s="89" t="s">
        <v>207</v>
      </c>
      <c r="B31" s="88" t="s">
        <v>437</v>
      </c>
      <c r="C31" s="87" t="s">
        <v>637</v>
      </c>
      <c r="D31" s="303" t="s">
        <v>637</v>
      </c>
      <c r="E31" s="304">
        <v>43250</v>
      </c>
      <c r="F31" s="304">
        <v>43250</v>
      </c>
      <c r="G31" s="304"/>
      <c r="H31" s="304"/>
      <c r="I31" s="303">
        <v>100</v>
      </c>
      <c r="J31" s="303"/>
      <c r="K31" s="86"/>
      <c r="L31" s="86"/>
    </row>
    <row r="32" spans="1:12" s="68" customFormat="1" ht="31.5" x14ac:dyDescent="0.25">
      <c r="A32" s="89" t="s">
        <v>205</v>
      </c>
      <c r="B32" s="88" t="s">
        <v>442</v>
      </c>
      <c r="C32" s="87" t="s">
        <v>637</v>
      </c>
      <c r="D32" s="303" t="s">
        <v>637</v>
      </c>
      <c r="E32" s="304">
        <v>43349</v>
      </c>
      <c r="F32" s="304">
        <v>43349</v>
      </c>
      <c r="G32" s="304"/>
      <c r="H32" s="304"/>
      <c r="I32" s="303">
        <v>100</v>
      </c>
      <c r="J32" s="303"/>
      <c r="K32" s="86"/>
      <c r="L32" s="86"/>
    </row>
    <row r="33" spans="1:12" s="68" customFormat="1" ht="37.5" customHeight="1" x14ac:dyDescent="0.25">
      <c r="A33" s="89" t="s">
        <v>453</v>
      </c>
      <c r="B33" s="88" t="s">
        <v>369</v>
      </c>
      <c r="C33" s="87" t="s">
        <v>637</v>
      </c>
      <c r="D33" s="303" t="s">
        <v>637</v>
      </c>
      <c r="E33" s="303" t="s">
        <v>530</v>
      </c>
      <c r="F33" s="303" t="s">
        <v>530</v>
      </c>
      <c r="G33" s="303" t="s">
        <v>530</v>
      </c>
      <c r="H33" s="303" t="s">
        <v>530</v>
      </c>
      <c r="I33" s="303"/>
      <c r="J33" s="303"/>
      <c r="K33" s="86"/>
      <c r="L33" s="86"/>
    </row>
    <row r="34" spans="1:12" s="68" customFormat="1" ht="47.25" customHeight="1" x14ac:dyDescent="0.25">
      <c r="A34" s="89" t="s">
        <v>454</v>
      </c>
      <c r="B34" s="88" t="s">
        <v>446</v>
      </c>
      <c r="C34" s="87" t="s">
        <v>637</v>
      </c>
      <c r="D34" s="303" t="s">
        <v>637</v>
      </c>
      <c r="E34" s="303" t="s">
        <v>530</v>
      </c>
      <c r="F34" s="303" t="s">
        <v>530</v>
      </c>
      <c r="G34" s="303" t="s">
        <v>530</v>
      </c>
      <c r="H34" s="303" t="s">
        <v>530</v>
      </c>
      <c r="I34" s="303"/>
      <c r="J34" s="303"/>
      <c r="K34" s="91"/>
      <c r="L34" s="86"/>
    </row>
    <row r="35" spans="1:12" s="68" customFormat="1" ht="49.5" customHeight="1" x14ac:dyDescent="0.25">
      <c r="A35" s="89" t="s">
        <v>455</v>
      </c>
      <c r="B35" s="88" t="s">
        <v>206</v>
      </c>
      <c r="C35" s="87" t="s">
        <v>637</v>
      </c>
      <c r="D35" s="303" t="s">
        <v>637</v>
      </c>
      <c r="E35" s="304">
        <v>43349</v>
      </c>
      <c r="F35" s="304">
        <v>43349</v>
      </c>
      <c r="G35" s="304"/>
      <c r="H35" s="304"/>
      <c r="I35" s="303">
        <v>100</v>
      </c>
      <c r="J35" s="303"/>
      <c r="K35" s="91"/>
      <c r="L35" s="86"/>
    </row>
    <row r="36" spans="1:12" ht="37.5" customHeight="1" x14ac:dyDescent="0.25">
      <c r="A36" s="89" t="s">
        <v>456</v>
      </c>
      <c r="B36" s="88" t="s">
        <v>438</v>
      </c>
      <c r="C36" s="87" t="s">
        <v>637</v>
      </c>
      <c r="D36" s="305" t="s">
        <v>637</v>
      </c>
      <c r="E36" s="303" t="s">
        <v>530</v>
      </c>
      <c r="F36" s="303" t="s">
        <v>530</v>
      </c>
      <c r="G36" s="303" t="s">
        <v>530</v>
      </c>
      <c r="H36" s="303" t="s">
        <v>530</v>
      </c>
      <c r="I36" s="303"/>
      <c r="J36" s="303"/>
      <c r="K36" s="86"/>
      <c r="L36" s="86"/>
    </row>
    <row r="37" spans="1:12" x14ac:dyDescent="0.25">
      <c r="A37" s="89" t="s">
        <v>457</v>
      </c>
      <c r="B37" s="88" t="s">
        <v>204</v>
      </c>
      <c r="C37" s="87" t="s">
        <v>637</v>
      </c>
      <c r="D37" s="305" t="s">
        <v>637</v>
      </c>
      <c r="E37" s="304">
        <v>43349</v>
      </c>
      <c r="F37" s="304">
        <v>43349</v>
      </c>
      <c r="G37" s="304"/>
      <c r="H37" s="304"/>
      <c r="I37" s="303">
        <v>100</v>
      </c>
      <c r="J37" s="303"/>
      <c r="K37" s="86"/>
      <c r="L37" s="86"/>
    </row>
    <row r="38" spans="1:12" x14ac:dyDescent="0.25">
      <c r="A38" s="89" t="s">
        <v>458</v>
      </c>
      <c r="B38" s="90" t="s">
        <v>203</v>
      </c>
      <c r="C38" s="87" t="s">
        <v>637</v>
      </c>
      <c r="D38" s="305" t="s">
        <v>637</v>
      </c>
      <c r="E38" s="305"/>
      <c r="F38" s="305"/>
      <c r="G38" s="305"/>
      <c r="H38" s="305"/>
      <c r="I38" s="305"/>
      <c r="J38" s="305"/>
      <c r="K38" s="86"/>
      <c r="L38" s="86"/>
    </row>
    <row r="39" spans="1:12" ht="63" x14ac:dyDescent="0.25">
      <c r="A39" s="89">
        <v>2</v>
      </c>
      <c r="B39" s="88" t="s">
        <v>443</v>
      </c>
      <c r="C39" s="87" t="s">
        <v>637</v>
      </c>
      <c r="D39" s="305" t="s">
        <v>637</v>
      </c>
      <c r="E39" s="303" t="s">
        <v>698</v>
      </c>
      <c r="F39" s="303" t="s">
        <v>698</v>
      </c>
      <c r="G39" s="304"/>
      <c r="H39" s="304"/>
      <c r="I39" s="303"/>
      <c r="J39" s="303"/>
      <c r="K39" s="86"/>
      <c r="L39" s="86"/>
    </row>
    <row r="40" spans="1:12" ht="33.75" customHeight="1" x14ac:dyDescent="0.25">
      <c r="A40" s="89" t="s">
        <v>202</v>
      </c>
      <c r="B40" s="88" t="s">
        <v>445</v>
      </c>
      <c r="C40" s="87" t="s">
        <v>637</v>
      </c>
      <c r="D40" s="305" t="s">
        <v>637</v>
      </c>
      <c r="E40" s="303" t="s">
        <v>530</v>
      </c>
      <c r="F40" s="303" t="s">
        <v>530</v>
      </c>
      <c r="G40" s="304"/>
      <c r="H40" s="304"/>
      <c r="I40" s="303"/>
      <c r="J40" s="305"/>
      <c r="K40" s="86"/>
      <c r="L40" s="86"/>
    </row>
    <row r="41" spans="1:12" ht="63" customHeight="1" x14ac:dyDescent="0.25">
      <c r="A41" s="89" t="s">
        <v>201</v>
      </c>
      <c r="B41" s="90" t="s">
        <v>526</v>
      </c>
      <c r="C41" s="87" t="s">
        <v>637</v>
      </c>
      <c r="D41" s="305" t="s">
        <v>637</v>
      </c>
      <c r="E41" s="305"/>
      <c r="F41" s="305"/>
      <c r="G41" s="305"/>
      <c r="H41" s="305"/>
      <c r="I41" s="305"/>
      <c r="J41" s="305"/>
      <c r="K41" s="86"/>
      <c r="L41" s="86"/>
    </row>
    <row r="42" spans="1:12" ht="58.5" customHeight="1" x14ac:dyDescent="0.25">
      <c r="A42" s="89">
        <v>3</v>
      </c>
      <c r="B42" s="88" t="s">
        <v>444</v>
      </c>
      <c r="C42" s="87" t="s">
        <v>637</v>
      </c>
      <c r="D42" s="305" t="s">
        <v>637</v>
      </c>
      <c r="E42" s="303" t="s">
        <v>530</v>
      </c>
      <c r="F42" s="303" t="s">
        <v>530</v>
      </c>
      <c r="G42" s="304"/>
      <c r="H42" s="304"/>
      <c r="I42" s="303"/>
      <c r="J42" s="303"/>
      <c r="K42" s="86"/>
      <c r="L42" s="86"/>
    </row>
    <row r="43" spans="1:12" ht="34.5" customHeight="1" x14ac:dyDescent="0.25">
      <c r="A43" s="89" t="s">
        <v>200</v>
      </c>
      <c r="B43" s="88" t="s">
        <v>198</v>
      </c>
      <c r="C43" s="87" t="s">
        <v>637</v>
      </c>
      <c r="D43" s="305" t="s">
        <v>637</v>
      </c>
      <c r="E43" s="303" t="s">
        <v>530</v>
      </c>
      <c r="F43" s="303" t="s">
        <v>530</v>
      </c>
      <c r="G43" s="304"/>
      <c r="H43" s="306"/>
      <c r="I43" s="303"/>
      <c r="J43" s="305"/>
      <c r="K43" s="86"/>
      <c r="L43" s="86"/>
    </row>
    <row r="44" spans="1:12" ht="24.75" customHeight="1" x14ac:dyDescent="0.25">
      <c r="A44" s="89" t="s">
        <v>199</v>
      </c>
      <c r="B44" s="88" t="s">
        <v>196</v>
      </c>
      <c r="C44" s="87" t="s">
        <v>637</v>
      </c>
      <c r="D44" s="305" t="s">
        <v>637</v>
      </c>
      <c r="E44" s="304">
        <v>44655</v>
      </c>
      <c r="F44" s="304">
        <v>44742</v>
      </c>
      <c r="G44" s="306"/>
      <c r="H44" s="306"/>
      <c r="I44" s="303">
        <v>100</v>
      </c>
      <c r="J44" s="305"/>
      <c r="K44" s="86"/>
      <c r="L44" s="86"/>
    </row>
    <row r="45" spans="1:12" ht="90.75" customHeight="1" x14ac:dyDescent="0.25">
      <c r="A45" s="89" t="s">
        <v>197</v>
      </c>
      <c r="B45" s="88" t="s">
        <v>449</v>
      </c>
      <c r="C45" s="87" t="s">
        <v>637</v>
      </c>
      <c r="D45" s="305" t="s">
        <v>637</v>
      </c>
      <c r="E45" s="303" t="s">
        <v>530</v>
      </c>
      <c r="F45" s="303" t="s">
        <v>530</v>
      </c>
      <c r="G45" s="303"/>
      <c r="H45" s="303"/>
      <c r="I45" s="303"/>
      <c r="J45" s="303"/>
      <c r="K45" s="86"/>
      <c r="L45" s="86"/>
    </row>
    <row r="46" spans="1:12" ht="167.25" customHeight="1" x14ac:dyDescent="0.25">
      <c r="A46" s="89" t="s">
        <v>195</v>
      </c>
      <c r="B46" s="88" t="s">
        <v>447</v>
      </c>
      <c r="C46" s="87" t="s">
        <v>637</v>
      </c>
      <c r="D46" s="305" t="s">
        <v>637</v>
      </c>
      <c r="E46" s="303" t="s">
        <v>530</v>
      </c>
      <c r="F46" s="303" t="s">
        <v>530</v>
      </c>
      <c r="G46" s="303"/>
      <c r="H46" s="303"/>
      <c r="I46" s="303"/>
      <c r="J46" s="303"/>
      <c r="K46" s="86"/>
      <c r="L46" s="86"/>
    </row>
    <row r="47" spans="1:12" ht="30.75" customHeight="1" x14ac:dyDescent="0.25">
      <c r="A47" s="89" t="s">
        <v>193</v>
      </c>
      <c r="B47" s="88" t="s">
        <v>194</v>
      </c>
      <c r="C47" s="87" t="s">
        <v>637</v>
      </c>
      <c r="D47" s="305" t="s">
        <v>637</v>
      </c>
      <c r="E47" s="306">
        <v>44859</v>
      </c>
      <c r="F47" s="306">
        <v>44862</v>
      </c>
      <c r="G47" s="306"/>
      <c r="H47" s="306"/>
      <c r="I47" s="303">
        <v>100</v>
      </c>
      <c r="J47" s="303">
        <v>100</v>
      </c>
      <c r="K47" s="86"/>
      <c r="L47" s="86"/>
    </row>
    <row r="48" spans="1:12" ht="37.5" customHeight="1" x14ac:dyDescent="0.25">
      <c r="A48" s="89" t="s">
        <v>459</v>
      </c>
      <c r="B48" s="90" t="s">
        <v>192</v>
      </c>
      <c r="C48" s="87" t="s">
        <v>637</v>
      </c>
      <c r="D48" s="305" t="s">
        <v>637</v>
      </c>
      <c r="E48" s="305"/>
      <c r="F48" s="305"/>
      <c r="G48" s="305"/>
      <c r="H48" s="305"/>
      <c r="I48" s="305"/>
      <c r="J48" s="305"/>
      <c r="K48" s="86"/>
      <c r="L48" s="86"/>
    </row>
    <row r="49" spans="1:12" ht="35.25" customHeight="1" x14ac:dyDescent="0.25">
      <c r="A49" s="89">
        <v>4</v>
      </c>
      <c r="B49" s="88" t="s">
        <v>190</v>
      </c>
      <c r="C49" s="87" t="s">
        <v>637</v>
      </c>
      <c r="D49" s="305" t="s">
        <v>637</v>
      </c>
      <c r="E49" s="306">
        <v>44859</v>
      </c>
      <c r="F49" s="306">
        <v>44862</v>
      </c>
      <c r="G49" s="306"/>
      <c r="H49" s="306"/>
      <c r="I49" s="303">
        <v>100</v>
      </c>
      <c r="J49" s="303">
        <v>100</v>
      </c>
      <c r="K49" s="86"/>
      <c r="L49" s="86"/>
    </row>
    <row r="50" spans="1:12" ht="86.25" customHeight="1" x14ac:dyDescent="0.25">
      <c r="A50" s="89" t="s">
        <v>191</v>
      </c>
      <c r="B50" s="88" t="s">
        <v>448</v>
      </c>
      <c r="C50" s="87" t="s">
        <v>637</v>
      </c>
      <c r="D50" s="305" t="s">
        <v>637</v>
      </c>
      <c r="E50" s="304">
        <v>44865</v>
      </c>
      <c r="F50" s="304">
        <v>44865</v>
      </c>
      <c r="G50" s="306"/>
      <c r="H50" s="306"/>
      <c r="I50" s="303">
        <v>100</v>
      </c>
      <c r="J50" s="303">
        <v>100</v>
      </c>
      <c r="K50" s="86"/>
      <c r="L50" s="86"/>
    </row>
    <row r="51" spans="1:12" ht="77.25" customHeight="1" x14ac:dyDescent="0.25">
      <c r="A51" s="89" t="s">
        <v>189</v>
      </c>
      <c r="B51" s="88" t="s">
        <v>450</v>
      </c>
      <c r="C51" s="87" t="s">
        <v>637</v>
      </c>
      <c r="D51" s="305" t="s">
        <v>637</v>
      </c>
      <c r="E51" s="303" t="s">
        <v>530</v>
      </c>
      <c r="F51" s="303" t="s">
        <v>530</v>
      </c>
      <c r="G51" s="306"/>
      <c r="H51" s="306"/>
      <c r="I51" s="305"/>
      <c r="J51" s="305"/>
      <c r="K51" s="86"/>
      <c r="L51" s="86"/>
    </row>
    <row r="52" spans="1:12" ht="71.25" customHeight="1" x14ac:dyDescent="0.25">
      <c r="A52" s="89" t="s">
        <v>187</v>
      </c>
      <c r="B52" s="88" t="s">
        <v>188</v>
      </c>
      <c r="C52" s="87" t="s">
        <v>637</v>
      </c>
      <c r="D52" s="305" t="s">
        <v>637</v>
      </c>
      <c r="E52" s="306"/>
      <c r="F52" s="306"/>
      <c r="G52" s="306"/>
      <c r="H52" s="306"/>
      <c r="I52" s="305"/>
      <c r="J52" s="305"/>
      <c r="K52" s="86"/>
      <c r="L52" s="86"/>
    </row>
    <row r="53" spans="1:12" ht="48" customHeight="1" x14ac:dyDescent="0.25">
      <c r="A53" s="89" t="s">
        <v>185</v>
      </c>
      <c r="B53" s="150" t="s">
        <v>451</v>
      </c>
      <c r="C53" s="87" t="s">
        <v>637</v>
      </c>
      <c r="D53" s="305" t="s">
        <v>637</v>
      </c>
      <c r="E53" s="304">
        <v>44865</v>
      </c>
      <c r="F53" s="304">
        <v>44865</v>
      </c>
      <c r="G53" s="306"/>
      <c r="H53" s="306"/>
      <c r="I53" s="303">
        <v>100</v>
      </c>
      <c r="J53" s="303">
        <v>100</v>
      </c>
      <c r="K53" s="86"/>
      <c r="L53" s="86"/>
    </row>
    <row r="54" spans="1:12" ht="46.5" customHeight="1" x14ac:dyDescent="0.25">
      <c r="A54" s="89" t="s">
        <v>452</v>
      </c>
      <c r="B54" s="88" t="s">
        <v>186</v>
      </c>
      <c r="C54" s="87" t="s">
        <v>637</v>
      </c>
      <c r="D54" s="305" t="s">
        <v>637</v>
      </c>
      <c r="E54" s="303" t="s">
        <v>530</v>
      </c>
      <c r="F54" s="303" t="s">
        <v>530</v>
      </c>
      <c r="G54" s="306"/>
      <c r="H54" s="306"/>
      <c r="I54" s="305"/>
      <c r="J54" s="305"/>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2023-02-13T15:08:43Z</dcterms:modified>
</cp:coreProperties>
</file>