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сведения'!$A$1:$B$110</definedName>
  </definedNames>
  <calcPr calcId="152511"/>
</workbook>
</file>

<file path=xl/calcChain.xml><?xml version="1.0" encoding="utf-8"?>
<calcChain xmlns="http://schemas.openxmlformats.org/spreadsheetml/2006/main">
  <c r="B25" i="23" l="1"/>
  <c r="F30" i="24" l="1"/>
  <c r="C28" i="24"/>
  <c r="C29" i="24" s="1"/>
  <c r="F29" i="24"/>
  <c r="F28" i="24"/>
  <c r="E29" i="24"/>
  <c r="E28" i="24"/>
  <c r="F24"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C49" i="7"/>
  <c r="B39" i="26" l="1"/>
  <c r="B87" i="26" l="1"/>
  <c r="B85" i="26"/>
  <c r="B22" i="26"/>
  <c r="A15" i="26" l="1"/>
  <c r="B21" i="26" s="1"/>
  <c r="A12" i="26"/>
  <c r="A9" i="26"/>
  <c r="B62" i="26"/>
  <c r="B41" i="26"/>
  <c r="B32" i="26"/>
  <c r="B72" i="26"/>
  <c r="A5" i="26"/>
  <c r="B30" i="26" l="1"/>
  <c r="B34" i="26"/>
  <c r="B47" i="26"/>
  <c r="B76" i="26"/>
  <c r="B86" i="26"/>
  <c r="B55" i="26"/>
  <c r="B68" i="26"/>
  <c r="B84" i="26"/>
  <c r="B38" i="26"/>
  <c r="B43" i="26"/>
  <c r="B51" i="26"/>
  <c r="B59" i="26"/>
  <c r="B64" i="26"/>
  <c r="G28" i="24" l="1"/>
  <c r="G29" i="24"/>
  <c r="A14" i="24"/>
  <c r="A11" i="24"/>
  <c r="A8" i="24"/>
  <c r="G30" i="24" l="1"/>
  <c r="G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E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B73" i="23"/>
  <c r="A62" i="23"/>
  <c r="B60" i="23"/>
  <c r="C58" i="23"/>
  <c r="C74" i="23" s="1"/>
  <c r="B52" i="23"/>
  <c r="B49" i="23"/>
  <c r="D48" i="23"/>
  <c r="C48" i="23"/>
  <c r="B48" i="23"/>
  <c r="B47" i="23"/>
  <c r="B45" i="23"/>
  <c r="B44" i="23"/>
  <c r="B27" i="23"/>
  <c r="A7" i="23"/>
  <c r="A5" i="23"/>
  <c r="B46" i="23" l="1"/>
  <c r="G136" i="23"/>
  <c r="H136" i="23" s="1"/>
  <c r="H48" i="23" s="1"/>
  <c r="F48" i="23"/>
  <c r="E137" i="23"/>
  <c r="F137" i="23" s="1"/>
  <c r="E48" i="23"/>
  <c r="B50" i="23"/>
  <c r="B59" i="23" s="1"/>
  <c r="B80" i="23" s="1"/>
  <c r="C49" i="23"/>
  <c r="D141" i="23"/>
  <c r="D73" i="23" s="1"/>
  <c r="D85" i="23" s="1"/>
  <c r="D99" i="23" s="1"/>
  <c r="C141" i="23"/>
  <c r="C73" i="23" s="1"/>
  <c r="C85" i="23" s="1"/>
  <c r="C99" i="23" s="1"/>
  <c r="B54" i="23"/>
  <c r="B55" i="23" s="1"/>
  <c r="B56" i="23" s="1"/>
  <c r="B69" i="23" s="1"/>
  <c r="B77" i="23" s="1"/>
  <c r="D58" i="23"/>
  <c r="C52" i="23"/>
  <c r="C47" i="23"/>
  <c r="F140" i="23"/>
  <c r="B85" i="23"/>
  <c r="B99" i="23" s="1"/>
  <c r="G120" i="23"/>
  <c r="I118" i="23"/>
  <c r="I120" i="23" s="1"/>
  <c r="C109" i="23" s="1"/>
  <c r="E141" i="23"/>
  <c r="E73" i="23" s="1"/>
  <c r="E85" i="23" s="1"/>
  <c r="E99" i="23" s="1"/>
  <c r="B66" i="23" l="1"/>
  <c r="B68" i="23" s="1"/>
  <c r="B75" i="23" s="1"/>
  <c r="I136" i="23"/>
  <c r="I48" i="23" s="1"/>
  <c r="E49" i="23"/>
  <c r="G48" i="23"/>
  <c r="B79" i="23"/>
  <c r="C61" i="23"/>
  <c r="C60" i="23" s="1"/>
  <c r="B82" i="23"/>
  <c r="G137" i="23"/>
  <c r="F49" i="23"/>
  <c r="C53" i="23"/>
  <c r="C55" i="23" s="1"/>
  <c r="C67" i="23"/>
  <c r="C108" i="23"/>
  <c r="C50" i="23" s="1"/>
  <c r="C59" i="23" s="1"/>
  <c r="D109" i="23"/>
  <c r="G140" i="23"/>
  <c r="G141" i="23" s="1"/>
  <c r="G73" i="23" s="1"/>
  <c r="G85" i="23" s="1"/>
  <c r="G99" i="23" s="1"/>
  <c r="J136" i="23"/>
  <c r="B70" i="23"/>
  <c r="F141" i="23"/>
  <c r="F73" i="23" s="1"/>
  <c r="F85" i="23" s="1"/>
  <c r="F99" i="23" s="1"/>
  <c r="D74" i="23"/>
  <c r="E58" i="23"/>
  <c r="D52" i="23"/>
  <c r="D47" i="23"/>
  <c r="D61" i="23" s="1"/>
  <c r="D60" i="23" s="1"/>
  <c r="G49" i="23" l="1"/>
  <c r="H137" i="23"/>
  <c r="F76" i="23"/>
  <c r="C76" i="23"/>
  <c r="D67" i="23"/>
  <c r="F58" i="23"/>
  <c r="E52" i="23"/>
  <c r="E47" i="23"/>
  <c r="E61" i="23" s="1"/>
  <c r="E60" i="23" s="1"/>
  <c r="E74" i="23"/>
  <c r="C82" i="23"/>
  <c r="C56" i="23"/>
  <c r="C69" i="23" s="1"/>
  <c r="C77" i="23" s="1"/>
  <c r="B71" i="23"/>
  <c r="K136" i="23"/>
  <c r="J48" i="23"/>
  <c r="E109" i="23"/>
  <c r="D108" i="23"/>
  <c r="D50" i="23" s="1"/>
  <c r="D59" i="23" s="1"/>
  <c r="D53" i="23"/>
  <c r="H140" i="23"/>
  <c r="H141" i="23" s="1"/>
  <c r="H73" i="23" s="1"/>
  <c r="H85" i="23" s="1"/>
  <c r="H99" i="23" s="1"/>
  <c r="C80" i="23"/>
  <c r="C66" i="23"/>
  <c r="C68" i="23" s="1"/>
  <c r="C79" i="23"/>
  <c r="D79" i="23" l="1"/>
  <c r="H49" i="23"/>
  <c r="I137" i="23"/>
  <c r="D76" i="23"/>
  <c r="E67" i="23"/>
  <c r="D66" i="23"/>
  <c r="D68" i="23" s="1"/>
  <c r="D80" i="23"/>
  <c r="B78" i="23"/>
  <c r="B83" i="23" s="1"/>
  <c r="C75" i="23"/>
  <c r="C70" i="23"/>
  <c r="I140" i="23"/>
  <c r="D55" i="23"/>
  <c r="E108" i="23"/>
  <c r="E50" i="23" s="1"/>
  <c r="E59" i="23" s="1"/>
  <c r="E79" i="23" s="1"/>
  <c r="F109" i="23"/>
  <c r="L136" i="23"/>
  <c r="K48" i="23"/>
  <c r="B72" i="23"/>
  <c r="F74" i="23"/>
  <c r="G58" i="23"/>
  <c r="F52" i="23"/>
  <c r="F47" i="23"/>
  <c r="F61" i="23" s="1"/>
  <c r="F60" i="23" s="1"/>
  <c r="J137" i="23" l="1"/>
  <c r="I49" i="23"/>
  <c r="E76" i="23"/>
  <c r="F67" i="23"/>
  <c r="G67" i="23" s="1"/>
  <c r="G109" i="23"/>
  <c r="F108" i="23"/>
  <c r="F50" i="23" s="1"/>
  <c r="F59" i="23" s="1"/>
  <c r="D82" i="23"/>
  <c r="D56" i="23"/>
  <c r="D69" i="23" s="1"/>
  <c r="D77" i="23" s="1"/>
  <c r="J140" i="23"/>
  <c r="J141" i="23" s="1"/>
  <c r="J73" i="23" s="1"/>
  <c r="J85" i="23" s="1"/>
  <c r="J99" i="23" s="1"/>
  <c r="B88" i="23"/>
  <c r="B86" i="23"/>
  <c r="B84" i="23"/>
  <c r="B89" i="23" s="1"/>
  <c r="D75" i="23"/>
  <c r="H58" i="23"/>
  <c r="G52" i="23"/>
  <c r="G47" i="23"/>
  <c r="G61" i="23" s="1"/>
  <c r="G60" i="23" s="1"/>
  <c r="G74" i="23"/>
  <c r="M136" i="23"/>
  <c r="L48" i="23"/>
  <c r="E80" i="23"/>
  <c r="E66" i="23"/>
  <c r="E68" i="23" s="1"/>
  <c r="E53" i="23"/>
  <c r="I141" i="23"/>
  <c r="I73" i="23" s="1"/>
  <c r="I85" i="23" s="1"/>
  <c r="I99" i="23" s="1"/>
  <c r="C71" i="23"/>
  <c r="J49" i="23" l="1"/>
  <c r="K137" i="23"/>
  <c r="G76" i="23"/>
  <c r="H67" i="23"/>
  <c r="C78" i="23"/>
  <c r="C83" i="23" s="1"/>
  <c r="E75" i="23"/>
  <c r="F80" i="23"/>
  <c r="F66" i="23"/>
  <c r="F68" i="23" s="1"/>
  <c r="C72" i="23"/>
  <c r="E55" i="23"/>
  <c r="F79" i="23"/>
  <c r="N136" i="23"/>
  <c r="M48" i="23"/>
  <c r="H74" i="23"/>
  <c r="I58" i="23"/>
  <c r="H52" i="23"/>
  <c r="H47" i="23"/>
  <c r="H61" i="23" s="1"/>
  <c r="H60" i="23" s="1"/>
  <c r="D70" i="23"/>
  <c r="B87" i="23"/>
  <c r="B90" i="23" s="1"/>
  <c r="K140" i="23"/>
  <c r="K141" i="23" s="1"/>
  <c r="K73" i="23" s="1"/>
  <c r="K85" i="23" s="1"/>
  <c r="K99" i="23" s="1"/>
  <c r="G108" i="23"/>
  <c r="G50" i="23" s="1"/>
  <c r="G59" i="23" s="1"/>
  <c r="H109" i="23"/>
  <c r="L137" i="23" l="1"/>
  <c r="K49" i="23"/>
  <c r="I67" i="23"/>
  <c r="H76" i="23"/>
  <c r="G80" i="23"/>
  <c r="G66" i="23"/>
  <c r="G68" i="23" s="1"/>
  <c r="G79" i="23"/>
  <c r="D71" i="23"/>
  <c r="O136" i="23"/>
  <c r="N48" i="23"/>
  <c r="E82" i="23"/>
  <c r="E56" i="23"/>
  <c r="E69" i="23" s="1"/>
  <c r="F75" i="23"/>
  <c r="I109" i="23"/>
  <c r="H108" i="23"/>
  <c r="H50" i="23" s="1"/>
  <c r="H59" i="23" s="1"/>
  <c r="L140" i="23"/>
  <c r="L141" i="23" s="1"/>
  <c r="L73" i="23" s="1"/>
  <c r="L85" i="23" s="1"/>
  <c r="L99" i="23" s="1"/>
  <c r="J58" i="23"/>
  <c r="I52" i="23"/>
  <c r="I47" i="23"/>
  <c r="I61" i="23" s="1"/>
  <c r="I60" i="23" s="1"/>
  <c r="I74" i="23"/>
  <c r="F53" i="23"/>
  <c r="C86" i="23"/>
  <c r="C88" i="23"/>
  <c r="C84" i="23"/>
  <c r="C89" i="23" s="1"/>
  <c r="M137" i="23" l="1"/>
  <c r="L49" i="23"/>
  <c r="J67" i="23"/>
  <c r="I76" i="23"/>
  <c r="C87" i="23"/>
  <c r="C90" i="23" s="1"/>
  <c r="J74" i="23"/>
  <c r="K58" i="23"/>
  <c r="J52" i="23"/>
  <c r="J47" i="23"/>
  <c r="J61" i="23" s="1"/>
  <c r="J60" i="23" s="1"/>
  <c r="H66" i="23"/>
  <c r="H68" i="23" s="1"/>
  <c r="H80" i="23"/>
  <c r="E77" i="23"/>
  <c r="E70" i="23"/>
  <c r="D78" i="23"/>
  <c r="D83" i="23" s="1"/>
  <c r="G75" i="23"/>
  <c r="H79" i="23"/>
  <c r="F55" i="23"/>
  <c r="G53" i="23" s="1"/>
  <c r="M140" i="23"/>
  <c r="M141" i="23" s="1"/>
  <c r="M73" i="23" s="1"/>
  <c r="M85" i="23" s="1"/>
  <c r="M99" i="23" s="1"/>
  <c r="I108" i="23"/>
  <c r="I50" i="23" s="1"/>
  <c r="I59" i="23" s="1"/>
  <c r="J109" i="23"/>
  <c r="O48" i="23"/>
  <c r="P136" i="23"/>
  <c r="D72" i="23"/>
  <c r="N137" i="23" l="1"/>
  <c r="M49" i="23"/>
  <c r="J76" i="23"/>
  <c r="K67" i="23"/>
  <c r="I80" i="23"/>
  <c r="I66" i="23"/>
  <c r="I68" i="23" s="1"/>
  <c r="G55" i="23"/>
  <c r="L58" i="23"/>
  <c r="K52" i="23"/>
  <c r="K47" i="23"/>
  <c r="K61" i="23" s="1"/>
  <c r="K60" i="23" s="1"/>
  <c r="K74" i="23"/>
  <c r="I79" i="23"/>
  <c r="Q136" i="23"/>
  <c r="P48" i="23"/>
  <c r="K109" i="23"/>
  <c r="J108" i="23"/>
  <c r="J50" i="23" s="1"/>
  <c r="J59" i="23" s="1"/>
  <c r="N140" i="23"/>
  <c r="F82" i="23"/>
  <c r="F56" i="23"/>
  <c r="F69" i="23" s="1"/>
  <c r="D86" i="23"/>
  <c r="D88" i="23"/>
  <c r="D84" i="23"/>
  <c r="D89" i="23" s="1"/>
  <c r="E71" i="23"/>
  <c r="E72" i="23" s="1"/>
  <c r="H75" i="23"/>
  <c r="N49" i="23" l="1"/>
  <c r="O137" i="23"/>
  <c r="K76" i="23"/>
  <c r="L67" i="23"/>
  <c r="D87" i="23"/>
  <c r="D90" i="23" s="1"/>
  <c r="O140" i="23"/>
  <c r="K108" i="23"/>
  <c r="K50" i="23" s="1"/>
  <c r="K59" i="23" s="1"/>
  <c r="L109" i="23"/>
  <c r="R136" i="23"/>
  <c r="Q48" i="23"/>
  <c r="L74" i="23"/>
  <c r="M58" i="23"/>
  <c r="L52" i="23"/>
  <c r="L47" i="23"/>
  <c r="L61" i="23" s="1"/>
  <c r="L60" i="23" s="1"/>
  <c r="G56" i="23"/>
  <c r="G69" i="23" s="1"/>
  <c r="G82" i="23"/>
  <c r="I75" i="23"/>
  <c r="E78" i="23"/>
  <c r="E83" i="23" s="1"/>
  <c r="F77" i="23"/>
  <c r="F70" i="23"/>
  <c r="N141" i="23"/>
  <c r="N73" i="23" s="1"/>
  <c r="N85" i="23" s="1"/>
  <c r="N99" i="23" s="1"/>
  <c r="J80" i="23"/>
  <c r="J66" i="23"/>
  <c r="J68" i="23" s="1"/>
  <c r="J79" i="23"/>
  <c r="H53" i="23"/>
  <c r="P137" i="23" l="1"/>
  <c r="O49" i="23"/>
  <c r="M67" i="23"/>
  <c r="L76" i="23"/>
  <c r="J75" i="23"/>
  <c r="E86" i="23"/>
  <c r="E88" i="23"/>
  <c r="E84" i="23"/>
  <c r="E89" i="23" s="1"/>
  <c r="N58" i="23"/>
  <c r="M52" i="23"/>
  <c r="M47" i="23"/>
  <c r="M61" i="23" s="1"/>
  <c r="M60" i="23" s="1"/>
  <c r="M74" i="23"/>
  <c r="M109" i="23"/>
  <c r="L108" i="23"/>
  <c r="L50" i="23" s="1"/>
  <c r="L59" i="23" s="1"/>
  <c r="P140" i="23"/>
  <c r="P141" i="23" s="1"/>
  <c r="P73" i="23" s="1"/>
  <c r="P85" i="23" s="1"/>
  <c r="P99" i="23" s="1"/>
  <c r="H55" i="23"/>
  <c r="I53" i="23" s="1"/>
  <c r="F71" i="23"/>
  <c r="F72" i="23" s="1"/>
  <c r="G77" i="23"/>
  <c r="G70" i="23"/>
  <c r="S136" i="23"/>
  <c r="R48" i="23"/>
  <c r="K80" i="23"/>
  <c r="K66" i="23"/>
  <c r="K68" i="23" s="1"/>
  <c r="K79" i="23"/>
  <c r="O141" i="23"/>
  <c r="O73" i="23" s="1"/>
  <c r="O85" i="23" s="1"/>
  <c r="O99" i="23" s="1"/>
  <c r="Q137" i="23" l="1"/>
  <c r="P49" i="23"/>
  <c r="N67" i="23"/>
  <c r="M76" i="23"/>
  <c r="K75" i="23"/>
  <c r="G71" i="23"/>
  <c r="G72" i="23" s="1"/>
  <c r="I55" i="23"/>
  <c r="J53" i="23" s="1"/>
  <c r="L66" i="23"/>
  <c r="L68" i="23" s="1"/>
  <c r="L80" i="23"/>
  <c r="L79" i="23"/>
  <c r="E87" i="23"/>
  <c r="E90" i="23" s="1"/>
  <c r="T136" i="23"/>
  <c r="S48" i="23"/>
  <c r="F78" i="23"/>
  <c r="F83" i="23" s="1"/>
  <c r="H82" i="23"/>
  <c r="H56" i="23"/>
  <c r="H69" i="23" s="1"/>
  <c r="Q140" i="23"/>
  <c r="M108" i="23"/>
  <c r="M50" i="23" s="1"/>
  <c r="M59" i="23" s="1"/>
  <c r="N109" i="23"/>
  <c r="N74" i="23"/>
  <c r="O58" i="23"/>
  <c r="N52" i="23"/>
  <c r="N47" i="23"/>
  <c r="N61" i="23" s="1"/>
  <c r="N60" i="23" s="1"/>
  <c r="Q49" i="23" l="1"/>
  <c r="R137" i="23"/>
  <c r="N76" i="23"/>
  <c r="O67" i="23"/>
  <c r="P58" i="23"/>
  <c r="O52" i="23"/>
  <c r="O47" i="23"/>
  <c r="O61" i="23" s="1"/>
  <c r="O60" i="23" s="1"/>
  <c r="O74" i="23"/>
  <c r="O109" i="23"/>
  <c r="N108" i="23"/>
  <c r="N50" i="23" s="1"/>
  <c r="N59" i="23" s="1"/>
  <c r="R140" i="23"/>
  <c r="H77" i="23"/>
  <c r="H70" i="23"/>
  <c r="F86" i="23"/>
  <c r="F88" i="23"/>
  <c r="F84" i="23"/>
  <c r="F89" i="23" s="1"/>
  <c r="G78" i="23"/>
  <c r="G83" i="23" s="1"/>
  <c r="G86" i="23" s="1"/>
  <c r="J55" i="23"/>
  <c r="K53" i="23" s="1"/>
  <c r="M80" i="23"/>
  <c r="M66" i="23"/>
  <c r="M68" i="23" s="1"/>
  <c r="M79" i="23"/>
  <c r="Q141" i="23"/>
  <c r="Q73" i="23" s="1"/>
  <c r="Q85" i="23" s="1"/>
  <c r="Q99" i="23" s="1"/>
  <c r="U136" i="23"/>
  <c r="T48" i="23"/>
  <c r="L75" i="23"/>
  <c r="I82" i="23"/>
  <c r="I56" i="23"/>
  <c r="I69" i="23" s="1"/>
  <c r="R49" i="23" l="1"/>
  <c r="S137" i="23"/>
  <c r="P67" i="23"/>
  <c r="O76" i="23"/>
  <c r="G88" i="23"/>
  <c r="F87" i="23"/>
  <c r="F90" i="23" s="1"/>
  <c r="G87" i="23"/>
  <c r="S140" i="23"/>
  <c r="S141" i="23" s="1"/>
  <c r="S73" i="23" s="1"/>
  <c r="S85" i="23" s="1"/>
  <c r="S99" i="23" s="1"/>
  <c r="O108" i="23"/>
  <c r="O50" i="23" s="1"/>
  <c r="O59" i="23" s="1"/>
  <c r="P109" i="23"/>
  <c r="P74" i="23"/>
  <c r="Q58" i="23"/>
  <c r="P52" i="23"/>
  <c r="P47" i="23"/>
  <c r="P61" i="23" s="1"/>
  <c r="P60" i="23" s="1"/>
  <c r="I77" i="23"/>
  <c r="I70" i="23"/>
  <c r="M75" i="23"/>
  <c r="J82" i="23"/>
  <c r="J56" i="23"/>
  <c r="J69" i="23" s="1"/>
  <c r="G84" i="23"/>
  <c r="G89" i="23" s="1"/>
  <c r="H71" i="23"/>
  <c r="H78" i="23" s="1"/>
  <c r="H83" i="23" s="1"/>
  <c r="R141" i="23"/>
  <c r="R73" i="23" s="1"/>
  <c r="R85" i="23" s="1"/>
  <c r="R99" i="23" s="1"/>
  <c r="N80" i="23"/>
  <c r="N66" i="23"/>
  <c r="N68" i="23" s="1"/>
  <c r="N79" i="23"/>
  <c r="V136" i="23"/>
  <c r="U48" i="23"/>
  <c r="K55" i="23"/>
  <c r="L53" i="23" s="1"/>
  <c r="T137" i="23" l="1"/>
  <c r="S49" i="23"/>
  <c r="H72" i="23"/>
  <c r="G90" i="23"/>
  <c r="Q67" i="23"/>
  <c r="P76" i="23"/>
  <c r="H86" i="23"/>
  <c r="H87" i="23" s="1"/>
  <c r="H90" i="23" s="1"/>
  <c r="H84" i="23"/>
  <c r="H89" i="23" s="1"/>
  <c r="H88" i="23"/>
  <c r="L55" i="23"/>
  <c r="I71" i="23"/>
  <c r="I78" i="23" s="1"/>
  <c r="I83" i="23" s="1"/>
  <c r="R58" i="23"/>
  <c r="Q52" i="23"/>
  <c r="Q47" i="23"/>
  <c r="Q61" i="23" s="1"/>
  <c r="Q60" i="23" s="1"/>
  <c r="Q74" i="23"/>
  <c r="Q109" i="23"/>
  <c r="P108" i="23"/>
  <c r="P50" i="23" s="1"/>
  <c r="P59" i="23" s="1"/>
  <c r="T140" i="23"/>
  <c r="K82" i="23"/>
  <c r="K56" i="23"/>
  <c r="K69" i="23" s="1"/>
  <c r="W136" i="23"/>
  <c r="V48" i="23"/>
  <c r="N75" i="23"/>
  <c r="J77" i="23"/>
  <c r="J70" i="23"/>
  <c r="O80" i="23"/>
  <c r="O66" i="23"/>
  <c r="O68" i="23" s="1"/>
  <c r="O79" i="23"/>
  <c r="T49" i="23" l="1"/>
  <c r="U137" i="23"/>
  <c r="Q76" i="23"/>
  <c r="R67" i="23"/>
  <c r="O75" i="23"/>
  <c r="I86" i="23"/>
  <c r="I87" i="23" s="1"/>
  <c r="I90" i="23" s="1"/>
  <c r="I88" i="23"/>
  <c r="I84" i="23"/>
  <c r="I89" i="23" s="1"/>
  <c r="X136" i="23"/>
  <c r="W48" i="23"/>
  <c r="U140" i="23"/>
  <c r="Q108" i="23"/>
  <c r="Q50" i="23" s="1"/>
  <c r="Q59" i="23" s="1"/>
  <c r="R109" i="23"/>
  <c r="R74" i="23"/>
  <c r="S58" i="23"/>
  <c r="R52" i="23"/>
  <c r="R47" i="23"/>
  <c r="R61" i="23" s="1"/>
  <c r="R60" i="23" s="1"/>
  <c r="L82" i="23"/>
  <c r="L56" i="23"/>
  <c r="L69" i="23" s="1"/>
  <c r="J71" i="23"/>
  <c r="J78" i="23" s="1"/>
  <c r="J83" i="23" s="1"/>
  <c r="K77" i="23"/>
  <c r="K70" i="23"/>
  <c r="T141" i="23"/>
  <c r="T73" i="23" s="1"/>
  <c r="T85" i="23" s="1"/>
  <c r="T99" i="23" s="1"/>
  <c r="P66" i="23"/>
  <c r="P68" i="23" s="1"/>
  <c r="P80" i="23"/>
  <c r="P79" i="23"/>
  <c r="I72" i="23"/>
  <c r="M53" i="23"/>
  <c r="U49" i="23" l="1"/>
  <c r="V137" i="23"/>
  <c r="S67" i="23"/>
  <c r="R76" i="23"/>
  <c r="J86" i="23"/>
  <c r="J87" i="23" s="1"/>
  <c r="J90" i="23" s="1"/>
  <c r="J88" i="23"/>
  <c r="J84" i="23"/>
  <c r="J89" i="23" s="1"/>
  <c r="L77" i="23"/>
  <c r="L70" i="23"/>
  <c r="T58" i="23"/>
  <c r="S52" i="23"/>
  <c r="S47" i="23"/>
  <c r="S61" i="23" s="1"/>
  <c r="S60" i="23" s="1"/>
  <c r="S74" i="23"/>
  <c r="S109" i="23"/>
  <c r="R108" i="23"/>
  <c r="R50" i="23" s="1"/>
  <c r="R59" i="23" s="1"/>
  <c r="V140" i="23"/>
  <c r="V141" i="23" s="1"/>
  <c r="V73" i="23" s="1"/>
  <c r="V85" i="23" s="1"/>
  <c r="V99" i="23" s="1"/>
  <c r="M55" i="23"/>
  <c r="N53" i="23" s="1"/>
  <c r="P75" i="23"/>
  <c r="K71" i="23"/>
  <c r="K78" i="23" s="1"/>
  <c r="K83" i="23" s="1"/>
  <c r="J72" i="23"/>
  <c r="Q80" i="23"/>
  <c r="Q66" i="23"/>
  <c r="Q68" i="23" s="1"/>
  <c r="Q79" i="23"/>
  <c r="U141" i="23"/>
  <c r="U73" i="23" s="1"/>
  <c r="U85" i="23" s="1"/>
  <c r="U99" i="23" s="1"/>
  <c r="Y136" i="23"/>
  <c r="X48" i="23"/>
  <c r="V49" i="23" l="1"/>
  <c r="W137" i="23"/>
  <c r="K72" i="23"/>
  <c r="S76" i="23"/>
  <c r="T67" i="23"/>
  <c r="Z136" i="23"/>
  <c r="Y48" i="23"/>
  <c r="N55" i="23"/>
  <c r="O53" i="23" s="1"/>
  <c r="R80" i="23"/>
  <c r="R66" i="23"/>
  <c r="R68" i="23" s="1"/>
  <c r="R79" i="23"/>
  <c r="L71" i="23"/>
  <c r="L78" i="23" s="1"/>
  <c r="L83" i="23" s="1"/>
  <c r="K86" i="23"/>
  <c r="K87" i="23" s="1"/>
  <c r="K90" i="23" s="1"/>
  <c r="K88" i="23"/>
  <c r="K84" i="23"/>
  <c r="K89" i="23" s="1"/>
  <c r="Q75" i="23"/>
  <c r="M82" i="23"/>
  <c r="M56" i="23"/>
  <c r="M69" i="23" s="1"/>
  <c r="W140" i="23"/>
  <c r="W141" i="23" s="1"/>
  <c r="W73" i="23" s="1"/>
  <c r="W85" i="23" s="1"/>
  <c r="W99" i="23" s="1"/>
  <c r="S108" i="23"/>
  <c r="S50" i="23" s="1"/>
  <c r="S59" i="23" s="1"/>
  <c r="T109" i="23"/>
  <c r="T74" i="23"/>
  <c r="U58" i="23"/>
  <c r="T52" i="23"/>
  <c r="T47" i="23"/>
  <c r="T61" i="23" s="1"/>
  <c r="T60" i="23" s="1"/>
  <c r="W49" i="23" l="1"/>
  <c r="X137" i="23"/>
  <c r="U67" i="23"/>
  <c r="T76" i="23"/>
  <c r="L86" i="23"/>
  <c r="L87" i="23" s="1"/>
  <c r="L84" i="23"/>
  <c r="L89" i="23" s="1"/>
  <c r="G28" i="23" s="1"/>
  <c r="C105" i="23" s="1"/>
  <c r="L88" i="23"/>
  <c r="B105" i="23" s="1"/>
  <c r="S80" i="23"/>
  <c r="S66" i="23"/>
  <c r="S68" i="23" s="1"/>
  <c r="S79" i="23"/>
  <c r="O55" i="23"/>
  <c r="P53" i="23" s="1"/>
  <c r="V58" i="23"/>
  <c r="U52" i="23"/>
  <c r="U47" i="23"/>
  <c r="U61" i="23" s="1"/>
  <c r="U60" i="23" s="1"/>
  <c r="U74" i="23"/>
  <c r="U109" i="23"/>
  <c r="T108" i="23"/>
  <c r="T50" i="23" s="1"/>
  <c r="T59" i="23" s="1"/>
  <c r="X140" i="23"/>
  <c r="X141" i="23" s="1"/>
  <c r="X73" i="23" s="1"/>
  <c r="X85" i="23" s="1"/>
  <c r="X99" i="23" s="1"/>
  <c r="M77" i="23"/>
  <c r="M70" i="23"/>
  <c r="L72" i="23"/>
  <c r="R75" i="23"/>
  <c r="N82" i="23"/>
  <c r="N56" i="23"/>
  <c r="N69" i="23" s="1"/>
  <c r="AA136" i="23"/>
  <c r="Z48" i="23"/>
  <c r="X49" i="23" l="1"/>
  <c r="Y137" i="23"/>
  <c r="V67" i="23"/>
  <c r="U76" i="23"/>
  <c r="AB136" i="23"/>
  <c r="AA48" i="23"/>
  <c r="M71" i="23"/>
  <c r="M78" i="23" s="1"/>
  <c r="T66" i="23"/>
  <c r="T68" i="23" s="1"/>
  <c r="T80" i="23"/>
  <c r="T79" i="23"/>
  <c r="P55" i="23"/>
  <c r="Q53" i="23" s="1"/>
  <c r="S75" i="23"/>
  <c r="N77" i="23"/>
  <c r="N70" i="23"/>
  <c r="M83" i="23"/>
  <c r="Y140" i="23"/>
  <c r="Y141" i="23" s="1"/>
  <c r="Y73" i="23" s="1"/>
  <c r="Y85" i="23" s="1"/>
  <c r="Y99" i="23" s="1"/>
  <c r="U108" i="23"/>
  <c r="U50" i="23" s="1"/>
  <c r="U59" i="23" s="1"/>
  <c r="V109" i="23"/>
  <c r="V74" i="23"/>
  <c r="W58" i="23"/>
  <c r="V52" i="23"/>
  <c r="V47" i="23"/>
  <c r="V61" i="23" s="1"/>
  <c r="V60" i="23" s="1"/>
  <c r="O56" i="23"/>
  <c r="O69" i="23" s="1"/>
  <c r="O82" i="23"/>
  <c r="L90" i="23"/>
  <c r="G29" i="23" s="1"/>
  <c r="D105" i="23" s="1"/>
  <c r="G30" i="23"/>
  <c r="A105" i="23" s="1"/>
  <c r="Y49" i="23" l="1"/>
  <c r="Z137" i="23"/>
  <c r="V76" i="23"/>
  <c r="W67" i="23"/>
  <c r="Q55" i="23"/>
  <c r="R53" i="23" s="1"/>
  <c r="O77" i="23"/>
  <c r="O70" i="23"/>
  <c r="U80" i="23"/>
  <c r="U66" i="23"/>
  <c r="U68" i="23" s="1"/>
  <c r="U79" i="23"/>
  <c r="M72" i="23"/>
  <c r="X58" i="23"/>
  <c r="W52" i="23"/>
  <c r="W47" i="23"/>
  <c r="W61" i="23" s="1"/>
  <c r="W60" i="23" s="1"/>
  <c r="W74" i="23"/>
  <c r="W109" i="23"/>
  <c r="V108" i="23"/>
  <c r="V50" i="23" s="1"/>
  <c r="V59" i="23" s="1"/>
  <c r="Z140" i="23"/>
  <c r="Z141" i="23" s="1"/>
  <c r="Z73" i="23" s="1"/>
  <c r="Z85" i="23" s="1"/>
  <c r="Z99" i="23" s="1"/>
  <c r="M86" i="23"/>
  <c r="M87" i="23" s="1"/>
  <c r="M90" i="23" s="1"/>
  <c r="M84" i="23"/>
  <c r="M89" i="23" s="1"/>
  <c r="M88" i="23"/>
  <c r="N71" i="23"/>
  <c r="N78" i="23" s="1"/>
  <c r="N83" i="23" s="1"/>
  <c r="P82" i="23"/>
  <c r="P56" i="23"/>
  <c r="P69" i="23" s="1"/>
  <c r="T75" i="23"/>
  <c r="AC136" i="23"/>
  <c r="AB48" i="23"/>
  <c r="AA137" i="23" l="1"/>
  <c r="Z49" i="23"/>
  <c r="X67" i="23"/>
  <c r="W76" i="23"/>
  <c r="N86" i="23"/>
  <c r="N87" i="23" s="1"/>
  <c r="N90" i="23" s="1"/>
  <c r="N88" i="23"/>
  <c r="N84" i="23"/>
  <c r="N89" i="23" s="1"/>
  <c r="R55" i="23"/>
  <c r="S53" i="23" s="1"/>
  <c r="P77" i="23"/>
  <c r="P70" i="23"/>
  <c r="AD136" i="23"/>
  <c r="AC48" i="23"/>
  <c r="N72" i="23"/>
  <c r="V80" i="23"/>
  <c r="V66" i="23"/>
  <c r="V68" i="23" s="1"/>
  <c r="V79" i="23"/>
  <c r="U75" i="23"/>
  <c r="O71" i="23"/>
  <c r="O78" i="23" s="1"/>
  <c r="O83" i="23" s="1"/>
  <c r="AA140" i="23"/>
  <c r="W108" i="23"/>
  <c r="W50" i="23" s="1"/>
  <c r="W59" i="23" s="1"/>
  <c r="X109" i="23"/>
  <c r="X74" i="23"/>
  <c r="Y58" i="23"/>
  <c r="X52" i="23"/>
  <c r="X47" i="23"/>
  <c r="X61" i="23" s="1"/>
  <c r="X60" i="23" s="1"/>
  <c r="Q82" i="23"/>
  <c r="Q56" i="23"/>
  <c r="Q69" i="23" s="1"/>
  <c r="O72" i="23" l="1"/>
  <c r="AA49" i="23"/>
  <c r="AB137" i="23"/>
  <c r="X76" i="23"/>
  <c r="Y67" i="23"/>
  <c r="Z58" i="23"/>
  <c r="Y52" i="23"/>
  <c r="Y47" i="23"/>
  <c r="Y61" i="23" s="1"/>
  <c r="Y60" i="23" s="1"/>
  <c r="Y74" i="23"/>
  <c r="Y109" i="23"/>
  <c r="X108" i="23"/>
  <c r="X50" i="23" s="1"/>
  <c r="X59" i="23" s="1"/>
  <c r="AB140" i="23"/>
  <c r="AB141" i="23" s="1"/>
  <c r="AB73" i="23" s="1"/>
  <c r="AB85" i="23" s="1"/>
  <c r="AB99" i="23" s="1"/>
  <c r="P71" i="23"/>
  <c r="P78" i="23" s="1"/>
  <c r="P83" i="23" s="1"/>
  <c r="S55" i="23"/>
  <c r="T53" i="23" s="1"/>
  <c r="Q77" i="23"/>
  <c r="Q70" i="23"/>
  <c r="O86" i="23"/>
  <c r="O87" i="23" s="1"/>
  <c r="O90" i="23" s="1"/>
  <c r="O88" i="23"/>
  <c r="O84" i="23"/>
  <c r="O89" i="23" s="1"/>
  <c r="W80" i="23"/>
  <c r="W66" i="23"/>
  <c r="W68" i="23" s="1"/>
  <c r="W79" i="23"/>
  <c r="AA141" i="23"/>
  <c r="AA73" i="23" s="1"/>
  <c r="AA85" i="23" s="1"/>
  <c r="AA99" i="23" s="1"/>
  <c r="V75" i="23"/>
  <c r="AE136" i="23"/>
  <c r="AD48" i="23"/>
  <c r="R82" i="23"/>
  <c r="R56" i="23"/>
  <c r="R69" i="23" s="1"/>
  <c r="AB49" i="23" l="1"/>
  <c r="AC137" i="23"/>
  <c r="Y76" i="23"/>
  <c r="Z67" i="23"/>
  <c r="Q71" i="23"/>
  <c r="Q78" i="23" s="1"/>
  <c r="Q83" i="23" s="1"/>
  <c r="T55" i="23"/>
  <c r="U53" i="23" s="1"/>
  <c r="X66" i="23"/>
  <c r="X68" i="23" s="1"/>
  <c r="X80" i="23"/>
  <c r="X79" i="23"/>
  <c r="R77" i="23"/>
  <c r="R70" i="23"/>
  <c r="P86" i="23"/>
  <c r="P87" i="23" s="1"/>
  <c r="P90" i="23" s="1"/>
  <c r="P84" i="23"/>
  <c r="P89" i="23" s="1"/>
  <c r="P88" i="23"/>
  <c r="AE48" i="23"/>
  <c r="AF136" i="23"/>
  <c r="W75" i="23"/>
  <c r="S82" i="23"/>
  <c r="S56" i="23"/>
  <c r="S69" i="23" s="1"/>
  <c r="P72" i="23"/>
  <c r="AC140" i="23"/>
  <c r="AC141" i="23" s="1"/>
  <c r="AC73" i="23" s="1"/>
  <c r="AC85" i="23" s="1"/>
  <c r="AC99" i="23" s="1"/>
  <c r="Y108" i="23"/>
  <c r="Y50" i="23" s="1"/>
  <c r="Y59" i="23" s="1"/>
  <c r="Z109" i="23"/>
  <c r="Z74" i="23"/>
  <c r="AA58" i="23"/>
  <c r="Z52" i="23"/>
  <c r="Z47" i="23"/>
  <c r="Z61" i="23" s="1"/>
  <c r="Z60" i="23" s="1"/>
  <c r="AD137" i="23" l="1"/>
  <c r="AC49" i="23"/>
  <c r="AA67" i="23"/>
  <c r="AQ67" i="23" s="1"/>
  <c r="Z76" i="23"/>
  <c r="Y80" i="23"/>
  <c r="Y66" i="23"/>
  <c r="Y68" i="23" s="1"/>
  <c r="Y79" i="23"/>
  <c r="S77" i="23"/>
  <c r="S70" i="23"/>
  <c r="Q86" i="23"/>
  <c r="Q87" i="23" s="1"/>
  <c r="Q90" i="23" s="1"/>
  <c r="Q88" i="23"/>
  <c r="Q84" i="23"/>
  <c r="Q89" i="23" s="1"/>
  <c r="AG136" i="23"/>
  <c r="AF48" i="23"/>
  <c r="AB58" i="23"/>
  <c r="AA52" i="23"/>
  <c r="AA47" i="23"/>
  <c r="AA61" i="23" s="1"/>
  <c r="AA60" i="23" s="1"/>
  <c r="AA74" i="23"/>
  <c r="AA109" i="23"/>
  <c r="Z108" i="23"/>
  <c r="Z50" i="23" s="1"/>
  <c r="Z59" i="23" s="1"/>
  <c r="AD140" i="23"/>
  <c r="AD141" i="23" s="1"/>
  <c r="AD73" i="23" s="1"/>
  <c r="AD85" i="23" s="1"/>
  <c r="AD99" i="23" s="1"/>
  <c r="R71" i="23"/>
  <c r="R78" i="23" s="1"/>
  <c r="T82" i="23"/>
  <c r="T56" i="23"/>
  <c r="T69" i="23" s="1"/>
  <c r="Q72" i="23"/>
  <c r="R83" i="23"/>
  <c r="X75" i="23"/>
  <c r="U55" i="23"/>
  <c r="V53" i="23" s="1"/>
  <c r="AE137" i="23" l="1"/>
  <c r="AD49" i="23"/>
  <c r="AB67" i="23"/>
  <c r="AA76" i="23"/>
  <c r="S71" i="23"/>
  <c r="S78" i="23" s="1"/>
  <c r="S83" i="23" s="1"/>
  <c r="U82" i="23"/>
  <c r="U56" i="23"/>
  <c r="U69" i="23" s="1"/>
  <c r="R72" i="23"/>
  <c r="Z80" i="23"/>
  <c r="Z66" i="23"/>
  <c r="Z68" i="23" s="1"/>
  <c r="Z79" i="23"/>
  <c r="Y75" i="23"/>
  <c r="V55" i="23"/>
  <c r="W53" i="23" s="1"/>
  <c r="R86" i="23"/>
  <c r="R87" i="23" s="1"/>
  <c r="R90" i="23" s="1"/>
  <c r="R88" i="23"/>
  <c r="R84" i="23"/>
  <c r="R89" i="23" s="1"/>
  <c r="T77" i="23"/>
  <c r="T70" i="23"/>
  <c r="AE140" i="23"/>
  <c r="AE141" i="23" s="1"/>
  <c r="AE73" i="23" s="1"/>
  <c r="AE85" i="23" s="1"/>
  <c r="AE99" i="23" s="1"/>
  <c r="AA108" i="23"/>
  <c r="AA50" i="23" s="1"/>
  <c r="AA59" i="23" s="1"/>
  <c r="AB109" i="23"/>
  <c r="AB74" i="23"/>
  <c r="AC58" i="23"/>
  <c r="AB52" i="23"/>
  <c r="AB47" i="23"/>
  <c r="AB61" i="23" s="1"/>
  <c r="AB60" i="23" s="1"/>
  <c r="AH136" i="23"/>
  <c r="AG48" i="23"/>
  <c r="AE49" i="23" l="1"/>
  <c r="AF137" i="23"/>
  <c r="S72" i="23"/>
  <c r="AB76" i="23"/>
  <c r="AC67" i="23"/>
  <c r="AI136" i="23"/>
  <c r="AH48" i="23"/>
  <c r="AA80" i="23"/>
  <c r="AA66" i="23"/>
  <c r="AA68" i="23" s="1"/>
  <c r="AA79" i="23"/>
  <c r="W55" i="23"/>
  <c r="X53" i="23" s="1"/>
  <c r="U77" i="23"/>
  <c r="U70" i="23"/>
  <c r="AD58" i="23"/>
  <c r="AC52" i="23"/>
  <c r="AC47" i="23"/>
  <c r="AC61" i="23" s="1"/>
  <c r="AC60" i="23" s="1"/>
  <c r="AC74" i="23"/>
  <c r="AC109" i="23"/>
  <c r="AB108" i="23"/>
  <c r="AB50" i="23" s="1"/>
  <c r="AB59" i="23" s="1"/>
  <c r="AF140" i="23"/>
  <c r="T71" i="23"/>
  <c r="T78" i="23" s="1"/>
  <c r="T83" i="23" s="1"/>
  <c r="V82" i="23"/>
  <c r="V56" i="23"/>
  <c r="V69" i="23" s="1"/>
  <c r="S86" i="23"/>
  <c r="S87" i="23" s="1"/>
  <c r="S90" i="23" s="1"/>
  <c r="S88" i="23"/>
  <c r="S84" i="23"/>
  <c r="S89" i="23" s="1"/>
  <c r="Z75" i="23"/>
  <c r="AF49" i="23" l="1"/>
  <c r="AG137" i="23"/>
  <c r="AC76" i="23"/>
  <c r="AD67" i="23"/>
  <c r="T72" i="23"/>
  <c r="AG140" i="23"/>
  <c r="AG141" i="23" s="1"/>
  <c r="AG73" i="23" s="1"/>
  <c r="AG85" i="23" s="1"/>
  <c r="AG99" i="23" s="1"/>
  <c r="AC108" i="23"/>
  <c r="AC50" i="23" s="1"/>
  <c r="AC59" i="23" s="1"/>
  <c r="AD109" i="23"/>
  <c r="AD74" i="23"/>
  <c r="AE58" i="23"/>
  <c r="AD52" i="23"/>
  <c r="AD47" i="23"/>
  <c r="AD61" i="23" s="1"/>
  <c r="AD60" i="23" s="1"/>
  <c r="X55" i="23"/>
  <c r="T86" i="23"/>
  <c r="T87" i="23" s="1"/>
  <c r="T90" i="23" s="1"/>
  <c r="T88" i="23"/>
  <c r="T84" i="23"/>
  <c r="T89" i="23" s="1"/>
  <c r="AA75" i="23"/>
  <c r="V77" i="23"/>
  <c r="V70" i="23"/>
  <c r="AF141" i="23"/>
  <c r="AF73" i="23" s="1"/>
  <c r="AF85" i="23" s="1"/>
  <c r="AF99" i="23" s="1"/>
  <c r="AB66" i="23"/>
  <c r="AB68" i="23" s="1"/>
  <c r="AB80" i="23"/>
  <c r="AB79" i="23"/>
  <c r="U71" i="23"/>
  <c r="U78" i="23" s="1"/>
  <c r="U83" i="23" s="1"/>
  <c r="W56" i="23"/>
  <c r="W69" i="23" s="1"/>
  <c r="W82" i="23"/>
  <c r="AJ136" i="23"/>
  <c r="AI48" i="23"/>
  <c r="AG49" i="23" l="1"/>
  <c r="AH137" i="23"/>
  <c r="AE67" i="23"/>
  <c r="AD76" i="23"/>
  <c r="U86" i="23"/>
  <c r="U87" i="23" s="1"/>
  <c r="U90" i="23" s="1"/>
  <c r="U88" i="23"/>
  <c r="U84" i="23"/>
  <c r="U89" i="23" s="1"/>
  <c r="AK136" i="23"/>
  <c r="AJ48" i="23"/>
  <c r="W77" i="23"/>
  <c r="W70" i="23"/>
  <c r="X82" i="23"/>
  <c r="X56" i="23"/>
  <c r="X69" i="23" s="1"/>
  <c r="AC80" i="23"/>
  <c r="AC66" i="23"/>
  <c r="AC68" i="23" s="1"/>
  <c r="AC79" i="23"/>
  <c r="U72" i="23"/>
  <c r="AB75" i="23"/>
  <c r="V71" i="23"/>
  <c r="V78" i="23" s="1"/>
  <c r="V83" i="23" s="1"/>
  <c r="Y53" i="23"/>
  <c r="AF58" i="23"/>
  <c r="AE52" i="23"/>
  <c r="AE47" i="23"/>
  <c r="AE61" i="23" s="1"/>
  <c r="AE60" i="23" s="1"/>
  <c r="AE74" i="23"/>
  <c r="AE109" i="23"/>
  <c r="AD108" i="23"/>
  <c r="AD50" i="23" s="1"/>
  <c r="AD59" i="23" s="1"/>
  <c r="AH140" i="23"/>
  <c r="AH49" i="23" l="1"/>
  <c r="AI137" i="23"/>
  <c r="AE76" i="23"/>
  <c r="AF67" i="23"/>
  <c r="V86" i="23"/>
  <c r="V87" i="23" s="1"/>
  <c r="V90" i="23" s="1"/>
  <c r="V84" i="23"/>
  <c r="V89" i="23" s="1"/>
  <c r="V88" i="23"/>
  <c r="AI140" i="23"/>
  <c r="AE108" i="23"/>
  <c r="AE50" i="23" s="1"/>
  <c r="AE59" i="23" s="1"/>
  <c r="AF109" i="23"/>
  <c r="AF74" i="23"/>
  <c r="AG58" i="23"/>
  <c r="AF52" i="23"/>
  <c r="AF47" i="23"/>
  <c r="AF61" i="23" s="1"/>
  <c r="AF60" i="23" s="1"/>
  <c r="AC75" i="23"/>
  <c r="X77" i="23"/>
  <c r="X70" i="23"/>
  <c r="AL136" i="23"/>
  <c r="AK48" i="23"/>
  <c r="AH141" i="23"/>
  <c r="AH73" i="23" s="1"/>
  <c r="AH85" i="23" s="1"/>
  <c r="AH99" i="23" s="1"/>
  <c r="AD80" i="23"/>
  <c r="AD66" i="23"/>
  <c r="AD68" i="23" s="1"/>
  <c r="AD79" i="23"/>
  <c r="Y55" i="23"/>
  <c r="Z53" i="23" s="1"/>
  <c r="V72" i="23"/>
  <c r="W71" i="23"/>
  <c r="W78" i="23" s="1"/>
  <c r="W83" i="23" s="1"/>
  <c r="AI49" i="23" l="1"/>
  <c r="AJ137" i="23"/>
  <c r="AG67" i="23"/>
  <c r="AF76" i="23"/>
  <c r="AR67" i="23"/>
  <c r="W86" i="23"/>
  <c r="W87" i="23" s="1"/>
  <c r="W90" i="23" s="1"/>
  <c r="W84" i="23"/>
  <c r="W89" i="23" s="1"/>
  <c r="W88" i="23"/>
  <c r="Z55" i="23"/>
  <c r="AH58" i="23"/>
  <c r="AG52" i="23"/>
  <c r="AG47" i="23"/>
  <c r="AG61" i="23" s="1"/>
  <c r="AG60" i="23" s="1"/>
  <c r="AG74" i="23"/>
  <c r="AG109" i="23"/>
  <c r="AF108" i="23"/>
  <c r="AF50" i="23" s="1"/>
  <c r="AF59" i="23" s="1"/>
  <c r="AJ140" i="23"/>
  <c r="AJ141" i="23" s="1"/>
  <c r="AJ73" i="23" s="1"/>
  <c r="AJ85" i="23" s="1"/>
  <c r="AJ99" i="23" s="1"/>
  <c r="W72" i="23"/>
  <c r="Y82" i="23"/>
  <c r="Y56" i="23"/>
  <c r="Y69" i="23" s="1"/>
  <c r="AD75" i="23"/>
  <c r="AM136" i="23"/>
  <c r="AL48" i="23"/>
  <c r="X71" i="23"/>
  <c r="X78" i="23" s="1"/>
  <c r="X83" i="23" s="1"/>
  <c r="AE80" i="23"/>
  <c r="AE66" i="23"/>
  <c r="AE68" i="23" s="1"/>
  <c r="AE79" i="23"/>
  <c r="AI141" i="23"/>
  <c r="AI73" i="23" s="1"/>
  <c r="AI85" i="23" s="1"/>
  <c r="AI99" i="23" s="1"/>
  <c r="X72" i="23" l="1"/>
  <c r="AK137" i="23"/>
  <c r="AJ49" i="23"/>
  <c r="AH67" i="23"/>
  <c r="AG76" i="23"/>
  <c r="X86" i="23"/>
  <c r="X87" i="23" s="1"/>
  <c r="X90" i="23" s="1"/>
  <c r="X88" i="23"/>
  <c r="X84" i="23"/>
  <c r="X89" i="23" s="1"/>
  <c r="AN136" i="23"/>
  <c r="AM48" i="23"/>
  <c r="AF66" i="23"/>
  <c r="AF68" i="23" s="1"/>
  <c r="AF80" i="23"/>
  <c r="AF79" i="23"/>
  <c r="Z82" i="23"/>
  <c r="Z56" i="23"/>
  <c r="Z69" i="23" s="1"/>
  <c r="AE75" i="23"/>
  <c r="Y77" i="23"/>
  <c r="Y70" i="23"/>
  <c r="AK140" i="23"/>
  <c r="AK141" i="23" s="1"/>
  <c r="AK73" i="23" s="1"/>
  <c r="AK85" i="23" s="1"/>
  <c r="AK99" i="23" s="1"/>
  <c r="AG108" i="23"/>
  <c r="AG50" i="23" s="1"/>
  <c r="AG59" i="23" s="1"/>
  <c r="AH109" i="23"/>
  <c r="AH74" i="23"/>
  <c r="AI58" i="23"/>
  <c r="AH52" i="23"/>
  <c r="AH47" i="23"/>
  <c r="AH61" i="23" s="1"/>
  <c r="AH60" i="23" s="1"/>
  <c r="AA53" i="23"/>
  <c r="AK49" i="23" l="1"/>
  <c r="AL137" i="23"/>
  <c r="AH76" i="23"/>
  <c r="AI67" i="23"/>
  <c r="AA55" i="23"/>
  <c r="AB53" i="23" s="1"/>
  <c r="AG80" i="23"/>
  <c r="AG66" i="23"/>
  <c r="AG68" i="23" s="1"/>
  <c r="AG79" i="23"/>
  <c r="Z77" i="23"/>
  <c r="Z70" i="23"/>
  <c r="AF75" i="23"/>
  <c r="AO136" i="23"/>
  <c r="AN48" i="23"/>
  <c r="AJ58" i="23"/>
  <c r="AI52" i="23"/>
  <c r="AI47" i="23"/>
  <c r="AI61" i="23" s="1"/>
  <c r="AI60" i="23" s="1"/>
  <c r="AI74" i="23"/>
  <c r="AI109" i="23"/>
  <c r="AH108" i="23"/>
  <c r="AH50" i="23" s="1"/>
  <c r="AH59" i="23" s="1"/>
  <c r="AL140" i="23"/>
  <c r="Y71" i="23"/>
  <c r="Y78" i="23" s="1"/>
  <c r="Y83" i="23" s="1"/>
  <c r="AL49" i="23" l="1"/>
  <c r="AM137" i="23"/>
  <c r="AJ67" i="23"/>
  <c r="AI76" i="23"/>
  <c r="Y86" i="23"/>
  <c r="Y87" i="23" s="1"/>
  <c r="Y90" i="23" s="1"/>
  <c r="Y84" i="23"/>
  <c r="Y89" i="23" s="1"/>
  <c r="Y88" i="23"/>
  <c r="AB55" i="23"/>
  <c r="AM140" i="23"/>
  <c r="AI108" i="23"/>
  <c r="AI50" i="23" s="1"/>
  <c r="AI59" i="23" s="1"/>
  <c r="AJ109" i="23"/>
  <c r="Y72" i="23"/>
  <c r="AL141" i="23"/>
  <c r="AL73" i="23" s="1"/>
  <c r="AL85" i="23" s="1"/>
  <c r="AL99" i="23" s="1"/>
  <c r="AH80" i="23"/>
  <c r="AH66" i="23"/>
  <c r="AH68" i="23" s="1"/>
  <c r="AH79" i="23"/>
  <c r="Z71" i="23"/>
  <c r="Z78" i="23" s="1"/>
  <c r="Z83" i="23" s="1"/>
  <c r="AG75" i="23"/>
  <c r="AJ74" i="23"/>
  <c r="AK58" i="23"/>
  <c r="AJ52" i="23"/>
  <c r="AJ47" i="23"/>
  <c r="AJ61" i="23" s="1"/>
  <c r="AJ60" i="23" s="1"/>
  <c r="AP136" i="23"/>
  <c r="AO48" i="23"/>
  <c r="AA82" i="23"/>
  <c r="AA56" i="23"/>
  <c r="AA69" i="23" s="1"/>
  <c r="AM49" i="23" l="1"/>
  <c r="AN137" i="23"/>
  <c r="AK67" i="23"/>
  <c r="AJ76" i="23"/>
  <c r="Z86" i="23"/>
  <c r="Z87" i="23" s="1"/>
  <c r="Z90" i="23" s="1"/>
  <c r="Z88" i="23"/>
  <c r="Z84" i="23"/>
  <c r="Z89" i="23" s="1"/>
  <c r="AL58" i="23"/>
  <c r="AK52" i="23"/>
  <c r="AK47" i="23"/>
  <c r="AK61" i="23" s="1"/>
  <c r="AK60" i="23" s="1"/>
  <c r="AK74" i="23"/>
  <c r="AH75" i="23"/>
  <c r="AK109" i="23"/>
  <c r="AJ108" i="23"/>
  <c r="AJ50" i="23" s="1"/>
  <c r="AJ59" i="23" s="1"/>
  <c r="AN140" i="23"/>
  <c r="AB82" i="23"/>
  <c r="AB56" i="23"/>
  <c r="AB69" i="23" s="1"/>
  <c r="AA77" i="23"/>
  <c r="AA70" i="23"/>
  <c r="AQ136" i="23"/>
  <c r="AR136" i="23" s="1"/>
  <c r="AS136" i="23" s="1"/>
  <c r="AT136" i="23" s="1"/>
  <c r="AU136" i="23" s="1"/>
  <c r="AV136" i="23" s="1"/>
  <c r="AW136" i="23" s="1"/>
  <c r="AX136" i="23" s="1"/>
  <c r="AY136" i="23" s="1"/>
  <c r="AP48" i="23"/>
  <c r="Z72" i="23"/>
  <c r="AI80" i="23"/>
  <c r="AI66" i="23"/>
  <c r="AI68" i="23" s="1"/>
  <c r="AI79" i="23"/>
  <c r="AM141" i="23"/>
  <c r="AM73" i="23" s="1"/>
  <c r="AM85" i="23" s="1"/>
  <c r="AM99" i="23" s="1"/>
  <c r="AC53" i="23"/>
  <c r="AO137" i="23" l="1"/>
  <c r="AN49" i="23"/>
  <c r="AL67" i="23"/>
  <c r="AK76" i="23"/>
  <c r="AC55" i="23"/>
  <c r="AD53" i="23" s="1"/>
  <c r="AO140" i="23"/>
  <c r="AO141" i="23" s="1"/>
  <c r="AO73" i="23" s="1"/>
  <c r="AO85" i="23" s="1"/>
  <c r="AO99" i="23" s="1"/>
  <c r="AK108" i="23"/>
  <c r="AK50" i="23" s="1"/>
  <c r="AK59" i="23" s="1"/>
  <c r="AL109" i="23"/>
  <c r="AL74" i="23"/>
  <c r="AM58" i="23"/>
  <c r="AL52" i="23"/>
  <c r="AL47" i="23"/>
  <c r="AL61" i="23" s="1"/>
  <c r="AL60" i="23" s="1"/>
  <c r="AI75" i="23"/>
  <c r="AA71" i="23"/>
  <c r="AA78" i="23" s="1"/>
  <c r="AA83" i="23" s="1"/>
  <c r="AB77" i="23"/>
  <c r="AB70" i="23"/>
  <c r="AN141" i="23"/>
  <c r="AN73" i="23" s="1"/>
  <c r="AN85" i="23" s="1"/>
  <c r="AN99" i="23" s="1"/>
  <c r="AJ66" i="23"/>
  <c r="AJ68" i="23" s="1"/>
  <c r="AJ80" i="23"/>
  <c r="AJ79" i="23"/>
  <c r="AP137" i="23" l="1"/>
  <c r="AO49" i="23"/>
  <c r="AA72" i="23"/>
  <c r="AM67" i="23"/>
  <c r="AL76" i="23"/>
  <c r="AD55" i="23"/>
  <c r="AJ75" i="23"/>
  <c r="AK80" i="23"/>
  <c r="AK66" i="23"/>
  <c r="AK68" i="23" s="1"/>
  <c r="AK79" i="23"/>
  <c r="AB71" i="23"/>
  <c r="AB78" i="23" s="1"/>
  <c r="AB83" i="23" s="1"/>
  <c r="AN58" i="23"/>
  <c r="AM52" i="23"/>
  <c r="AM47" i="23"/>
  <c r="AM61" i="23" s="1"/>
  <c r="AM60" i="23" s="1"/>
  <c r="AM74" i="23"/>
  <c r="AM109" i="23"/>
  <c r="AL108" i="23"/>
  <c r="AL50" i="23" s="1"/>
  <c r="AL59" i="23" s="1"/>
  <c r="AP140" i="23"/>
  <c r="AP141" i="23" s="1"/>
  <c r="AP73" i="23" s="1"/>
  <c r="AP85" i="23" s="1"/>
  <c r="AP99" i="23" s="1"/>
  <c r="AQ99" i="23" s="1"/>
  <c r="A100" i="23" s="1"/>
  <c r="AA86" i="23"/>
  <c r="AA87" i="23" s="1"/>
  <c r="AA90" i="23" s="1"/>
  <c r="AA84" i="23"/>
  <c r="AA89" i="23" s="1"/>
  <c r="AA88" i="23"/>
  <c r="AC82" i="23"/>
  <c r="AC56" i="23"/>
  <c r="AC69" i="23" s="1"/>
  <c r="AP49" i="23" l="1"/>
  <c r="AQ137" i="23"/>
  <c r="AR137" i="23" s="1"/>
  <c r="AS137" i="23" s="1"/>
  <c r="AT137" i="23" s="1"/>
  <c r="AU137" i="23" s="1"/>
  <c r="AV137" i="23" s="1"/>
  <c r="AW137" i="23" s="1"/>
  <c r="AX137" i="23" s="1"/>
  <c r="AY137" i="23" s="1"/>
  <c r="AM76" i="23"/>
  <c r="AN67" i="23"/>
  <c r="AB86" i="23"/>
  <c r="AB87" i="23" s="1"/>
  <c r="AB90" i="23" s="1"/>
  <c r="AB88" i="23"/>
  <c r="AB84" i="23"/>
  <c r="AB89" i="23" s="1"/>
  <c r="AQ140" i="23"/>
  <c r="AQ141" i="23" s="1"/>
  <c r="AM108" i="23"/>
  <c r="AM50" i="23" s="1"/>
  <c r="AM59" i="23" s="1"/>
  <c r="AN109" i="23"/>
  <c r="AN74" i="23"/>
  <c r="AO58" i="23"/>
  <c r="AN52" i="23"/>
  <c r="AN47" i="23"/>
  <c r="AN61" i="23" s="1"/>
  <c r="AN60" i="23" s="1"/>
  <c r="AB72" i="23"/>
  <c r="AK75" i="23"/>
  <c r="AD82" i="23"/>
  <c r="AD56" i="23"/>
  <c r="AD69" i="23" s="1"/>
  <c r="AC77" i="23"/>
  <c r="AC70" i="23"/>
  <c r="AL80" i="23"/>
  <c r="AL66" i="23"/>
  <c r="AL68" i="23" s="1"/>
  <c r="AL79" i="23"/>
  <c r="AE53" i="23"/>
  <c r="AO67" i="23" l="1"/>
  <c r="AN76" i="23"/>
  <c r="AM80" i="23"/>
  <c r="AM66" i="23"/>
  <c r="AM68" i="23" s="1"/>
  <c r="AM79" i="23"/>
  <c r="AE55" i="23"/>
  <c r="AF53" i="23" s="1"/>
  <c r="AL75" i="23"/>
  <c r="AC71" i="23"/>
  <c r="AC78" i="23" s="1"/>
  <c r="AC83" i="23" s="1"/>
  <c r="AD77" i="23"/>
  <c r="AD70" i="23"/>
  <c r="AP58" i="23"/>
  <c r="AO52" i="23"/>
  <c r="AO47" i="23"/>
  <c r="AO61" i="23" s="1"/>
  <c r="AO60" i="23" s="1"/>
  <c r="AO74" i="23"/>
  <c r="AO109" i="23"/>
  <c r="AN108" i="23"/>
  <c r="AN50" i="23" s="1"/>
  <c r="AN59" i="23" s="1"/>
  <c r="AR140" i="23"/>
  <c r="AP67" i="23" l="1"/>
  <c r="AO76" i="23"/>
  <c r="AC72" i="23"/>
  <c r="AC86" i="23"/>
  <c r="AC87" i="23" s="1"/>
  <c r="AC90" i="23" s="1"/>
  <c r="AC88" i="23"/>
  <c r="AC84" i="23"/>
  <c r="AC89" i="23" s="1"/>
  <c r="AS140" i="23"/>
  <c r="AS141" i="23" s="1"/>
  <c r="AP74" i="23"/>
  <c r="AP52" i="23"/>
  <c r="AP47" i="23"/>
  <c r="AP61" i="23" s="1"/>
  <c r="AP60" i="23" s="1"/>
  <c r="AD71" i="23"/>
  <c r="AD78" i="23" s="1"/>
  <c r="AD83" i="23" s="1"/>
  <c r="AF55" i="23"/>
  <c r="AG53" i="23" s="1"/>
  <c r="AO108" i="23"/>
  <c r="AO50" i="23" s="1"/>
  <c r="AO59" i="23" s="1"/>
  <c r="AP109" i="23"/>
  <c r="AP108" i="23" s="1"/>
  <c r="AP50" i="23" s="1"/>
  <c r="AP59" i="23" s="1"/>
  <c r="AR141" i="23"/>
  <c r="AN66" i="23"/>
  <c r="AN68" i="23" s="1"/>
  <c r="AN80" i="23"/>
  <c r="AN79" i="23"/>
  <c r="AE56" i="23"/>
  <c r="AE69" i="23" s="1"/>
  <c r="AE82" i="23"/>
  <c r="AM75" i="23"/>
  <c r="AP76" i="23" l="1"/>
  <c r="AS67" i="23"/>
  <c r="AD86" i="23"/>
  <c r="AD87" i="23" s="1"/>
  <c r="AD90" i="23" s="1"/>
  <c r="AD88" i="23"/>
  <c r="AD84" i="23"/>
  <c r="AD89" i="23" s="1"/>
  <c r="AO80" i="23"/>
  <c r="AO66" i="23"/>
  <c r="AO68" i="23" s="1"/>
  <c r="AO79" i="23"/>
  <c r="AP79" i="23" s="1"/>
  <c r="AG55" i="23"/>
  <c r="AH53" i="23" s="1"/>
  <c r="AE77" i="23"/>
  <c r="AE70" i="23"/>
  <c r="AN75" i="23"/>
  <c r="AP80" i="23"/>
  <c r="AP66" i="23"/>
  <c r="AP68" i="23" s="1"/>
  <c r="AF82" i="23"/>
  <c r="AF56" i="23"/>
  <c r="AF69" i="23" s="1"/>
  <c r="AD72" i="23"/>
  <c r="AT140" i="23"/>
  <c r="AU140" i="23" l="1"/>
  <c r="AU141" i="23" s="1"/>
  <c r="AF77" i="23"/>
  <c r="AF70" i="23"/>
  <c r="AH55" i="23"/>
  <c r="AI53" i="23" s="1"/>
  <c r="AT141" i="23"/>
  <c r="AP75" i="23"/>
  <c r="AE71" i="23"/>
  <c r="AE78" i="23" s="1"/>
  <c r="AE83" i="23" s="1"/>
  <c r="AG82" i="23"/>
  <c r="AG56" i="23"/>
  <c r="AG69" i="23" s="1"/>
  <c r="AO75" i="23"/>
  <c r="AE72" i="23" l="1"/>
  <c r="AE86" i="23"/>
  <c r="AE87" i="23" s="1"/>
  <c r="AE90" i="23" s="1"/>
  <c r="AE84" i="23"/>
  <c r="AE89" i="23" s="1"/>
  <c r="AE88" i="23"/>
  <c r="AI55" i="23"/>
  <c r="AF71" i="23"/>
  <c r="AF78" i="23" s="1"/>
  <c r="AV140" i="23"/>
  <c r="AG77" i="23"/>
  <c r="AG70" i="23"/>
  <c r="AH82" i="23"/>
  <c r="AH56" i="23"/>
  <c r="AH69" i="23" s="1"/>
  <c r="AF83" i="23"/>
  <c r="AF72" i="23" l="1"/>
  <c r="AF86" i="23"/>
  <c r="AF87" i="23" s="1"/>
  <c r="AF90" i="23" s="1"/>
  <c r="AF88" i="23"/>
  <c r="AF84" i="23"/>
  <c r="AF89" i="23" s="1"/>
  <c r="AW140" i="23"/>
  <c r="AI82" i="23"/>
  <c r="AI56" i="23"/>
  <c r="AI69" i="23" s="1"/>
  <c r="AH77" i="23"/>
  <c r="AH70" i="23"/>
  <c r="AG71" i="23"/>
  <c r="AG78" i="23" s="1"/>
  <c r="AG83" i="23" s="1"/>
  <c r="AV141" i="23"/>
  <c r="AJ53" i="23"/>
  <c r="AG72" i="23" l="1"/>
  <c r="AJ55" i="23"/>
  <c r="AK53" i="23" s="1"/>
  <c r="AH71" i="23"/>
  <c r="AH78" i="23" s="1"/>
  <c r="AH83" i="23" s="1"/>
  <c r="AI77" i="23"/>
  <c r="AI70" i="23"/>
  <c r="AX140" i="23"/>
  <c r="AG86" i="23"/>
  <c r="AG87" i="23" s="1"/>
  <c r="AG90" i="23" s="1"/>
  <c r="AG84" i="23"/>
  <c r="AG89" i="23" s="1"/>
  <c r="AG88" i="23"/>
  <c r="AW141" i="23"/>
  <c r="AH72" i="23" l="1"/>
  <c r="AY140" i="23"/>
  <c r="AY141" i="23" s="1"/>
  <c r="AK55" i="23"/>
  <c r="AH86" i="23"/>
  <c r="AH87" i="23" s="1"/>
  <c r="AH90" i="23" s="1"/>
  <c r="AH88" i="23"/>
  <c r="AH84" i="23"/>
  <c r="AH89" i="23" s="1"/>
  <c r="AX141" i="23"/>
  <c r="AI71" i="23"/>
  <c r="AI78" i="23" s="1"/>
  <c r="AI83" i="23" s="1"/>
  <c r="AJ82" i="23"/>
  <c r="AJ56" i="23"/>
  <c r="AJ69" i="23" s="1"/>
  <c r="AI72" i="23" l="1"/>
  <c r="AI86" i="23"/>
  <c r="AI87" i="23" s="1"/>
  <c r="AI90" i="23" s="1"/>
  <c r="AI84" i="23"/>
  <c r="AI89" i="23" s="1"/>
  <c r="AI88" i="23"/>
  <c r="AJ77" i="23"/>
  <c r="AJ70" i="23"/>
  <c r="AK82" i="23"/>
  <c r="AK56" i="23"/>
  <c r="AK69" i="23" s="1"/>
  <c r="AL53" i="23"/>
  <c r="AK77" i="23" l="1"/>
  <c r="AK70" i="23"/>
  <c r="AJ71" i="23"/>
  <c r="AJ78" i="23" s="1"/>
  <c r="AJ83" i="23" s="1"/>
  <c r="AL55" i="23"/>
  <c r="AJ86" i="23" l="1"/>
  <c r="AJ87" i="23" s="1"/>
  <c r="AJ90" i="23" s="1"/>
  <c r="AJ88" i="23"/>
  <c r="AJ84" i="23"/>
  <c r="AJ89" i="23" s="1"/>
  <c r="AK71" i="23"/>
  <c r="AK78" i="23" s="1"/>
  <c r="AK83" i="23" s="1"/>
  <c r="AL82" i="23"/>
  <c r="AL56" i="23"/>
  <c r="AL69" i="23" s="1"/>
  <c r="AM53" i="23"/>
  <c r="AJ72" i="23"/>
  <c r="AK86" i="23" l="1"/>
  <c r="AK87" i="23" s="1"/>
  <c r="AK90" i="23" s="1"/>
  <c r="AK84" i="23"/>
  <c r="AK89" i="23" s="1"/>
  <c r="AK88" i="23"/>
  <c r="AM55" i="23"/>
  <c r="AN53" i="23" s="1"/>
  <c r="AL77" i="23"/>
  <c r="AL70" i="23"/>
  <c r="AK72" i="23"/>
  <c r="AL71" i="23" l="1"/>
  <c r="AL78" i="23" s="1"/>
  <c r="AL83" i="23" s="1"/>
  <c r="AN55" i="23"/>
  <c r="AM56" i="23"/>
  <c r="AM69" i="23" s="1"/>
  <c r="AM82" i="23"/>
  <c r="AL86" i="23" l="1"/>
  <c r="AL87" i="23" s="1"/>
  <c r="AL90" i="23" s="1"/>
  <c r="AL88" i="23"/>
  <c r="AL84" i="23"/>
  <c r="AL89" i="23" s="1"/>
  <c r="AM77" i="23"/>
  <c r="AM70" i="23"/>
  <c r="AN82" i="23"/>
  <c r="AN56" i="23"/>
  <c r="AN69" i="23" s="1"/>
  <c r="AO53" i="23"/>
  <c r="AL72" i="23"/>
  <c r="AO55" i="23" l="1"/>
  <c r="AP53" i="23" s="1"/>
  <c r="AP55" i="23" s="1"/>
  <c r="AN77" i="23"/>
  <c r="AN70" i="23"/>
  <c r="AM71" i="23"/>
  <c r="AM78" i="23" s="1"/>
  <c r="AM83" i="23" s="1"/>
  <c r="AM72" i="23" l="1"/>
  <c r="AM86" i="23"/>
  <c r="AM87" i="23" s="1"/>
  <c r="AM90" i="23" s="1"/>
  <c r="AM88" i="23"/>
  <c r="AM84" i="23"/>
  <c r="AM89" i="23" s="1"/>
  <c r="AP82" i="23"/>
  <c r="AP56" i="23"/>
  <c r="AP69" i="23" s="1"/>
  <c r="AN71" i="23"/>
  <c r="AN78" i="23" s="1"/>
  <c r="AN83" i="23" s="1"/>
  <c r="AO82" i="23"/>
  <c r="AO56" i="23"/>
  <c r="AO69" i="23" s="1"/>
  <c r="AN86" i="23" l="1"/>
  <c r="AN87" i="23" s="1"/>
  <c r="AN90" i="23" s="1"/>
  <c r="AN84" i="23"/>
  <c r="AN89" i="23" s="1"/>
  <c r="AN88" i="23"/>
  <c r="AO77" i="23"/>
  <c r="AO70" i="23"/>
  <c r="AN72" i="23"/>
  <c r="AP77" i="23"/>
  <c r="AP70" i="23"/>
  <c r="AO71" i="23" l="1"/>
  <c r="AO78" i="23" s="1"/>
  <c r="AO83" i="23" s="1"/>
  <c r="AP71" i="23"/>
  <c r="AP72" i="23" s="1"/>
  <c r="AO86" i="23" l="1"/>
  <c r="AO87" i="23" s="1"/>
  <c r="AO90" i="23" s="1"/>
  <c r="AO88" i="23"/>
  <c r="AO84" i="23"/>
  <c r="AO89" i="23" s="1"/>
  <c r="AP78" i="23"/>
  <c r="AP83" i="23" s="1"/>
  <c r="AO72" i="23"/>
  <c r="AP86" i="23" l="1"/>
  <c r="AP87" i="23" s="1"/>
  <c r="AP88" i="23"/>
  <c r="AP84" i="23"/>
  <c r="AP89" i="23" s="1"/>
  <c r="A101" i="23" l="1"/>
  <c r="B102" i="23" s="1"/>
  <c r="AP90" i="23"/>
  <c r="J23" i="12" l="1"/>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<sst xmlns="http://schemas.openxmlformats.org/spreadsheetml/2006/main" count="1088" uniqueCount="657">
  <si>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</si>
  <si>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</si>
  <si>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</si>
  <si>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</si>
  <si>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</si>
  <si>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</si>
  <si>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</si>
  <si>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</si>
  <si>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</si>
  <si>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</si>
  <si>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</si>
  <si>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</si>
  <si>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</si>
  <si>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</si>
  <si>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</si>
  <si>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</si>
  <si>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</si>
  <si>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</si>
  <si>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</si>
  <si>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</si>
  <si>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</si>
  <si>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</si>
  <si>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</si>
  <si>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</si>
  <si>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</si>
  <si>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</si>
  <si>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</si>
  <si>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</si>
  <si>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</si>
  <si>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</si>
  <si>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</si>
  <si>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</si>
  <si>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</si>
  <si>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</si>
  <si>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</si>
  <si>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</si>
  <si>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</si>
  <si>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</si>
  <si>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</si>
  <si>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</si>
  <si>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</si>
  <si>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</si>
  <si>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</si>
  <si>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</si>
  <si>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</si>
  <si>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</si>
  <si>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</si>
  <si>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</si>
  <si>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</si>
  <si>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</si>
  <si>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</si>
  <si>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</si>
  <si>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</si>
  <si>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</si>
  <si>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</si>
  <si>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</si>
  <si>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</si>
  <si>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</si>
  <si>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</si>
  <si>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</si>
  <si>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</si>
  <si>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</si>
  <si>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</si>
  <si>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</si>
  <si>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</si>
  <si>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</si>
  <si>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</si>
  <si>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</si>
  <si>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</si>
  <si>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</si>
  <si>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</si>
  <si>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</si>
  <si>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</si>
  <si>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</si>
  <si>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</si>
  <si>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</si>
  <si>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</si>
  <si>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</si>
  <si>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</si>
  <si>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</si>
  <si>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</si>
  <si>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</si>
  <si>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</si>
  <si>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</si>
  <si>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</si>
  <si>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</si>
  <si>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</si>
  <si>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</si>
  <si>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</si>
  <si>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</si>
  <si>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</si>
  <si>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</si>
  <si>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</si>
  <si>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</si>
  <si>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</si>
  <si>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</si>
  <si>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</si>
  <si>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</si>
  <si>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</si>
  <si>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</si>
  <si>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</si>
  <si>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</si>
  <si>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</si>
  <si>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</si>
  <si>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</si>
  <si>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</si>
  <si>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</si>
  <si>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</si>
  <si>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</si>
  <si>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</si>
  <si>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</si>
  <si>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</si>
  <si>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</si>
  <si>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</si>
  <si>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</si>
  <si>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</si>
  <si>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</si>
  <si>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</si>
  <si>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</si>
  <si>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</si>
  <si>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</si>
  <si>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</si>
  <si>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</si>
  <si>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</si>
  <si>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</si>
  <si>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</si>
  <si>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</si>
  <si>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</si>
  <si>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</si>
  <si>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</si>
  <si>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</si>
  <si>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</si>
  <si>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</si>
  <si>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</si>
  <si>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</si>
  <si>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</si>
  <si>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</si>
  <si>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</si>
  <si>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</si>
  <si>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</si>
  <si>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</si>
  <si>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</si>
  <si>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</si>
  <si>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</si>
  <si>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</si>
  <si>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</si>
  <si>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</si>
  <si>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</si>
  <si>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</si>
  <si>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</si>
  <si>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</si>
  <si>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</si>
  <si>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</si>
  <si>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</si>
  <si>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</si>
  <si>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</si>
  <si>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</si>
  <si>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</si>
  <si>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</si>
  <si>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</si>
  <si>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</si>
  <si>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</si>
  <si>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</si>
  <si>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</si>
  <si>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</si>
  <si>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</si>
  <si>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</si>
  <si>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</si>
  <si>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</si>
  <si>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</si>
  <si>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</si>
  <si>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</si>
  <si>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</si>
  <si>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</si>
  <si>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</si>
  <si>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</si>
  <si>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</si>
  <si>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</si>
  <si>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</si>
  <si>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</si>
  <si>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</si>
  <si>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</si>
  <si>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</si>
  <si>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</si>
  <si>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</si>
  <si>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</si>
  <si>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</si>
  <si>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</si>
  <si>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</si>
  <si>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</si>
  <si>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</si>
  <si>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</si>
  <si>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</si>
  <si>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</si>
  <si>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</si>
  <si>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</si>
  <si>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</si>
  <si>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</si>
  <si>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</si>
  <si>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</si>
  <si>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</si>
  <si>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</si>
  <si>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</si>
  <si>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</si>
  <si>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</si>
  <si>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</si>
  <si>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</si>
  <si>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</si>
  <si>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</si>
  <si>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</si>
  <si>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</si>
  <si>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</si>
  <si>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</si>
  <si>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</si>
  <si>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</si>
  <si>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</si>
  <si>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</si>
  <si>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</si>
  <si>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</si>
  <si>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</si>
  <si>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</si>
  <si>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</si>
  <si>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</si>
  <si>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</si>
  <si>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</si>
  <si>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</si>
  <si>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</si>
  <si>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</si>
  <si>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</si>
  <si>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</si>
  <si>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</si>
  <si>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</si>
  <si>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</si>
  <si>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</si>
  <si>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</si>
  <si>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</si>
  <si>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</si>
  <si>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</si>
  <si>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</si>
  <si>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</si>
  <si>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</si>
  <si>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</si>
  <si>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</si>
  <si>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</si>
  <si>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</si>
  <si>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</si>
  <si>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</si>
  <si>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</si>
  <si>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</si>
  <si>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</si>
  <si>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</si>
  <si>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</si>
  <si>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</si>
  <si>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</si>
  <si>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</si>
  <si>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</si>
  <si>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</si>
  <si>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</si>
  <si>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</si>
  <si>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</si>
  <si>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</si>
  <si>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</si>
  <si>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</si>
  <si>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</si>
  <si>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</si>
  <si>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</si>
  <si>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</si>
  <si>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</si>
  <si>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</si>
  <si>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</si>
  <si>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</si>
  <si>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</si>
  <si>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</si>
  <si>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</si>
  <si>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</si>
  <si>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</si>
  <si>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</si>
  <si>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</si>
  <si>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</si>
  <si>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</si>
  <si>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</si>
  <si>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</si>
  <si>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</si>
  <si>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</si>
  <si>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</si>
  <si>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</si>
  <si>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</si>
  <si>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</si>
  <si>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</si>
  <si>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</si>
  <si>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</si>
  <si>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</si>
  <si>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</si>
  <si>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</si>
  <si>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</si>
  <si>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</si>
  <si>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</si>
  <si>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</si>
  <si>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</si>
  <si>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</si>
  <si>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</si>
  <si>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</si>
  <si>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</si>
  <si>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</si>
  <si>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</si>
  <si>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</si>
  <si>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</si>
  <si>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</si>
  <si>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</si>
  <si>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</si>
  <si>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</si>
  <si>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</si>
  <si>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</si>
  <si>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</si>
  <si>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</si>
  <si>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</si>
  <si>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</si>
  <si>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</si>
  <si>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</si>
  <si>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</si>
  <si>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</si>
  <si>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</si>
  <si>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</si>
  <si>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</si>
  <si>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</si>
  <si>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</si>
  <si>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</si>
  <si>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</si>
  <si>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</si>
  <si>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</si>
  <si>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</si>
  <si>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</si>
  <si>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</si>
  <si>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</si>
  <si>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</si>
  <si>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</si>
  <si>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</si>
  <si>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</si>
  <si>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</si>
  <si>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</si>
  <si>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</si>
  <si>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</si>
  <si>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</si>
  <si>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</si>
  <si>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</si>
  <si>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</si>
  <si>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</si>
  <si>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</si>
  <si>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</si>
  <si>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</si>
  <si>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</si>
  <si>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</si>
  <si>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</si>
  <si>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</si>
  <si>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</si>
  <si>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</si>
  <si>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</si>
  <si>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</si>
  <si>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</si>
  <si>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</si>
  <si>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</si>
  <si>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</si>
  <si>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</si>
  <si>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</si>
  <si>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</si>
  <si>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</si>
  <si>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</si>
  <si>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</si>
  <si>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</si>
  <si>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</si>
  <si>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</si>
  <si>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</si>
  <si>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</si>
  <si>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</si>
  <si>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</si>
  <si>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</si>
  <si>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</si>
  <si>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</si>
  <si>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</si>
  <si>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</si>
  <si>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</si>
  <si>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</si>
  <si>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</si>
  <si>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</si>
  <si>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</si>
  <si>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</si>
  <si>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</si>
  <si>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</si>
  <si>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</si>
  <si>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</si>
  <si>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</si>
  <si>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</si>
  <si>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</si>
  <si>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</si>
  <si>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</si>
  <si>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</si>
  <si>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</si>
  <si>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</si>
  <si>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</si>
  <si>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</si>
  <si>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</si>
  <si>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</si>
  <si>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</si>
  <si>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</si>
  <si>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</si>
  <si>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</si>
  <si>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</si>
  <si>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</si>
  <si>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</si>
  <si>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</si>
  <si>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</si>
  <si>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</si>
  <si>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</si>
  <si>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</si>
  <si>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</si>
  <si>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</si>
  <si>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</si>
  <si>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</si>
  <si>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</si>
  <si>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</si>
  <si>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</si>
  <si>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</si>
  <si>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</si>
  <si>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</si>
  <si>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</si>
  <si>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</si>
  <si>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</si>
  <si>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</si>
  <si>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</si>
  <si>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</si>
  <si>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</si>
  <si>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</si>
  <si>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</si>
  <si>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</si>
  <si>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</si>
  <si>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</si>
  <si>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</si>
  <si>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</si>
  <si>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</si>
  <si>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</si>
  <si>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</si>
  <si>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</si>
  <si>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</si>
  <si>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</si>
  <si>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</si>
  <si>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</si>
  <si>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</si>
  <si>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</si>
  <si>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</si>
  <si>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</si>
  <si>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</si>
  <si>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</si>
  <si>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</si>
  <si>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</si>
  <si>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</si>
  <si>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</si>
  <si>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</si>
  <si>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</si>
  <si>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</si>
  <si>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</si>
  <si>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</si>
  <si>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</si>
  <si>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</si>
  <si>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</si>
  <si>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</si>
  <si>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</si>
  <si>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</si>
  <si>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</si>
  <si>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</si>
  <si>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</si>
  <si>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</si>
  <si>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</si>
  <si>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</si>
  <si>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</si>
  <si>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</si>
  <si>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</si>
  <si>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</si>
  <si>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</si>
  <si>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</si>
  <si>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</si>
  <si>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</si>
  <si>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</si>
  <si>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</si>
  <si>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</si>
  <si>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</si>
  <si>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</si>
  <si>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</si>
  <si>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</si>
  <si>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</si>
  <si>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</si>
  <si>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</si>
  <si>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</si>
  <si>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</si>
  <si>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</si>
  <si>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</si>
  <si>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</si>
  <si>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</si>
  <si>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</si>
  <si>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</si>
  <si>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</si>
  <si>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</si>
  <si>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</si>
  <si>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</si>
  <si>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</si>
  <si>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</si>
  <si>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</si>
  <si>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</si>
  <si>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</si>
  <si>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</si>
  <si>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</si>
  <si>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</si>
  <si>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</si>
  <si>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</si>
  <si>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</si>
  <si>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</si>
  <si>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</si>
  <si>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</si>
  <si>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</si>
  <si>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</si>
  <si>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</si>
  <si>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</si>
  <si>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</si>
  <si>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</si>
  <si>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</si>
  <si>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</si>
  <si>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</si>
  <si>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</si>
  <si>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</si>
  <si>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</si>
  <si>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</si>
  <si>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</si>
  <si>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</si>
  <si>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</si>
  <si>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</si>
  <si>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</si>
  <si>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</si>
  <si>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</si>
  <si>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</si>
  <si>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</si>
  <si>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</si>
  <si>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</si>
  <si>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</si>
  <si>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</si>
  <si>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t>
  </si>
  <si>
    <t>Дог № 1105/12/11 от 14.12.2011</t>
  </si>
  <si>
    <t>Ведется работа по ВТУ</t>
  </si>
  <si>
    <t>г.Черняховск, ул.Спортивная, д.5</t>
  </si>
  <si>
    <t>Нежилое здание (котельная тепловой узел)</t>
  </si>
  <si>
    <t>6 кВ</t>
  </si>
  <si>
    <t>Снятие сетевых ограничений на возможность присоединения к электрическим сетям.</t>
  </si>
  <si>
    <t>АО "Янтарьэнерго"</t>
  </si>
  <si>
    <t>Калининградская область</t>
  </si>
  <si>
    <t>г. Черняховск</t>
  </si>
  <si>
    <t>Не требуется</t>
  </si>
  <si>
    <t>Да</t>
  </si>
  <si>
    <t>КЛ</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</si>
  <si>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</si>
  <si>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</si>
  <si>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</si>
  <si>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</si>
  <si>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</si>
  <si>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</si>
  <si>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</si>
  <si>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</si>
  <si>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</si>
  <si>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</si>
  <si>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</si>
  <si>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</si>
  <si>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</si>
  <si>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</si>
  <si>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</si>
  <si>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</si>
  <si>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</si>
  <si>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</si>
  <si>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</si>
  <si>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</si>
  <si>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</si>
  <si>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</si>
  <si>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</si>
  <si>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</si>
  <si>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</si>
  <si>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</si>
  <si>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</si>
  <si>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</si>
  <si>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</si>
  <si>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</si>
  <si>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</si>
  <si>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</si>
  <si>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</si>
  <si>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</si>
  <si>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</si>
  <si>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</si>
  <si>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</si>
  <si>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</si>
  <si>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</si>
  <si>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</si>
  <si>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</si>
  <si>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</si>
  <si>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</si>
  <si>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</si>
  <si>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</si>
  <si>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Увеличение объема услуг по передаче электрической энергии.</t>
  </si>
  <si>
    <t>договоры на технологическое присоединение</t>
  </si>
  <si>
    <t>строительство</t>
  </si>
  <si>
    <t>2013 г.</t>
  </si>
  <si>
    <t>2016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</si>
  <si>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</si>
  <si>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</si>
  <si>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</si>
  <si>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</si>
  <si>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</si>
  <si>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</si>
  <si>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</si>
  <si>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</si>
  <si>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1105/12/11 д/с 1 29.03.2016</t>
  </si>
  <si>
    <t>(осн.) №1:нижние контакты  на трансформаторах тока 6 кВ Iс. в ячейке РП (Новая)</t>
  </si>
  <si>
    <t>2-700, 3-400</t>
  </si>
  <si>
    <t>11.1. Разработать проектную документацию электрических сетей 6 кВ и 0,4 кВ для электроснабжения котельной, с обеспечением надежности электроснабжения электроприемников второй категории, в соответствии с требованиями ПУЭ. 11.2. Выполнить: 11.2.1. рекон струкцию трансформаторной подстанции (ТП) 6/0,4 кВ №76, предусмотреть секционирование, с установкой дополнительных двух свободных ячеек для новых питающих КЛ от проектируемой РП Новой (п. 10.1.). Количество и мощность трансформаторов определить проектной документацией с учетом суммарной мощности объекта 700 кВт.11.2.2. прокладку 2-х кабельных линий (КЛ) 6 кВ от проектируемого РП (Новый)  до реконструируемой ТП 76 с исполнением кабелем напряжением 10 кВ от точек присоединения (п. 7.1, 7.2). Тип, трассу   10.1. Выполнить строительство двухсекционной РП 6 кВ с секционным выключателем 6 кВ взамен ТП-13 с двухстороним АВР. Место строительство тип РП, определить проектной документацией.10.2. Произвести перезаводку КЛ 6 кВ из ТП 13 в проектируемое РП 6 кВ.10.3. Произвести замену КЛ 6 кВ №29 от ЦРП 6 кВ до ТП 6/0,4 №51на кабель напряжением 10кВ, марку и сечение кабеля определить проектной документацией, с сечением токопроводящих жил не менее 185 мм.кв., протяженностью 0,265 км (ориентировочно).10.4. В ячейке КЛ 6 кВ №29 от ЦРП 6 кВ произвести замену трансформаторов тока 6 кВ с Iн=100/5 на трансформаторы тока 6 кВ с Iн=300/5.10.5. Произвести замену КЛ 6 кВ №33 от ТП 6/0,4 кВ № 33 до проектируемого РП (Новый) 10.6. На ПС О-4 в ЗРУ - 6 кВ:10.6.1. прооизвести перенос ОПН-6 кВ  I с.ш. или  II с.ш. в ячейки ТН  I с.ш. или  II с.ш.;10.6.2. в освободившейся ячейке ОПН смонтировать ячейку нового фидера 6 кВ с привязкой к I с.ш. или II с.ш;10.7. Произвести монтаж КЛ 6 кВ от ЗРУ 6 кВ ПС О-4 до РП (Новая) (п.10.1.) протяженностью 2,5 км (ориентировачно), с изоляцией из сшитого политилена, сечение кабеля определить проектной документацией, но немее 400 мм.кв.10.8. Выполнить расчет емкостных токов10.9.Объемы работ по выполнению п.10 определить на стадии разработки технического задания.</t>
  </si>
  <si>
    <t>F_prj_111001_5350</t>
  </si>
  <si>
    <t>не требуется</t>
  </si>
  <si>
    <t>нет</t>
  </si>
  <si>
    <t>нд</t>
  </si>
  <si>
    <t>З</t>
  </si>
  <si>
    <t>Технологическое присоединение энергопринимающих устройств потребителей свыше 150 кВт</t>
  </si>
  <si>
    <t>29.02.2014</t>
  </si>
  <si>
    <t>РП новый</t>
  </si>
  <si>
    <t>ТМГ 630кВА 6/0.4 кВ</t>
  </si>
  <si>
    <t>Т-1</t>
  </si>
  <si>
    <t>2016</t>
  </si>
  <si>
    <t>Т-2</t>
  </si>
  <si>
    <t xml:space="preserve">ПС О-4 </t>
  </si>
  <si>
    <t xml:space="preserve">Дугогасящая катушка </t>
  </si>
  <si>
    <t>РДМР(у)-360/6</t>
  </si>
  <si>
    <t xml:space="preserve">ДГК-1 </t>
  </si>
  <si>
    <t xml:space="preserve">Трансформатор дугогасящей катушки </t>
  </si>
  <si>
    <t xml:space="preserve">ТМГ11-400/6 </t>
  </si>
  <si>
    <t xml:space="preserve">Т-ДГК-1 </t>
  </si>
  <si>
    <t>в траншее</t>
  </si>
  <si>
    <t>КЛ 6 кВ W2 №33</t>
  </si>
  <si>
    <t xml:space="preserve">КЛ 6 кВ W3 № 13 до РП нового </t>
  </si>
  <si>
    <t xml:space="preserve">КЛ 6 кВ W1 от ПС О-4 до РП нового </t>
  </si>
  <si>
    <t>2014</t>
  </si>
  <si>
    <t>1.660 МВА</t>
  </si>
  <si>
    <t>2.859 км</t>
  </si>
  <si>
    <t>КЛ 6 кВ W2 №33 до РП-8</t>
  </si>
  <si>
    <t>КЛ 6 кВ W3 № 13 до РП-8</t>
  </si>
  <si>
    <t>1.660 МВА (1.660 МВА) / 2.859 км (2.859 км)</t>
  </si>
  <si>
    <t>ССР</t>
  </si>
  <si>
    <t>Сметная стоимость проекта в ценах 2013 года с НДС, млн. руб.</t>
  </si>
  <si>
    <r>
      <rPr>
        <b/>
        <sz val="11"/>
        <rFont val="Times New Roman"/>
        <family val="1"/>
        <charset val="204"/>
      </rPr>
      <t>ПИР</t>
    </r>
    <r>
      <rPr>
        <sz val="11"/>
        <rFont val="Times New Roman"/>
        <family val="1"/>
        <charset val="204"/>
      </rPr>
      <t xml:space="preserve">: ООО "Ампер" договор № 293 от 15.04.2013 (вып. 4 мес.); </t>
    </r>
    <r>
      <rPr>
        <b/>
        <sz val="11"/>
        <rFont val="Times New Roman"/>
        <family val="1"/>
        <charset val="204"/>
      </rPr>
      <t>СМР</t>
    </r>
    <r>
      <rPr>
        <sz val="11"/>
        <rFont val="Times New Roman"/>
        <family val="1"/>
        <charset val="204"/>
      </rPr>
      <t xml:space="preserve">: ОАО "Янтарьэнергосервис" договор № 852 от 29.11.2013 (вып. 3 мес.) - 1 этап; ООО "МПК-Энерго" договор № 691 от 26.08.2015 (вып. 90 дн.) - 2 этап; </t>
    </r>
    <r>
      <rPr>
        <b/>
        <sz val="11"/>
        <rFont val="Times New Roman"/>
        <family val="1"/>
        <charset val="204"/>
      </rPr>
      <t>Оборудование</t>
    </r>
    <r>
      <rPr>
        <sz val="11"/>
        <rFont val="Times New Roman"/>
        <family val="1"/>
        <charset val="204"/>
      </rPr>
      <t>: ООО "Профи-строй" договор № 157 от 21.10.2013 (вып. 60 дн.); ООО "Таврида Электрик СПб" договор № Д-142 К-13 от 05.11.2013 (вып. 45дн.); ЗАО "Союзэлектроавтоматика" договор № 1822 от 08.11.2013 (вып. 35 дн.); ОАО "Свердловэлектроремонт" договор № 322 от 02.04.2014 (вып. 80дн.)</t>
    </r>
  </si>
  <si>
    <t>ООО "Ампер" договор № 293 от 15.04.2013 в ценах 2013 года с НДС, млн. руб.</t>
  </si>
  <si>
    <t>ОАО "Свердловэлектроремонт" договор № 322/0006-АФ049/01-01004128-201 от 02.04.2014 в ценах 2014 года с НДС, млн. руб.</t>
  </si>
  <si>
    <t>ЗАО "Союзэлектроавтоматика" договор № 1822 от 08.11.2013 в ценах 2013 года с НДС, млн. руб.</t>
  </si>
  <si>
    <t>ООО "Таврида Электрик СПб" договор № Д-142К-13 от 05.11.2013 в ценах 2013 года с НДС, млн. руб.</t>
  </si>
  <si>
    <t>ООО "Профи-Строй" (Калининград) договор № 157 от 21.10.2013 в ценах 2013 года с НДС, млн. руб.</t>
  </si>
  <si>
    <t>ОАО "Янтарьэнергосервис" договор № 852 от 29.11.2013 в ценах 2013 года с НДС, млн. руб.</t>
  </si>
  <si>
    <t>ООО "МПК-Энерго" договор № 691 от 26.08.2015 в ценах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</si>
</sst>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_-* #,##0.00\ _р_._-;\-* #,##0.00\ _р_._-;_-* &quot;-&quot;??\ _р_._-;_-@_-"/>
    <numFmt numFmtId="165" formatCode="#,##0_ ;\-#,##0\ "/>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41"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4"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4"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4" fontId="11"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4"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174"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center" vertical="center" wrapText="1"/>
    </xf>
    <xf numFmtId="175" fontId="39" fillId="0" borderId="1" xfId="2" applyNumberFormat="1" applyFont="1" applyFill="1" applyBorder="1" applyAlignment="1">
      <alignment vertical="center" wrapText="1"/>
    </xf>
    <xf numFmtId="175" fontId="7" fillId="0" borderId="1" xfId="2" applyNumberFormat="1" applyFont="1" applyBorder="1" applyAlignment="1">
      <alignment vertical="center"/>
    </xf>
    <xf numFmtId="175" fontId="7" fillId="0" borderId="1" xfId="2" applyNumberFormat="1" applyFont="1" applyFill="1" applyBorder="1" applyAlignment="1">
      <alignment vertical="center" wrapText="1"/>
    </xf>
    <xf numFmtId="175" fontId="39" fillId="0" borderId="1" xfId="2"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8081872"/>
        <c:axId val="677392464"/>
      </c:lineChart>
      <c:catAx>
        <c:axId val="688081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392464"/>
        <c:crosses val="autoZero"/>
        <c:auto val="1"/>
        <c:lblAlgn val="ctr"/>
        <c:lblOffset val="100"/>
        <c:noMultiLvlLbl val="0"/>
      </c:catAx>
      <c:valAx>
        <c:axId val="677392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80818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2" t="s">
        <v>542</v>
      </c>
      <c r="B5" s="372"/>
      <c r="C5" s="372"/>
      <c r="D5" s="173"/>
      <c r="E5" s="173"/>
      <c r="F5" s="173"/>
      <c r="G5" s="173"/>
      <c r="H5" s="173"/>
      <c r="I5" s="173"/>
      <c r="J5" s="173"/>
    </row>
    <row r="6" spans="1:22" s="12" customFormat="1" ht="18.75" x14ac:dyDescent="0.3">
      <c r="A6" s="17"/>
      <c r="F6" s="16"/>
      <c r="G6" s="16"/>
      <c r="H6" s="15"/>
    </row>
    <row r="7" spans="1:22" s="12" customFormat="1" ht="18.75" x14ac:dyDescent="0.2">
      <c r="A7" s="376" t="s">
        <v>10</v>
      </c>
      <c r="B7" s="376"/>
      <c r="C7" s="3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541</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3" t="s">
        <v>9</v>
      </c>
      <c r="B10" s="373"/>
      <c r="C10" s="3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618</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3" t="s">
        <v>8</v>
      </c>
      <c r="B13" s="373"/>
      <c r="C13" s="3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74" t="s">
        <v>543</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3" t="s">
        <v>7</v>
      </c>
      <c r="B16" s="373"/>
      <c r="C16" s="3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4" t="s">
        <v>523</v>
      </c>
      <c r="B18" s="375"/>
      <c r="C18" s="3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623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9"/>
      <c r="B24" s="370"/>
      <c r="C24" s="37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0" t="s">
        <v>472</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0"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0" t="s">
        <v>75</v>
      </c>
      <c r="C27" s="40" t="s">
        <v>552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0" t="s">
        <v>473</v>
      </c>
      <c r="C28" s="40" t="s">
        <v>619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0" t="s">
        <v>474</v>
      </c>
      <c r="C29" s="40" t="s">
        <v>619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0" t="s">
        <v>475</v>
      </c>
      <c r="C30" s="40" t="s">
        <v>619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619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619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0" t="s">
        <v>620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619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619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9"/>
      <c r="B39" s="370"/>
      <c r="C39" s="371"/>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45" t="s">
        <v>621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45"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45"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45"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45"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45"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45"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9"/>
      <c r="B47" s="370"/>
      <c r="C47" s="37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43" customWidth="1"/>
    <col min="5" max="5" width="20.42578125" style="69" customWidth="1"/>
    <col min="6" max="6" width="18.7109375" style="69" customWidth="1"/>
    <col min="7" max="7" width="12.85546875" style="70" customWidth="1"/>
    <col min="8" max="11" width="10.42578125" style="70" customWidth="1"/>
    <col min="12" max="27" width="8.42578125" style="69" customWidth="1"/>
    <col min="28" max="28" width="13.140625" style="69" customWidth="1"/>
    <col min="29" max="29" width="24.85546875" style="343" customWidth="1"/>
    <col min="30" max="16384" width="9.140625" style="69"/>
  </cols>
  <sheetData>
    <row r="1" spans="1:29" ht="18.75" x14ac:dyDescent="0.25">
      <c r="A1" s="70"/>
      <c r="B1" s="70"/>
      <c r="C1" s="70"/>
      <c r="D1" s="344"/>
      <c r="E1" s="70"/>
      <c r="F1" s="70"/>
      <c r="L1" s="70"/>
      <c r="M1" s="70"/>
      <c r="AC1" s="349" t="s">
        <v>70</v>
      </c>
    </row>
    <row r="2" spans="1:29" ht="18.75" x14ac:dyDescent="0.3">
      <c r="A2" s="70"/>
      <c r="B2" s="70"/>
      <c r="C2" s="70"/>
      <c r="D2" s="344"/>
      <c r="E2" s="70"/>
      <c r="F2" s="70"/>
      <c r="L2" s="70"/>
      <c r="M2" s="70"/>
      <c r="AC2" s="350" t="s">
        <v>11</v>
      </c>
    </row>
    <row r="3" spans="1:29" ht="18.75" x14ac:dyDescent="0.3">
      <c r="A3" s="70"/>
      <c r="B3" s="70"/>
      <c r="C3" s="70"/>
      <c r="D3" s="344"/>
      <c r="E3" s="70"/>
      <c r="F3" s="70"/>
      <c r="L3" s="70"/>
      <c r="M3" s="70"/>
      <c r="AC3" s="350" t="s">
        <v>69</v>
      </c>
    </row>
    <row r="4" spans="1:29" ht="18.75" customHeight="1" x14ac:dyDescent="0.25">
      <c r="A4" s="464" t="str">
        <f>'[3]1. паспорт местоположение'!A5:C5</f>
        <v>Год раскрытия информации: 2016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70"/>
      <c r="B5" s="70"/>
      <c r="C5" s="70"/>
      <c r="D5" s="344"/>
      <c r="E5" s="70"/>
      <c r="F5" s="70"/>
      <c r="L5" s="70"/>
      <c r="M5" s="70"/>
      <c r="AC5" s="350"/>
    </row>
    <row r="6" spans="1:29"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x14ac:dyDescent="0.25">
      <c r="A7" s="166"/>
      <c r="B7" s="166"/>
      <c r="C7" s="166"/>
      <c r="D7" s="166"/>
      <c r="E7" s="166"/>
      <c r="F7" s="166"/>
      <c r="G7" s="166"/>
      <c r="H7" s="166"/>
      <c r="I7" s="166"/>
      <c r="J7" s="88"/>
      <c r="K7" s="88"/>
      <c r="L7" s="88"/>
      <c r="M7" s="88"/>
      <c r="N7" s="88"/>
      <c r="O7" s="88"/>
      <c r="P7" s="88"/>
      <c r="Q7" s="88"/>
      <c r="R7" s="88"/>
      <c r="S7" s="88"/>
      <c r="T7" s="88"/>
      <c r="U7" s="88"/>
      <c r="V7" s="88"/>
      <c r="W7" s="88"/>
      <c r="X7" s="88"/>
      <c r="Y7" s="88"/>
      <c r="Z7" s="88"/>
      <c r="AA7" s="88"/>
      <c r="AB7" s="88"/>
      <c r="AC7" s="88"/>
    </row>
    <row r="8" spans="1:29" x14ac:dyDescent="0.25">
      <c r="A8" s="465" t="str">
        <f>'1. паспорт местоположение'!A9:C9</f>
        <v xml:space="preserve">                         АО "Янтарьэнерго"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66"/>
      <c r="B10" s="166"/>
      <c r="C10" s="166"/>
      <c r="D10" s="166"/>
      <c r="E10" s="166"/>
      <c r="F10" s="166"/>
      <c r="G10" s="166"/>
      <c r="H10" s="166"/>
      <c r="I10" s="166"/>
      <c r="J10" s="88"/>
      <c r="K10" s="88"/>
      <c r="L10" s="88"/>
      <c r="M10" s="88"/>
      <c r="N10" s="88"/>
      <c r="O10" s="88"/>
      <c r="P10" s="88"/>
      <c r="Q10" s="88"/>
      <c r="R10" s="88"/>
      <c r="S10" s="88"/>
      <c r="T10" s="88"/>
      <c r="U10" s="88"/>
      <c r="V10" s="88"/>
      <c r="W10" s="88"/>
      <c r="X10" s="88"/>
      <c r="Y10" s="88"/>
      <c r="Z10" s="88"/>
      <c r="AA10" s="88"/>
      <c r="AB10" s="88"/>
      <c r="AC10" s="88"/>
    </row>
    <row r="11" spans="1:29" x14ac:dyDescent="0.25">
      <c r="A11" s="465" t="str">
        <f>'1. паспорт местоположение'!A12:C12</f>
        <v>F_prj_111001_5350</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1"/>
      <c r="B13" s="11"/>
      <c r="C13" s="11"/>
      <c r="D13" s="345"/>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51"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3" t="s">
        <v>508</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70"/>
      <c r="B19" s="70"/>
      <c r="C19" s="70"/>
      <c r="D19" s="344"/>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4" t="s">
        <v>193</v>
      </c>
      <c r="B20" s="454" t="s">
        <v>192</v>
      </c>
      <c r="C20" s="433" t="s">
        <v>191</v>
      </c>
      <c r="D20" s="433"/>
      <c r="E20" s="456" t="s">
        <v>190</v>
      </c>
      <c r="F20" s="456"/>
      <c r="G20" s="457" t="s">
        <v>606</v>
      </c>
      <c r="H20" s="448" t="s">
        <v>607</v>
      </c>
      <c r="I20" s="449"/>
      <c r="J20" s="449"/>
      <c r="K20" s="449"/>
      <c r="L20" s="448" t="s">
        <v>608</v>
      </c>
      <c r="M20" s="449"/>
      <c r="N20" s="449"/>
      <c r="O20" s="449"/>
      <c r="P20" s="448" t="s">
        <v>609</v>
      </c>
      <c r="Q20" s="449"/>
      <c r="R20" s="449"/>
      <c r="S20" s="449"/>
      <c r="T20" s="448" t="s">
        <v>610</v>
      </c>
      <c r="U20" s="449"/>
      <c r="V20" s="449"/>
      <c r="W20" s="449"/>
      <c r="X20" s="448" t="s">
        <v>611</v>
      </c>
      <c r="Y20" s="449"/>
      <c r="Z20" s="449"/>
      <c r="AA20" s="449"/>
      <c r="AB20" s="460" t="s">
        <v>189</v>
      </c>
      <c r="AC20" s="461"/>
      <c r="AD20" s="86"/>
      <c r="AE20" s="86"/>
      <c r="AF20" s="86"/>
    </row>
    <row r="21" spans="1:32" ht="99.75" customHeight="1" x14ac:dyDescent="0.25">
      <c r="A21" s="455"/>
      <c r="B21" s="455"/>
      <c r="C21" s="433"/>
      <c r="D21" s="433"/>
      <c r="E21" s="456"/>
      <c r="F21" s="456"/>
      <c r="G21" s="458"/>
      <c r="H21" s="450" t="s">
        <v>3</v>
      </c>
      <c r="I21" s="450"/>
      <c r="J21" s="450" t="s">
        <v>188</v>
      </c>
      <c r="K21" s="450"/>
      <c r="L21" s="450" t="s">
        <v>3</v>
      </c>
      <c r="M21" s="450"/>
      <c r="N21" s="450" t="s">
        <v>188</v>
      </c>
      <c r="O21" s="450"/>
      <c r="P21" s="450" t="s">
        <v>3</v>
      </c>
      <c r="Q21" s="450"/>
      <c r="R21" s="450" t="s">
        <v>188</v>
      </c>
      <c r="S21" s="450"/>
      <c r="T21" s="450" t="s">
        <v>3</v>
      </c>
      <c r="U21" s="450"/>
      <c r="V21" s="450" t="s">
        <v>188</v>
      </c>
      <c r="W21" s="450"/>
      <c r="X21" s="450" t="s">
        <v>3</v>
      </c>
      <c r="Y21" s="450"/>
      <c r="Z21" s="450" t="s">
        <v>188</v>
      </c>
      <c r="AA21" s="450"/>
      <c r="AB21" s="462"/>
      <c r="AC21" s="463"/>
    </row>
    <row r="22" spans="1:32" ht="89.25" customHeight="1" x14ac:dyDescent="0.25">
      <c r="A22" s="440"/>
      <c r="B22" s="440"/>
      <c r="C22" s="188" t="s">
        <v>3</v>
      </c>
      <c r="D22" s="352" t="s">
        <v>185</v>
      </c>
      <c r="E22" s="329" t="s">
        <v>612</v>
      </c>
      <c r="F22" s="85" t="s">
        <v>187</v>
      </c>
      <c r="G22" s="459"/>
      <c r="H22" s="330" t="s">
        <v>489</v>
      </c>
      <c r="I22" s="330" t="s">
        <v>490</v>
      </c>
      <c r="J22" s="330" t="s">
        <v>489</v>
      </c>
      <c r="K22" s="330" t="s">
        <v>490</v>
      </c>
      <c r="L22" s="330" t="s">
        <v>489</v>
      </c>
      <c r="M22" s="330" t="s">
        <v>490</v>
      </c>
      <c r="N22" s="330" t="s">
        <v>489</v>
      </c>
      <c r="O22" s="330" t="s">
        <v>490</v>
      </c>
      <c r="P22" s="330" t="s">
        <v>489</v>
      </c>
      <c r="Q22" s="330" t="s">
        <v>490</v>
      </c>
      <c r="R22" s="330" t="s">
        <v>489</v>
      </c>
      <c r="S22" s="330" t="s">
        <v>490</v>
      </c>
      <c r="T22" s="330" t="s">
        <v>489</v>
      </c>
      <c r="U22" s="330" t="s">
        <v>490</v>
      </c>
      <c r="V22" s="330" t="s">
        <v>489</v>
      </c>
      <c r="W22" s="330" t="s">
        <v>490</v>
      </c>
      <c r="X22" s="330" t="s">
        <v>489</v>
      </c>
      <c r="Y22" s="330" t="s">
        <v>490</v>
      </c>
      <c r="Z22" s="330" t="s">
        <v>489</v>
      </c>
      <c r="AA22" s="330" t="s">
        <v>490</v>
      </c>
      <c r="AB22" s="188" t="s">
        <v>186</v>
      </c>
      <c r="AC22" s="352" t="s">
        <v>185</v>
      </c>
    </row>
    <row r="23" spans="1:32" ht="19.5" customHeight="1" x14ac:dyDescent="0.25">
      <c r="A23" s="183">
        <v>1</v>
      </c>
      <c r="B23" s="183">
        <f>A23+1</f>
        <v>2</v>
      </c>
      <c r="C23" s="183">
        <f t="shared" ref="C23:AC23" si="0">B23+1</f>
        <v>3</v>
      </c>
      <c r="D23" s="351">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c r="V23" s="183">
        <f t="shared" si="0"/>
        <v>22</v>
      </c>
      <c r="W23" s="183">
        <f t="shared" si="0"/>
        <v>23</v>
      </c>
      <c r="X23" s="183">
        <f t="shared" si="0"/>
        <v>24</v>
      </c>
      <c r="Y23" s="183">
        <f t="shared" si="0"/>
        <v>25</v>
      </c>
      <c r="Z23" s="183">
        <f t="shared" si="0"/>
        <v>26</v>
      </c>
      <c r="AA23" s="183">
        <f t="shared" si="0"/>
        <v>27</v>
      </c>
      <c r="AB23" s="183">
        <f>AA23+1</f>
        <v>28</v>
      </c>
      <c r="AC23" s="351">
        <f t="shared" si="0"/>
        <v>29</v>
      </c>
    </row>
    <row r="24" spans="1:32" s="343" customFormat="1" ht="47.25" customHeight="1" x14ac:dyDescent="0.25">
      <c r="A24" s="83">
        <v>1</v>
      </c>
      <c r="B24" s="82" t="s">
        <v>184</v>
      </c>
      <c r="C24" s="365">
        <v>20.120263427032501</v>
      </c>
      <c r="D24" s="365">
        <v>0</v>
      </c>
      <c r="E24" s="365">
        <v>15.6466108670325</v>
      </c>
      <c r="F24" s="365">
        <f>E24-G24</f>
        <v>8.5920579270324993</v>
      </c>
      <c r="G24" s="365">
        <f t="shared" ref="G24" si="1">SUM(G25:G29)</f>
        <v>7.0545529399999998</v>
      </c>
      <c r="H24" s="365">
        <v>0</v>
      </c>
      <c r="I24" s="365">
        <v>0</v>
      </c>
      <c r="J24" s="365">
        <v>12.3116</v>
      </c>
      <c r="K24" s="365">
        <v>0</v>
      </c>
      <c r="L24" s="365">
        <v>0</v>
      </c>
      <c r="M24" s="365">
        <v>0</v>
      </c>
      <c r="N24" s="365">
        <v>0</v>
      </c>
      <c r="O24" s="365">
        <v>0</v>
      </c>
      <c r="P24" s="365">
        <v>0</v>
      </c>
      <c r="Q24" s="365">
        <v>0</v>
      </c>
      <c r="R24" s="365">
        <v>0</v>
      </c>
      <c r="S24" s="365">
        <v>0</v>
      </c>
      <c r="T24" s="365">
        <v>0</v>
      </c>
      <c r="U24" s="365">
        <v>0</v>
      </c>
      <c r="V24" s="365">
        <v>0</v>
      </c>
      <c r="W24" s="365">
        <v>0</v>
      </c>
      <c r="X24" s="365">
        <v>0</v>
      </c>
      <c r="Y24" s="365">
        <v>0</v>
      </c>
      <c r="Z24" s="365">
        <v>0</v>
      </c>
      <c r="AA24" s="365">
        <v>0</v>
      </c>
      <c r="AB24" s="365">
        <f>H24+L24+P24+T24+X24</f>
        <v>0</v>
      </c>
      <c r="AC24" s="365">
        <v>0</v>
      </c>
    </row>
    <row r="25" spans="1:32" ht="24" customHeight="1" x14ac:dyDescent="0.25">
      <c r="A25" s="80" t="s">
        <v>183</v>
      </c>
      <c r="B25" s="56" t="s">
        <v>182</v>
      </c>
      <c r="C25" s="365">
        <v>0</v>
      </c>
      <c r="D25" s="365">
        <v>0</v>
      </c>
      <c r="E25" s="366">
        <v>0</v>
      </c>
      <c r="F25" s="366">
        <v>0</v>
      </c>
      <c r="G25" s="367">
        <v>0</v>
      </c>
      <c r="H25" s="367">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5">
        <f t="shared" ref="AB25:AB64" si="2">H25+L25+P25+T25+X25</f>
        <v>0</v>
      </c>
      <c r="AC25" s="365">
        <v>0</v>
      </c>
    </row>
    <row r="26" spans="1:32" x14ac:dyDescent="0.25">
      <c r="A26" s="80" t="s">
        <v>181</v>
      </c>
      <c r="B26" s="56" t="s">
        <v>180</v>
      </c>
      <c r="C26" s="365">
        <v>0</v>
      </c>
      <c r="D26" s="365">
        <v>0</v>
      </c>
      <c r="E26" s="366">
        <v>0</v>
      </c>
      <c r="F26" s="367">
        <v>0</v>
      </c>
      <c r="G26" s="367">
        <v>0</v>
      </c>
      <c r="H26" s="367">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5">
        <f t="shared" si="2"/>
        <v>0</v>
      </c>
      <c r="AC26" s="365">
        <v>0</v>
      </c>
    </row>
    <row r="27" spans="1:32" ht="31.5" x14ac:dyDescent="0.25">
      <c r="A27" s="80" t="s">
        <v>179</v>
      </c>
      <c r="B27" s="56" t="s">
        <v>445</v>
      </c>
      <c r="C27" s="365">
        <v>0</v>
      </c>
      <c r="D27" s="365">
        <v>0</v>
      </c>
      <c r="E27" s="366">
        <v>0</v>
      </c>
      <c r="F27" s="367">
        <v>0</v>
      </c>
      <c r="G27" s="367">
        <v>0</v>
      </c>
      <c r="H27" s="367">
        <v>0</v>
      </c>
      <c r="I27" s="367">
        <v>0</v>
      </c>
      <c r="J27" s="367">
        <v>0</v>
      </c>
      <c r="K27" s="367">
        <v>0</v>
      </c>
      <c r="L27" s="367">
        <v>0</v>
      </c>
      <c r="M27" s="367">
        <v>0</v>
      </c>
      <c r="N27" s="367">
        <v>0</v>
      </c>
      <c r="O27" s="367">
        <v>0</v>
      </c>
      <c r="P27" s="367">
        <v>0</v>
      </c>
      <c r="Q27" s="367">
        <v>0</v>
      </c>
      <c r="R27" s="367">
        <v>0</v>
      </c>
      <c r="S27" s="367">
        <v>0</v>
      </c>
      <c r="T27" s="367">
        <v>0</v>
      </c>
      <c r="U27" s="367">
        <v>0</v>
      </c>
      <c r="V27" s="367">
        <v>0</v>
      </c>
      <c r="W27" s="367">
        <v>0</v>
      </c>
      <c r="X27" s="367">
        <v>0</v>
      </c>
      <c r="Y27" s="367">
        <v>0</v>
      </c>
      <c r="Z27" s="367">
        <v>0</v>
      </c>
      <c r="AA27" s="367">
        <v>0</v>
      </c>
      <c r="AB27" s="365">
        <f t="shared" si="2"/>
        <v>0</v>
      </c>
      <c r="AC27" s="365">
        <v>0</v>
      </c>
    </row>
    <row r="28" spans="1:32" x14ac:dyDescent="0.25">
      <c r="A28" s="80" t="s">
        <v>178</v>
      </c>
      <c r="B28" s="56" t="s">
        <v>613</v>
      </c>
      <c r="C28" s="366">
        <f>C24/1.18</f>
        <v>17.051070700875002</v>
      </c>
      <c r="D28" s="365">
        <v>0</v>
      </c>
      <c r="E28" s="366">
        <f>E24/1.18</f>
        <v>13.259839717824153</v>
      </c>
      <c r="F28" s="367">
        <f t="shared" ref="F28:F30" si="3">E28-G28</f>
        <v>7.2814050229088991</v>
      </c>
      <c r="G28" s="367">
        <f>7.05455294/1.18</f>
        <v>5.9784346949152543</v>
      </c>
      <c r="H28" s="367">
        <v>0</v>
      </c>
      <c r="I28" s="367">
        <v>0</v>
      </c>
      <c r="J28" s="367">
        <v>10.433559322033901</v>
      </c>
      <c r="K28" s="367">
        <v>0</v>
      </c>
      <c r="L28" s="367">
        <v>0</v>
      </c>
      <c r="M28" s="367">
        <v>0</v>
      </c>
      <c r="N28" s="367">
        <v>0</v>
      </c>
      <c r="O28" s="367">
        <v>0</v>
      </c>
      <c r="P28" s="367">
        <v>0</v>
      </c>
      <c r="Q28" s="367">
        <v>0</v>
      </c>
      <c r="R28" s="367">
        <v>0</v>
      </c>
      <c r="S28" s="367">
        <v>0</v>
      </c>
      <c r="T28" s="367">
        <v>0</v>
      </c>
      <c r="U28" s="367">
        <v>0</v>
      </c>
      <c r="V28" s="367">
        <v>0</v>
      </c>
      <c r="W28" s="367">
        <v>0</v>
      </c>
      <c r="X28" s="367">
        <v>0</v>
      </c>
      <c r="Y28" s="367">
        <v>0</v>
      </c>
      <c r="Z28" s="367">
        <v>0</v>
      </c>
      <c r="AA28" s="367">
        <v>0</v>
      </c>
      <c r="AB28" s="365">
        <f t="shared" si="2"/>
        <v>0</v>
      </c>
      <c r="AC28" s="365">
        <v>0</v>
      </c>
    </row>
    <row r="29" spans="1:32" x14ac:dyDescent="0.25">
      <c r="A29" s="80" t="s">
        <v>177</v>
      </c>
      <c r="B29" s="84" t="s">
        <v>176</v>
      </c>
      <c r="C29" s="366">
        <f>C28*0.18</f>
        <v>3.0691927261575001</v>
      </c>
      <c r="D29" s="365">
        <v>0</v>
      </c>
      <c r="E29" s="366">
        <f>E28*0.18</f>
        <v>2.3867711492083474</v>
      </c>
      <c r="F29" s="367">
        <f t="shared" si="3"/>
        <v>1.3106529041236017</v>
      </c>
      <c r="G29" s="367">
        <f>7.05455294/1.18*0.18</f>
        <v>1.0761182450847457</v>
      </c>
      <c r="H29" s="367">
        <v>0</v>
      </c>
      <c r="I29" s="367">
        <v>0</v>
      </c>
      <c r="J29" s="367">
        <v>1.8780406779661019</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5">
        <f t="shared" si="2"/>
        <v>0</v>
      </c>
      <c r="AC29" s="365">
        <v>0</v>
      </c>
    </row>
    <row r="30" spans="1:32" s="343" customFormat="1" ht="47.25" x14ac:dyDescent="0.25">
      <c r="A30" s="83" t="s">
        <v>64</v>
      </c>
      <c r="B30" s="82" t="s">
        <v>175</v>
      </c>
      <c r="C30" s="365">
        <v>17.051070700875002</v>
      </c>
      <c r="D30" s="365">
        <v>0</v>
      </c>
      <c r="E30" s="365">
        <v>14.983970700875002</v>
      </c>
      <c r="F30" s="365">
        <f t="shared" si="3"/>
        <v>3.1777457008750023</v>
      </c>
      <c r="G30" s="365">
        <f t="shared" ref="G30" si="4">SUM(G31:G34)</f>
        <v>11.806225</v>
      </c>
      <c r="H30" s="365">
        <v>0</v>
      </c>
      <c r="I30" s="365">
        <v>0</v>
      </c>
      <c r="J30" s="365">
        <v>0.27</v>
      </c>
      <c r="K30" s="365">
        <v>0</v>
      </c>
      <c r="L30" s="365">
        <v>0</v>
      </c>
      <c r="M30" s="365">
        <v>0</v>
      </c>
      <c r="N30" s="365">
        <v>0</v>
      </c>
      <c r="O30" s="365">
        <v>0</v>
      </c>
      <c r="P30" s="365">
        <v>0</v>
      </c>
      <c r="Q30" s="365">
        <v>0</v>
      </c>
      <c r="R30" s="365">
        <v>0</v>
      </c>
      <c r="S30" s="365">
        <v>0</v>
      </c>
      <c r="T30" s="365">
        <v>0</v>
      </c>
      <c r="U30" s="365">
        <v>0</v>
      </c>
      <c r="V30" s="365">
        <v>0</v>
      </c>
      <c r="W30" s="365">
        <v>0</v>
      </c>
      <c r="X30" s="365">
        <v>0</v>
      </c>
      <c r="Y30" s="365">
        <v>0</v>
      </c>
      <c r="Z30" s="365">
        <v>0</v>
      </c>
      <c r="AA30" s="365">
        <v>0</v>
      </c>
      <c r="AB30" s="365">
        <f t="shared" si="2"/>
        <v>0</v>
      </c>
      <c r="AC30" s="365">
        <v>0</v>
      </c>
    </row>
    <row r="31" spans="1:32" x14ac:dyDescent="0.25">
      <c r="A31" s="80" t="s">
        <v>174</v>
      </c>
      <c r="B31" s="56" t="s">
        <v>173</v>
      </c>
      <c r="C31" s="365">
        <v>1.1100000000000001</v>
      </c>
      <c r="D31" s="365">
        <v>0</v>
      </c>
      <c r="E31" s="367">
        <v>0</v>
      </c>
      <c r="F31" s="367">
        <v>0</v>
      </c>
      <c r="G31" s="367">
        <v>0</v>
      </c>
      <c r="H31" s="367">
        <v>0</v>
      </c>
      <c r="I31" s="367">
        <v>0</v>
      </c>
      <c r="J31" s="367">
        <v>0</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5">
        <f t="shared" si="2"/>
        <v>0</v>
      </c>
      <c r="AC31" s="368">
        <v>0</v>
      </c>
    </row>
    <row r="32" spans="1:32" ht="31.5" x14ac:dyDescent="0.25">
      <c r="A32" s="80" t="s">
        <v>172</v>
      </c>
      <c r="B32" s="56" t="s">
        <v>171</v>
      </c>
      <c r="C32" s="365">
        <v>10.361149650205203</v>
      </c>
      <c r="D32" s="365">
        <v>0</v>
      </c>
      <c r="E32" s="367">
        <v>0</v>
      </c>
      <c r="F32" s="367">
        <v>0</v>
      </c>
      <c r="G32" s="367">
        <v>11.25975</v>
      </c>
      <c r="H32" s="367">
        <v>0</v>
      </c>
      <c r="I32" s="367">
        <v>0</v>
      </c>
      <c r="J32" s="367">
        <v>0</v>
      </c>
      <c r="K32" s="367">
        <v>0</v>
      </c>
      <c r="L32" s="367">
        <v>0</v>
      </c>
      <c r="M32" s="367">
        <v>0</v>
      </c>
      <c r="N32" s="367">
        <v>0</v>
      </c>
      <c r="O32" s="367">
        <v>0</v>
      </c>
      <c r="P32" s="367">
        <v>0</v>
      </c>
      <c r="Q32" s="367">
        <v>0</v>
      </c>
      <c r="R32" s="367">
        <v>0</v>
      </c>
      <c r="S32" s="367">
        <v>0</v>
      </c>
      <c r="T32" s="367">
        <v>0</v>
      </c>
      <c r="U32" s="367">
        <v>0</v>
      </c>
      <c r="V32" s="367">
        <v>0</v>
      </c>
      <c r="W32" s="367">
        <v>0</v>
      </c>
      <c r="X32" s="367">
        <v>0</v>
      </c>
      <c r="Y32" s="367">
        <v>0</v>
      </c>
      <c r="Z32" s="367">
        <v>0</v>
      </c>
      <c r="AA32" s="367">
        <v>0</v>
      </c>
      <c r="AB32" s="365">
        <f t="shared" si="2"/>
        <v>0</v>
      </c>
      <c r="AC32" s="368">
        <v>0</v>
      </c>
    </row>
    <row r="33" spans="1:29" x14ac:dyDescent="0.25">
      <c r="A33" s="80" t="s">
        <v>170</v>
      </c>
      <c r="B33" s="56" t="s">
        <v>169</v>
      </c>
      <c r="C33" s="365">
        <v>5.3938225418202004</v>
      </c>
      <c r="D33" s="365">
        <v>0</v>
      </c>
      <c r="E33" s="367">
        <v>0</v>
      </c>
      <c r="F33" s="367">
        <v>0</v>
      </c>
      <c r="G33" s="367">
        <v>0.42647499999999999</v>
      </c>
      <c r="H33" s="367">
        <v>0</v>
      </c>
      <c r="I33" s="367">
        <v>0</v>
      </c>
      <c r="J33" s="367">
        <v>0</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5">
        <f t="shared" si="2"/>
        <v>0</v>
      </c>
      <c r="AC33" s="368">
        <v>0</v>
      </c>
    </row>
    <row r="34" spans="1:29" x14ac:dyDescent="0.25">
      <c r="A34" s="80" t="s">
        <v>168</v>
      </c>
      <c r="B34" s="56" t="s">
        <v>167</v>
      </c>
      <c r="C34" s="365">
        <v>0.1860985088496</v>
      </c>
      <c r="D34" s="365">
        <v>0</v>
      </c>
      <c r="E34" s="367">
        <v>0</v>
      </c>
      <c r="F34" s="367">
        <v>0</v>
      </c>
      <c r="G34" s="367">
        <v>0.12</v>
      </c>
      <c r="H34" s="367">
        <v>0</v>
      </c>
      <c r="I34" s="367">
        <v>0</v>
      </c>
      <c r="J34" s="367">
        <v>0.27</v>
      </c>
      <c r="K34" s="367">
        <v>0</v>
      </c>
      <c r="L34" s="367">
        <v>0</v>
      </c>
      <c r="M34" s="367">
        <v>0</v>
      </c>
      <c r="N34" s="367">
        <v>0</v>
      </c>
      <c r="O34" s="367">
        <v>0</v>
      </c>
      <c r="P34" s="367">
        <v>0</v>
      </c>
      <c r="Q34" s="367">
        <v>0</v>
      </c>
      <c r="R34" s="367">
        <v>0</v>
      </c>
      <c r="S34" s="367">
        <v>0</v>
      </c>
      <c r="T34" s="367">
        <v>0</v>
      </c>
      <c r="U34" s="367">
        <v>0</v>
      </c>
      <c r="V34" s="367">
        <v>0</v>
      </c>
      <c r="W34" s="367">
        <v>0</v>
      </c>
      <c r="X34" s="367">
        <v>0</v>
      </c>
      <c r="Y34" s="367">
        <v>0</v>
      </c>
      <c r="Z34" s="367">
        <v>0</v>
      </c>
      <c r="AA34" s="367">
        <v>0</v>
      </c>
      <c r="AB34" s="365">
        <f t="shared" si="2"/>
        <v>0</v>
      </c>
      <c r="AC34" s="368">
        <v>0</v>
      </c>
    </row>
    <row r="35" spans="1:29" s="343" customFormat="1" ht="31.5" x14ac:dyDescent="0.25">
      <c r="A35" s="83" t="s">
        <v>63</v>
      </c>
      <c r="B35" s="82" t="s">
        <v>166</v>
      </c>
      <c r="C35" s="365">
        <v>0</v>
      </c>
      <c r="D35" s="365">
        <v>0</v>
      </c>
      <c r="E35" s="365">
        <v>0</v>
      </c>
      <c r="F35" s="365">
        <v>0</v>
      </c>
      <c r="G35" s="365">
        <v>0</v>
      </c>
      <c r="H35" s="365">
        <v>0</v>
      </c>
      <c r="I35" s="365">
        <v>0</v>
      </c>
      <c r="J35" s="365">
        <v>0</v>
      </c>
      <c r="K35" s="365">
        <v>0</v>
      </c>
      <c r="L35" s="365">
        <v>0</v>
      </c>
      <c r="M35" s="365">
        <v>0</v>
      </c>
      <c r="N35" s="365">
        <v>0</v>
      </c>
      <c r="O35" s="365">
        <v>0</v>
      </c>
      <c r="P35" s="365">
        <v>0</v>
      </c>
      <c r="Q35" s="365">
        <v>0</v>
      </c>
      <c r="R35" s="365">
        <v>0</v>
      </c>
      <c r="S35" s="365">
        <v>0</v>
      </c>
      <c r="T35" s="365">
        <v>0</v>
      </c>
      <c r="U35" s="365">
        <v>0</v>
      </c>
      <c r="V35" s="365">
        <v>0</v>
      </c>
      <c r="W35" s="365">
        <v>0</v>
      </c>
      <c r="X35" s="365">
        <v>0</v>
      </c>
      <c r="Y35" s="365">
        <v>0</v>
      </c>
      <c r="Z35" s="365">
        <v>0</v>
      </c>
      <c r="AA35" s="365">
        <v>0</v>
      </c>
      <c r="AB35" s="365">
        <f t="shared" si="2"/>
        <v>0</v>
      </c>
      <c r="AC35" s="368">
        <v>0</v>
      </c>
    </row>
    <row r="36" spans="1:29" ht="31.5" x14ac:dyDescent="0.25">
      <c r="A36" s="80" t="s">
        <v>165</v>
      </c>
      <c r="B36" s="79" t="s">
        <v>164</v>
      </c>
      <c r="C36" s="365">
        <v>0</v>
      </c>
      <c r="D36" s="365">
        <v>0</v>
      </c>
      <c r="E36" s="367">
        <v>0</v>
      </c>
      <c r="F36" s="367">
        <v>0</v>
      </c>
      <c r="G36" s="367">
        <v>0</v>
      </c>
      <c r="H36" s="367">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5">
        <f t="shared" si="2"/>
        <v>0</v>
      </c>
      <c r="AC36" s="365">
        <v>0</v>
      </c>
    </row>
    <row r="37" spans="1:29" x14ac:dyDescent="0.25">
      <c r="A37" s="80" t="s">
        <v>163</v>
      </c>
      <c r="B37" s="79" t="s">
        <v>153</v>
      </c>
      <c r="C37" s="365">
        <v>1.26</v>
      </c>
      <c r="D37" s="365">
        <v>0</v>
      </c>
      <c r="E37" s="367">
        <v>0</v>
      </c>
      <c r="F37" s="367">
        <v>0</v>
      </c>
      <c r="G37" s="367">
        <v>0</v>
      </c>
      <c r="H37" s="367">
        <v>0</v>
      </c>
      <c r="I37" s="367">
        <v>0</v>
      </c>
      <c r="J37" s="367">
        <v>0</v>
      </c>
      <c r="K37" s="367">
        <v>0</v>
      </c>
      <c r="L37" s="367">
        <v>0</v>
      </c>
      <c r="M37" s="367">
        <v>0</v>
      </c>
      <c r="N37" s="367">
        <v>0</v>
      </c>
      <c r="O37" s="367">
        <v>0</v>
      </c>
      <c r="P37" s="367">
        <v>0</v>
      </c>
      <c r="Q37" s="367">
        <v>0</v>
      </c>
      <c r="R37" s="367">
        <v>0</v>
      </c>
      <c r="S37" s="367">
        <v>0</v>
      </c>
      <c r="T37" s="367">
        <v>0</v>
      </c>
      <c r="U37" s="367">
        <v>0</v>
      </c>
      <c r="V37" s="367">
        <v>0</v>
      </c>
      <c r="W37" s="367">
        <v>0</v>
      </c>
      <c r="X37" s="367">
        <v>0</v>
      </c>
      <c r="Y37" s="367">
        <v>0</v>
      </c>
      <c r="Z37" s="367">
        <v>0</v>
      </c>
      <c r="AA37" s="367">
        <v>0</v>
      </c>
      <c r="AB37" s="365">
        <f t="shared" si="2"/>
        <v>0</v>
      </c>
      <c r="AC37" s="365">
        <v>0</v>
      </c>
    </row>
    <row r="38" spans="1:29" x14ac:dyDescent="0.25">
      <c r="A38" s="80" t="s">
        <v>162</v>
      </c>
      <c r="B38" s="79" t="s">
        <v>151</v>
      </c>
      <c r="C38" s="365">
        <v>0</v>
      </c>
      <c r="D38" s="365">
        <v>0</v>
      </c>
      <c r="E38" s="367">
        <v>0</v>
      </c>
      <c r="F38" s="367">
        <v>0</v>
      </c>
      <c r="G38" s="367">
        <v>0</v>
      </c>
      <c r="H38" s="367">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5">
        <f t="shared" si="2"/>
        <v>0</v>
      </c>
      <c r="AC38" s="365">
        <v>0</v>
      </c>
    </row>
    <row r="39" spans="1:29" ht="31.5" x14ac:dyDescent="0.25">
      <c r="A39" s="80" t="s">
        <v>161</v>
      </c>
      <c r="B39" s="56" t="s">
        <v>149</v>
      </c>
      <c r="C39" s="365">
        <v>0</v>
      </c>
      <c r="D39" s="365">
        <v>0</v>
      </c>
      <c r="E39" s="367">
        <v>0</v>
      </c>
      <c r="F39" s="367">
        <v>0</v>
      </c>
      <c r="G39" s="367">
        <v>0</v>
      </c>
      <c r="H39" s="367">
        <v>0</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5">
        <f t="shared" si="2"/>
        <v>0</v>
      </c>
      <c r="AC39" s="365">
        <v>0</v>
      </c>
    </row>
    <row r="40" spans="1:29" ht="31.5" x14ac:dyDescent="0.25">
      <c r="A40" s="80" t="s">
        <v>160</v>
      </c>
      <c r="B40" s="56" t="s">
        <v>147</v>
      </c>
      <c r="C40" s="365">
        <v>0</v>
      </c>
      <c r="D40" s="365">
        <v>0</v>
      </c>
      <c r="E40" s="367">
        <v>0</v>
      </c>
      <c r="F40" s="367">
        <v>0</v>
      </c>
      <c r="G40" s="367">
        <v>0</v>
      </c>
      <c r="H40" s="367">
        <v>0</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5">
        <f t="shared" si="2"/>
        <v>0</v>
      </c>
      <c r="AC40" s="365">
        <v>0</v>
      </c>
    </row>
    <row r="41" spans="1:29" x14ac:dyDescent="0.25">
      <c r="A41" s="80" t="s">
        <v>159</v>
      </c>
      <c r="B41" s="56" t="s">
        <v>145</v>
      </c>
      <c r="C41" s="365">
        <v>2.992</v>
      </c>
      <c r="D41" s="365">
        <v>0</v>
      </c>
      <c r="E41" s="367">
        <v>0</v>
      </c>
      <c r="F41" s="367">
        <v>0</v>
      </c>
      <c r="G41" s="367">
        <v>0</v>
      </c>
      <c r="H41" s="367">
        <v>0</v>
      </c>
      <c r="I41" s="367">
        <v>0</v>
      </c>
      <c r="J41" s="367">
        <v>0</v>
      </c>
      <c r="K41" s="367">
        <v>0</v>
      </c>
      <c r="L41" s="367">
        <v>0</v>
      </c>
      <c r="M41" s="367">
        <v>0</v>
      </c>
      <c r="N41" s="367">
        <v>0</v>
      </c>
      <c r="O41" s="367">
        <v>0</v>
      </c>
      <c r="P41" s="367">
        <v>0</v>
      </c>
      <c r="Q41" s="367">
        <v>0</v>
      </c>
      <c r="R41" s="367">
        <v>0</v>
      </c>
      <c r="S41" s="367">
        <v>0</v>
      </c>
      <c r="T41" s="367">
        <v>0</v>
      </c>
      <c r="U41" s="367">
        <v>0</v>
      </c>
      <c r="V41" s="367">
        <v>0</v>
      </c>
      <c r="W41" s="367">
        <v>0</v>
      </c>
      <c r="X41" s="367">
        <v>0</v>
      </c>
      <c r="Y41" s="367">
        <v>0</v>
      </c>
      <c r="Z41" s="367">
        <v>0</v>
      </c>
      <c r="AA41" s="367">
        <v>0</v>
      </c>
      <c r="AB41" s="365">
        <f t="shared" si="2"/>
        <v>0</v>
      </c>
      <c r="AC41" s="365">
        <v>0</v>
      </c>
    </row>
    <row r="42" spans="1:29" ht="18.75" x14ac:dyDescent="0.25">
      <c r="A42" s="80" t="s">
        <v>158</v>
      </c>
      <c r="B42" s="79" t="s">
        <v>143</v>
      </c>
      <c r="C42" s="365">
        <v>0</v>
      </c>
      <c r="D42" s="365">
        <v>0</v>
      </c>
      <c r="E42" s="367">
        <v>0</v>
      </c>
      <c r="F42" s="367">
        <v>0</v>
      </c>
      <c r="G42" s="367">
        <v>0</v>
      </c>
      <c r="H42" s="367">
        <v>0</v>
      </c>
      <c r="I42" s="367">
        <v>0</v>
      </c>
      <c r="J42" s="367">
        <v>0</v>
      </c>
      <c r="K42" s="367">
        <v>0</v>
      </c>
      <c r="L42" s="367">
        <v>0</v>
      </c>
      <c r="M42" s="367">
        <v>0</v>
      </c>
      <c r="N42" s="367">
        <v>0</v>
      </c>
      <c r="O42" s="367">
        <v>0</v>
      </c>
      <c r="P42" s="367">
        <v>0</v>
      </c>
      <c r="Q42" s="367">
        <v>0</v>
      </c>
      <c r="R42" s="367">
        <v>0</v>
      </c>
      <c r="S42" s="367">
        <v>0</v>
      </c>
      <c r="T42" s="367">
        <v>0</v>
      </c>
      <c r="U42" s="367">
        <v>0</v>
      </c>
      <c r="V42" s="367">
        <v>0</v>
      </c>
      <c r="W42" s="367">
        <v>0</v>
      </c>
      <c r="X42" s="367">
        <v>0</v>
      </c>
      <c r="Y42" s="367">
        <v>0</v>
      </c>
      <c r="Z42" s="367">
        <v>0</v>
      </c>
      <c r="AA42" s="367">
        <v>0</v>
      </c>
      <c r="AB42" s="365">
        <f t="shared" si="2"/>
        <v>0</v>
      </c>
      <c r="AC42" s="365">
        <v>0</v>
      </c>
    </row>
    <row r="43" spans="1:29" s="343" customFormat="1" x14ac:dyDescent="0.25">
      <c r="A43" s="83" t="s">
        <v>62</v>
      </c>
      <c r="B43" s="82" t="s">
        <v>157</v>
      </c>
      <c r="C43" s="365">
        <v>0</v>
      </c>
      <c r="D43" s="365">
        <v>0</v>
      </c>
      <c r="E43" s="365">
        <v>0</v>
      </c>
      <c r="F43" s="365">
        <v>0</v>
      </c>
      <c r="G43" s="365">
        <v>0</v>
      </c>
      <c r="H43" s="365">
        <v>0</v>
      </c>
      <c r="I43" s="365">
        <v>0</v>
      </c>
      <c r="J43" s="365">
        <v>0</v>
      </c>
      <c r="K43" s="365">
        <v>0</v>
      </c>
      <c r="L43" s="365">
        <v>0</v>
      </c>
      <c r="M43" s="365">
        <v>0</v>
      </c>
      <c r="N43" s="365">
        <v>0</v>
      </c>
      <c r="O43" s="365">
        <v>0</v>
      </c>
      <c r="P43" s="365">
        <v>0</v>
      </c>
      <c r="Q43" s="365">
        <v>0</v>
      </c>
      <c r="R43" s="365">
        <v>0</v>
      </c>
      <c r="S43" s="365">
        <v>0</v>
      </c>
      <c r="T43" s="365">
        <v>0</v>
      </c>
      <c r="U43" s="365">
        <v>0</v>
      </c>
      <c r="V43" s="365">
        <v>0</v>
      </c>
      <c r="W43" s="365">
        <v>0</v>
      </c>
      <c r="X43" s="365">
        <v>0</v>
      </c>
      <c r="Y43" s="365">
        <v>0</v>
      </c>
      <c r="Z43" s="365">
        <v>0</v>
      </c>
      <c r="AA43" s="365">
        <v>0</v>
      </c>
      <c r="AB43" s="365">
        <f t="shared" si="2"/>
        <v>0</v>
      </c>
      <c r="AC43" s="368">
        <v>0</v>
      </c>
    </row>
    <row r="44" spans="1:29" x14ac:dyDescent="0.25">
      <c r="A44" s="80" t="s">
        <v>156</v>
      </c>
      <c r="B44" s="56" t="s">
        <v>155</v>
      </c>
      <c r="C44" s="365">
        <v>0</v>
      </c>
      <c r="D44" s="365">
        <v>0</v>
      </c>
      <c r="E44" s="367">
        <v>0</v>
      </c>
      <c r="F44" s="367">
        <v>0</v>
      </c>
      <c r="G44" s="367">
        <v>0</v>
      </c>
      <c r="H44" s="367">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5">
        <f t="shared" si="2"/>
        <v>0</v>
      </c>
      <c r="AC44" s="365">
        <v>0</v>
      </c>
    </row>
    <row r="45" spans="1:29" x14ac:dyDescent="0.25">
      <c r="A45" s="80" t="s">
        <v>154</v>
      </c>
      <c r="B45" s="56" t="s">
        <v>153</v>
      </c>
      <c r="C45" s="365">
        <v>1.26</v>
      </c>
      <c r="D45" s="365">
        <v>0</v>
      </c>
      <c r="E45" s="367">
        <v>0</v>
      </c>
      <c r="F45" s="367">
        <v>0</v>
      </c>
      <c r="G45" s="367">
        <v>0</v>
      </c>
      <c r="H45" s="367">
        <v>0</v>
      </c>
      <c r="I45" s="367">
        <v>0</v>
      </c>
      <c r="J45" s="367">
        <v>0</v>
      </c>
      <c r="K45" s="367">
        <v>0</v>
      </c>
      <c r="L45" s="367">
        <v>0</v>
      </c>
      <c r="M45" s="367">
        <v>0</v>
      </c>
      <c r="N45" s="367">
        <v>0</v>
      </c>
      <c r="O45" s="367">
        <v>0</v>
      </c>
      <c r="P45" s="367">
        <v>0</v>
      </c>
      <c r="Q45" s="367">
        <v>0</v>
      </c>
      <c r="R45" s="367">
        <v>0</v>
      </c>
      <c r="S45" s="367">
        <v>0</v>
      </c>
      <c r="T45" s="367">
        <v>0</v>
      </c>
      <c r="U45" s="367">
        <v>0</v>
      </c>
      <c r="V45" s="367">
        <v>0</v>
      </c>
      <c r="W45" s="367">
        <v>0</v>
      </c>
      <c r="X45" s="367">
        <v>0</v>
      </c>
      <c r="Y45" s="367">
        <v>0</v>
      </c>
      <c r="Z45" s="367">
        <v>0</v>
      </c>
      <c r="AA45" s="367">
        <v>0</v>
      </c>
      <c r="AB45" s="365">
        <f t="shared" si="2"/>
        <v>0</v>
      </c>
      <c r="AC45" s="365">
        <v>0</v>
      </c>
    </row>
    <row r="46" spans="1:29" x14ac:dyDescent="0.25">
      <c r="A46" s="80" t="s">
        <v>152</v>
      </c>
      <c r="B46" s="56" t="s">
        <v>151</v>
      </c>
      <c r="C46" s="365">
        <v>0</v>
      </c>
      <c r="D46" s="365">
        <v>0</v>
      </c>
      <c r="E46" s="367">
        <v>0</v>
      </c>
      <c r="F46" s="367">
        <v>0</v>
      </c>
      <c r="G46" s="367">
        <v>0</v>
      </c>
      <c r="H46" s="367">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5">
        <f t="shared" si="2"/>
        <v>0</v>
      </c>
      <c r="AC46" s="365">
        <v>0</v>
      </c>
    </row>
    <row r="47" spans="1:29" ht="31.5" x14ac:dyDescent="0.25">
      <c r="A47" s="80" t="s">
        <v>150</v>
      </c>
      <c r="B47" s="56" t="s">
        <v>149</v>
      </c>
      <c r="C47" s="365">
        <v>0</v>
      </c>
      <c r="D47" s="365">
        <v>0</v>
      </c>
      <c r="E47" s="367">
        <v>0</v>
      </c>
      <c r="F47" s="367">
        <v>0</v>
      </c>
      <c r="G47" s="367">
        <v>0</v>
      </c>
      <c r="H47" s="367">
        <v>0</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5">
        <f t="shared" si="2"/>
        <v>0</v>
      </c>
      <c r="AC47" s="365">
        <v>0</v>
      </c>
    </row>
    <row r="48" spans="1:29" ht="31.5" x14ac:dyDescent="0.25">
      <c r="A48" s="80" t="s">
        <v>148</v>
      </c>
      <c r="B48" s="56" t="s">
        <v>147</v>
      </c>
      <c r="C48" s="365">
        <v>0</v>
      </c>
      <c r="D48" s="365">
        <v>0</v>
      </c>
      <c r="E48" s="367">
        <v>0</v>
      </c>
      <c r="F48" s="367">
        <v>0</v>
      </c>
      <c r="G48" s="367">
        <v>0</v>
      </c>
      <c r="H48" s="367">
        <v>0</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5">
        <f t="shared" si="2"/>
        <v>0</v>
      </c>
      <c r="AC48" s="365">
        <v>0</v>
      </c>
    </row>
    <row r="49" spans="1:29" x14ac:dyDescent="0.25">
      <c r="A49" s="80" t="s">
        <v>146</v>
      </c>
      <c r="B49" s="56" t="s">
        <v>145</v>
      </c>
      <c r="C49" s="365">
        <v>2.992</v>
      </c>
      <c r="D49" s="365">
        <v>0</v>
      </c>
      <c r="E49" s="367">
        <v>0</v>
      </c>
      <c r="F49" s="367">
        <v>0</v>
      </c>
      <c r="G49" s="367">
        <v>0</v>
      </c>
      <c r="H49" s="367">
        <v>0</v>
      </c>
      <c r="I49" s="367">
        <v>0</v>
      </c>
      <c r="J49" s="367">
        <v>0</v>
      </c>
      <c r="K49" s="367">
        <v>0</v>
      </c>
      <c r="L49" s="367">
        <v>0</v>
      </c>
      <c r="M49" s="367">
        <v>0</v>
      </c>
      <c r="N49" s="367">
        <v>0</v>
      </c>
      <c r="O49" s="367">
        <v>0</v>
      </c>
      <c r="P49" s="367">
        <v>0</v>
      </c>
      <c r="Q49" s="367">
        <v>0</v>
      </c>
      <c r="R49" s="367">
        <v>0</v>
      </c>
      <c r="S49" s="367">
        <v>0</v>
      </c>
      <c r="T49" s="367">
        <v>0</v>
      </c>
      <c r="U49" s="367">
        <v>0</v>
      </c>
      <c r="V49" s="367">
        <v>0</v>
      </c>
      <c r="W49" s="367">
        <v>0</v>
      </c>
      <c r="X49" s="367">
        <v>0</v>
      </c>
      <c r="Y49" s="367">
        <v>0</v>
      </c>
      <c r="Z49" s="367">
        <v>0</v>
      </c>
      <c r="AA49" s="367">
        <v>0</v>
      </c>
      <c r="AB49" s="365">
        <f t="shared" si="2"/>
        <v>0</v>
      </c>
      <c r="AC49" s="365">
        <v>0</v>
      </c>
    </row>
    <row r="50" spans="1:29" ht="18.75" x14ac:dyDescent="0.25">
      <c r="A50" s="80" t="s">
        <v>144</v>
      </c>
      <c r="B50" s="79" t="s">
        <v>143</v>
      </c>
      <c r="C50" s="365">
        <v>0</v>
      </c>
      <c r="D50" s="365">
        <v>0</v>
      </c>
      <c r="E50" s="367">
        <v>0</v>
      </c>
      <c r="F50" s="367">
        <v>0</v>
      </c>
      <c r="G50" s="367">
        <v>0</v>
      </c>
      <c r="H50" s="367">
        <v>0</v>
      </c>
      <c r="I50" s="367">
        <v>0</v>
      </c>
      <c r="J50" s="367">
        <v>0</v>
      </c>
      <c r="K50" s="367">
        <v>0</v>
      </c>
      <c r="L50" s="367">
        <v>0</v>
      </c>
      <c r="M50" s="367">
        <v>0</v>
      </c>
      <c r="N50" s="367">
        <v>0</v>
      </c>
      <c r="O50" s="367">
        <v>0</v>
      </c>
      <c r="P50" s="367">
        <v>0</v>
      </c>
      <c r="Q50" s="367">
        <v>0</v>
      </c>
      <c r="R50" s="367">
        <v>0</v>
      </c>
      <c r="S50" s="367">
        <v>0</v>
      </c>
      <c r="T50" s="367">
        <v>0</v>
      </c>
      <c r="U50" s="367">
        <v>0</v>
      </c>
      <c r="V50" s="367">
        <v>0</v>
      </c>
      <c r="W50" s="367">
        <v>0</v>
      </c>
      <c r="X50" s="367">
        <v>0</v>
      </c>
      <c r="Y50" s="367">
        <v>0</v>
      </c>
      <c r="Z50" s="367">
        <v>0</v>
      </c>
      <c r="AA50" s="367">
        <v>0</v>
      </c>
      <c r="AB50" s="365">
        <f t="shared" si="2"/>
        <v>0</v>
      </c>
      <c r="AC50" s="365">
        <v>0</v>
      </c>
    </row>
    <row r="51" spans="1:29" s="343" customFormat="1" ht="35.25" customHeight="1" x14ac:dyDescent="0.25">
      <c r="A51" s="83" t="s">
        <v>60</v>
      </c>
      <c r="B51" s="82" t="s">
        <v>142</v>
      </c>
      <c r="C51" s="365">
        <v>0</v>
      </c>
      <c r="D51" s="365">
        <v>0</v>
      </c>
      <c r="E51" s="365">
        <v>0</v>
      </c>
      <c r="F51" s="365">
        <v>0</v>
      </c>
      <c r="G51" s="365">
        <v>0</v>
      </c>
      <c r="H51" s="365">
        <v>0</v>
      </c>
      <c r="I51" s="365">
        <v>0</v>
      </c>
      <c r="J51" s="365">
        <v>0</v>
      </c>
      <c r="K51" s="365">
        <v>0</v>
      </c>
      <c r="L51" s="365">
        <v>0</v>
      </c>
      <c r="M51" s="365">
        <v>0</v>
      </c>
      <c r="N51" s="365">
        <v>0</v>
      </c>
      <c r="O51" s="365">
        <v>0</v>
      </c>
      <c r="P51" s="365">
        <v>0</v>
      </c>
      <c r="Q51" s="365">
        <v>0</v>
      </c>
      <c r="R51" s="365">
        <v>0</v>
      </c>
      <c r="S51" s="365">
        <v>0</v>
      </c>
      <c r="T51" s="365">
        <v>0</v>
      </c>
      <c r="U51" s="365">
        <v>0</v>
      </c>
      <c r="V51" s="365">
        <v>0</v>
      </c>
      <c r="W51" s="365">
        <v>0</v>
      </c>
      <c r="X51" s="365">
        <v>0</v>
      </c>
      <c r="Y51" s="365">
        <v>0</v>
      </c>
      <c r="Z51" s="365">
        <v>0</v>
      </c>
      <c r="AA51" s="365">
        <v>0</v>
      </c>
      <c r="AB51" s="365">
        <f t="shared" si="2"/>
        <v>0</v>
      </c>
      <c r="AC51" s="368">
        <v>0</v>
      </c>
    </row>
    <row r="52" spans="1:29" x14ac:dyDescent="0.25">
      <c r="A52" s="80" t="s">
        <v>141</v>
      </c>
      <c r="B52" s="56" t="s">
        <v>140</v>
      </c>
      <c r="C52" s="365">
        <v>0</v>
      </c>
      <c r="D52" s="365">
        <v>0</v>
      </c>
      <c r="E52" s="367">
        <v>0</v>
      </c>
      <c r="F52" s="367">
        <v>0</v>
      </c>
      <c r="G52" s="367">
        <v>0</v>
      </c>
      <c r="H52" s="367">
        <v>0</v>
      </c>
      <c r="I52" s="367">
        <v>0</v>
      </c>
      <c r="J52" s="367">
        <v>0</v>
      </c>
      <c r="K52" s="367">
        <v>0</v>
      </c>
      <c r="L52" s="367">
        <v>0</v>
      </c>
      <c r="M52" s="367">
        <v>0</v>
      </c>
      <c r="N52" s="367">
        <v>0</v>
      </c>
      <c r="O52" s="367">
        <v>0</v>
      </c>
      <c r="P52" s="367">
        <v>0</v>
      </c>
      <c r="Q52" s="367">
        <v>0</v>
      </c>
      <c r="R52" s="367">
        <v>0</v>
      </c>
      <c r="S52" s="367">
        <v>0</v>
      </c>
      <c r="T52" s="367">
        <v>0</v>
      </c>
      <c r="U52" s="367">
        <v>0</v>
      </c>
      <c r="V52" s="367">
        <v>0</v>
      </c>
      <c r="W52" s="367">
        <v>0</v>
      </c>
      <c r="X52" s="367">
        <v>0</v>
      </c>
      <c r="Y52" s="367">
        <v>0</v>
      </c>
      <c r="Z52" s="367">
        <v>0</v>
      </c>
      <c r="AA52" s="367">
        <v>0</v>
      </c>
      <c r="AB52" s="365">
        <f t="shared" si="2"/>
        <v>0</v>
      </c>
      <c r="AC52" s="365">
        <v>0</v>
      </c>
    </row>
    <row r="53" spans="1:29" x14ac:dyDescent="0.25">
      <c r="A53" s="80" t="s">
        <v>139</v>
      </c>
      <c r="B53" s="56" t="s">
        <v>133</v>
      </c>
      <c r="C53" s="365">
        <v>0</v>
      </c>
      <c r="D53" s="365">
        <v>0</v>
      </c>
      <c r="E53" s="367">
        <v>0</v>
      </c>
      <c r="F53" s="367">
        <v>0</v>
      </c>
      <c r="G53" s="367">
        <v>0</v>
      </c>
      <c r="H53" s="367">
        <v>0</v>
      </c>
      <c r="I53" s="367">
        <v>0</v>
      </c>
      <c r="J53" s="367">
        <v>0</v>
      </c>
      <c r="K53" s="367">
        <v>0</v>
      </c>
      <c r="L53" s="367">
        <v>0</v>
      </c>
      <c r="M53" s="367">
        <v>0</v>
      </c>
      <c r="N53" s="367">
        <v>0</v>
      </c>
      <c r="O53" s="367">
        <v>0</v>
      </c>
      <c r="P53" s="367">
        <v>0</v>
      </c>
      <c r="Q53" s="367">
        <v>0</v>
      </c>
      <c r="R53" s="367">
        <v>0</v>
      </c>
      <c r="S53" s="367">
        <v>0</v>
      </c>
      <c r="T53" s="367">
        <v>0</v>
      </c>
      <c r="U53" s="367">
        <v>0</v>
      </c>
      <c r="V53" s="367">
        <v>0</v>
      </c>
      <c r="W53" s="367">
        <v>0</v>
      </c>
      <c r="X53" s="367">
        <v>0</v>
      </c>
      <c r="Y53" s="367">
        <v>0</v>
      </c>
      <c r="Z53" s="367">
        <v>0</v>
      </c>
      <c r="AA53" s="367">
        <v>0</v>
      </c>
      <c r="AB53" s="365">
        <f t="shared" si="2"/>
        <v>0</v>
      </c>
      <c r="AC53" s="365">
        <v>0</v>
      </c>
    </row>
    <row r="54" spans="1:29" x14ac:dyDescent="0.25">
      <c r="A54" s="80" t="s">
        <v>138</v>
      </c>
      <c r="B54" s="79" t="s">
        <v>132</v>
      </c>
      <c r="C54" s="365">
        <v>1.26</v>
      </c>
      <c r="D54" s="365">
        <v>0</v>
      </c>
      <c r="E54" s="367">
        <v>0</v>
      </c>
      <c r="F54" s="367">
        <v>0</v>
      </c>
      <c r="G54" s="367">
        <v>0</v>
      </c>
      <c r="H54" s="367">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5">
        <f t="shared" si="2"/>
        <v>0</v>
      </c>
      <c r="AC54" s="365">
        <v>0</v>
      </c>
    </row>
    <row r="55" spans="1:29" x14ac:dyDescent="0.25">
      <c r="A55" s="80" t="s">
        <v>137</v>
      </c>
      <c r="B55" s="79" t="s">
        <v>131</v>
      </c>
      <c r="C55" s="365">
        <v>0</v>
      </c>
      <c r="D55" s="365">
        <v>0</v>
      </c>
      <c r="E55" s="367">
        <v>0</v>
      </c>
      <c r="F55" s="367">
        <v>0</v>
      </c>
      <c r="G55" s="367">
        <v>0</v>
      </c>
      <c r="H55" s="367">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5">
        <f t="shared" si="2"/>
        <v>0</v>
      </c>
      <c r="AC55" s="365">
        <v>0</v>
      </c>
    </row>
    <row r="56" spans="1:29" x14ac:dyDescent="0.25">
      <c r="A56" s="80" t="s">
        <v>136</v>
      </c>
      <c r="B56" s="79" t="s">
        <v>130</v>
      </c>
      <c r="C56" s="365">
        <v>2.992</v>
      </c>
      <c r="D56" s="365">
        <v>0</v>
      </c>
      <c r="E56" s="367">
        <v>0</v>
      </c>
      <c r="F56" s="367">
        <v>0</v>
      </c>
      <c r="G56" s="367">
        <v>0</v>
      </c>
      <c r="H56" s="367">
        <v>0</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5">
        <f t="shared" si="2"/>
        <v>0</v>
      </c>
      <c r="AC56" s="365">
        <v>0</v>
      </c>
    </row>
    <row r="57" spans="1:29" ht="18.75" x14ac:dyDescent="0.25">
      <c r="A57" s="80" t="s">
        <v>135</v>
      </c>
      <c r="B57" s="79" t="s">
        <v>129</v>
      </c>
      <c r="C57" s="365">
        <v>0</v>
      </c>
      <c r="D57" s="365">
        <v>0</v>
      </c>
      <c r="E57" s="367">
        <v>0</v>
      </c>
      <c r="F57" s="367">
        <v>0</v>
      </c>
      <c r="G57" s="367">
        <v>0</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5">
        <f t="shared" si="2"/>
        <v>0</v>
      </c>
      <c r="AC57" s="365">
        <v>0</v>
      </c>
    </row>
    <row r="58" spans="1:29" s="343" customFormat="1" ht="36.75" customHeight="1" x14ac:dyDescent="0.25">
      <c r="A58" s="83" t="s">
        <v>59</v>
      </c>
      <c r="B58" s="105" t="s">
        <v>235</v>
      </c>
      <c r="C58" s="365">
        <v>0</v>
      </c>
      <c r="D58" s="365">
        <v>0</v>
      </c>
      <c r="E58" s="365">
        <v>0</v>
      </c>
      <c r="F58" s="365">
        <v>0</v>
      </c>
      <c r="G58" s="365">
        <v>0</v>
      </c>
      <c r="H58" s="365">
        <v>0</v>
      </c>
      <c r="I58" s="365">
        <v>0</v>
      </c>
      <c r="J58" s="365">
        <v>0</v>
      </c>
      <c r="K58" s="365">
        <v>0</v>
      </c>
      <c r="L58" s="365">
        <v>0</v>
      </c>
      <c r="M58" s="365">
        <v>0</v>
      </c>
      <c r="N58" s="365">
        <v>0</v>
      </c>
      <c r="O58" s="365">
        <v>0</v>
      </c>
      <c r="P58" s="365">
        <v>0</v>
      </c>
      <c r="Q58" s="365">
        <v>0</v>
      </c>
      <c r="R58" s="365">
        <v>0</v>
      </c>
      <c r="S58" s="365">
        <v>0</v>
      </c>
      <c r="T58" s="365">
        <v>0</v>
      </c>
      <c r="U58" s="365">
        <v>0</v>
      </c>
      <c r="V58" s="365">
        <v>0</v>
      </c>
      <c r="W58" s="365">
        <v>0</v>
      </c>
      <c r="X58" s="365">
        <v>0</v>
      </c>
      <c r="Y58" s="365">
        <v>0</v>
      </c>
      <c r="Z58" s="365">
        <v>0</v>
      </c>
      <c r="AA58" s="365">
        <v>0</v>
      </c>
      <c r="AB58" s="365">
        <f t="shared" si="2"/>
        <v>0</v>
      </c>
      <c r="AC58" s="368">
        <v>0</v>
      </c>
    </row>
    <row r="59" spans="1:29" s="343" customFormat="1" x14ac:dyDescent="0.25">
      <c r="A59" s="83" t="s">
        <v>57</v>
      </c>
      <c r="B59" s="82" t="s">
        <v>134</v>
      </c>
      <c r="C59" s="365">
        <v>0</v>
      </c>
      <c r="D59" s="365">
        <v>0</v>
      </c>
      <c r="E59" s="365">
        <v>0</v>
      </c>
      <c r="F59" s="365">
        <v>0</v>
      </c>
      <c r="G59" s="365">
        <v>0</v>
      </c>
      <c r="H59" s="365">
        <v>0</v>
      </c>
      <c r="I59" s="365">
        <v>0</v>
      </c>
      <c r="J59" s="365">
        <v>0</v>
      </c>
      <c r="K59" s="365">
        <v>0</v>
      </c>
      <c r="L59" s="365">
        <v>0</v>
      </c>
      <c r="M59" s="365">
        <v>0</v>
      </c>
      <c r="N59" s="365">
        <v>0</v>
      </c>
      <c r="O59" s="365">
        <v>0</v>
      </c>
      <c r="P59" s="365">
        <v>0</v>
      </c>
      <c r="Q59" s="365">
        <v>0</v>
      </c>
      <c r="R59" s="365">
        <v>0</v>
      </c>
      <c r="S59" s="365">
        <v>0</v>
      </c>
      <c r="T59" s="365">
        <v>0</v>
      </c>
      <c r="U59" s="365">
        <v>0</v>
      </c>
      <c r="V59" s="365">
        <v>0</v>
      </c>
      <c r="W59" s="365">
        <v>0</v>
      </c>
      <c r="X59" s="365">
        <v>0</v>
      </c>
      <c r="Y59" s="365">
        <v>0</v>
      </c>
      <c r="Z59" s="365">
        <v>0</v>
      </c>
      <c r="AA59" s="365">
        <v>0</v>
      </c>
      <c r="AB59" s="365">
        <f t="shared" si="2"/>
        <v>0</v>
      </c>
      <c r="AC59" s="368">
        <v>0</v>
      </c>
    </row>
    <row r="60" spans="1:29" x14ac:dyDescent="0.25">
      <c r="A60" s="80" t="s">
        <v>229</v>
      </c>
      <c r="B60" s="81" t="s">
        <v>155</v>
      </c>
      <c r="C60" s="365">
        <v>0</v>
      </c>
      <c r="D60" s="365">
        <v>0</v>
      </c>
      <c r="E60" s="367">
        <v>0</v>
      </c>
      <c r="F60" s="367">
        <v>0</v>
      </c>
      <c r="G60" s="367">
        <v>0</v>
      </c>
      <c r="H60" s="367">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5">
        <f t="shared" si="2"/>
        <v>0</v>
      </c>
      <c r="AC60" s="365">
        <v>0</v>
      </c>
    </row>
    <row r="61" spans="1:29" x14ac:dyDescent="0.25">
      <c r="A61" s="80" t="s">
        <v>230</v>
      </c>
      <c r="B61" s="81" t="s">
        <v>153</v>
      </c>
      <c r="C61" s="365">
        <v>0</v>
      </c>
      <c r="D61" s="365">
        <v>0</v>
      </c>
      <c r="E61" s="367">
        <v>0</v>
      </c>
      <c r="F61" s="367">
        <v>0</v>
      </c>
      <c r="G61" s="367">
        <v>0</v>
      </c>
      <c r="H61" s="367">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5">
        <f t="shared" si="2"/>
        <v>0</v>
      </c>
      <c r="AC61" s="365">
        <v>0</v>
      </c>
    </row>
    <row r="62" spans="1:29" x14ac:dyDescent="0.25">
      <c r="A62" s="80" t="s">
        <v>231</v>
      </c>
      <c r="B62" s="81" t="s">
        <v>151</v>
      </c>
      <c r="C62" s="365">
        <v>0</v>
      </c>
      <c r="D62" s="365">
        <v>0</v>
      </c>
      <c r="E62" s="367">
        <v>0</v>
      </c>
      <c r="F62" s="367">
        <v>0</v>
      </c>
      <c r="G62" s="367">
        <v>0</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5">
        <f t="shared" si="2"/>
        <v>0</v>
      </c>
      <c r="AC62" s="365">
        <v>0</v>
      </c>
    </row>
    <row r="63" spans="1:29" x14ac:dyDescent="0.25">
      <c r="A63" s="80" t="s">
        <v>232</v>
      </c>
      <c r="B63" s="81" t="s">
        <v>234</v>
      </c>
      <c r="C63" s="365">
        <v>0</v>
      </c>
      <c r="D63" s="365">
        <v>0</v>
      </c>
      <c r="E63" s="367">
        <v>0</v>
      </c>
      <c r="F63" s="367">
        <v>0</v>
      </c>
      <c r="G63" s="367">
        <v>0</v>
      </c>
      <c r="H63" s="367">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5">
        <f t="shared" si="2"/>
        <v>0</v>
      </c>
      <c r="AC63" s="365">
        <v>0</v>
      </c>
    </row>
    <row r="64" spans="1:29" ht="18.75" x14ac:dyDescent="0.25">
      <c r="A64" s="80" t="s">
        <v>233</v>
      </c>
      <c r="B64" s="79" t="s">
        <v>129</v>
      </c>
      <c r="C64" s="365">
        <v>0</v>
      </c>
      <c r="D64" s="365">
        <v>0</v>
      </c>
      <c r="E64" s="367">
        <v>0</v>
      </c>
      <c r="F64" s="367">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5">
        <f t="shared" si="2"/>
        <v>0</v>
      </c>
      <c r="AC64" s="365">
        <v>0</v>
      </c>
    </row>
    <row r="65" spans="1:28" x14ac:dyDescent="0.25">
      <c r="A65" s="76"/>
      <c r="B65" s="77"/>
      <c r="C65" s="77"/>
      <c r="D65" s="346"/>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6"/>
      <c r="C66" s="446"/>
      <c r="D66" s="446"/>
      <c r="E66" s="446"/>
      <c r="F66" s="446"/>
      <c r="G66" s="446"/>
      <c r="H66" s="446"/>
      <c r="I66" s="446"/>
      <c r="J66" s="342"/>
      <c r="K66" s="342"/>
      <c r="L66" s="75"/>
      <c r="M66" s="75"/>
      <c r="N66" s="75"/>
      <c r="O66" s="75"/>
      <c r="P66" s="75"/>
      <c r="Q66" s="75"/>
      <c r="R66" s="75"/>
      <c r="S66" s="75"/>
      <c r="T66" s="75"/>
      <c r="U66" s="75"/>
      <c r="V66" s="75"/>
      <c r="W66" s="75"/>
      <c r="X66" s="75"/>
      <c r="Y66" s="75"/>
      <c r="Z66" s="75"/>
      <c r="AA66" s="75"/>
      <c r="AB66" s="75"/>
    </row>
    <row r="67" spans="1:28" x14ac:dyDescent="0.25">
      <c r="A67" s="70"/>
      <c r="B67" s="70"/>
      <c r="C67" s="70"/>
      <c r="D67" s="344"/>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5"/>
      <c r="C68" s="445"/>
      <c r="D68" s="445"/>
      <c r="E68" s="445"/>
      <c r="F68" s="445"/>
      <c r="G68" s="445"/>
      <c r="H68" s="445"/>
      <c r="I68" s="445"/>
      <c r="J68" s="341"/>
      <c r="K68" s="341"/>
      <c r="L68" s="70"/>
      <c r="M68" s="70"/>
      <c r="N68" s="70"/>
      <c r="O68" s="70"/>
      <c r="P68" s="70"/>
      <c r="Q68" s="70"/>
      <c r="R68" s="70"/>
      <c r="S68" s="70"/>
      <c r="T68" s="70"/>
      <c r="U68" s="70"/>
      <c r="V68" s="70"/>
      <c r="W68" s="70"/>
      <c r="X68" s="70"/>
      <c r="Y68" s="70"/>
      <c r="Z68" s="70"/>
      <c r="AA68" s="70"/>
      <c r="AB68" s="70"/>
    </row>
    <row r="69" spans="1:28" x14ac:dyDescent="0.25">
      <c r="A69" s="70"/>
      <c r="B69" s="70"/>
      <c r="C69" s="70"/>
      <c r="D69" s="344"/>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6"/>
      <c r="C70" s="446"/>
      <c r="D70" s="446"/>
      <c r="E70" s="446"/>
      <c r="F70" s="446"/>
      <c r="G70" s="446"/>
      <c r="H70" s="446"/>
      <c r="I70" s="446"/>
      <c r="J70" s="342"/>
      <c r="K70" s="342"/>
      <c r="L70" s="70"/>
      <c r="M70" s="70"/>
      <c r="N70" s="70"/>
      <c r="O70" s="70"/>
      <c r="P70" s="70"/>
      <c r="Q70" s="70"/>
      <c r="R70" s="70"/>
      <c r="S70" s="70"/>
      <c r="T70" s="70"/>
      <c r="U70" s="70"/>
      <c r="V70" s="70"/>
      <c r="W70" s="70"/>
      <c r="X70" s="70"/>
      <c r="Y70" s="70"/>
      <c r="Z70" s="70"/>
      <c r="AA70" s="70"/>
      <c r="AB70" s="70"/>
    </row>
    <row r="71" spans="1:28" x14ac:dyDescent="0.25">
      <c r="A71" s="70"/>
      <c r="B71" s="74"/>
      <c r="C71" s="74"/>
      <c r="D71" s="347"/>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6"/>
      <c r="C72" s="446"/>
      <c r="D72" s="446"/>
      <c r="E72" s="446"/>
      <c r="F72" s="446"/>
      <c r="G72" s="446"/>
      <c r="H72" s="446"/>
      <c r="I72" s="446"/>
      <c r="J72" s="186"/>
      <c r="K72" s="186"/>
      <c r="L72" s="70"/>
      <c r="M72" s="70"/>
      <c r="N72" s="73"/>
      <c r="O72" s="70"/>
      <c r="P72" s="70"/>
      <c r="Q72" s="70"/>
      <c r="R72" s="70"/>
      <c r="S72" s="70"/>
      <c r="T72" s="70"/>
      <c r="U72" s="70"/>
      <c r="V72" s="70"/>
      <c r="W72" s="70"/>
      <c r="X72" s="70"/>
      <c r="Y72" s="70"/>
      <c r="Z72" s="70"/>
      <c r="AA72" s="70"/>
      <c r="AB72" s="70"/>
    </row>
    <row r="73" spans="1:28" ht="32.25" customHeight="1" x14ac:dyDescent="0.25">
      <c r="A73" s="70"/>
      <c r="B73" s="445"/>
      <c r="C73" s="445"/>
      <c r="D73" s="445"/>
      <c r="E73" s="445"/>
      <c r="F73" s="445"/>
      <c r="G73" s="445"/>
      <c r="H73" s="445"/>
      <c r="I73" s="445"/>
      <c r="J73" s="187"/>
      <c r="K73" s="187"/>
      <c r="L73" s="70"/>
      <c r="M73" s="70"/>
      <c r="N73" s="70"/>
      <c r="O73" s="70"/>
      <c r="P73" s="70"/>
      <c r="Q73" s="70"/>
      <c r="R73" s="70"/>
      <c r="S73" s="70"/>
      <c r="T73" s="70"/>
      <c r="U73" s="70"/>
      <c r="V73" s="70"/>
      <c r="W73" s="70"/>
      <c r="X73" s="70"/>
      <c r="Y73" s="70"/>
      <c r="Z73" s="70"/>
      <c r="AA73" s="70"/>
      <c r="AB73" s="70"/>
    </row>
    <row r="74" spans="1:28" ht="51.75" customHeight="1" x14ac:dyDescent="0.25">
      <c r="A74" s="70"/>
      <c r="B74" s="446"/>
      <c r="C74" s="446"/>
      <c r="D74" s="446"/>
      <c r="E74" s="446"/>
      <c r="F74" s="446"/>
      <c r="G74" s="446"/>
      <c r="H74" s="446"/>
      <c r="I74" s="446"/>
      <c r="J74" s="186"/>
      <c r="K74" s="186"/>
      <c r="L74" s="70"/>
      <c r="M74" s="70"/>
      <c r="N74" s="70"/>
      <c r="O74" s="70"/>
      <c r="P74" s="70"/>
      <c r="Q74" s="70"/>
      <c r="R74" s="70"/>
      <c r="S74" s="70"/>
      <c r="T74" s="70"/>
      <c r="U74" s="70"/>
      <c r="V74" s="70"/>
      <c r="W74" s="70"/>
      <c r="X74" s="70"/>
      <c r="Y74" s="70"/>
      <c r="Z74" s="70"/>
      <c r="AA74" s="70"/>
      <c r="AB74" s="70"/>
    </row>
    <row r="75" spans="1:28" ht="21.75" customHeight="1" x14ac:dyDescent="0.25">
      <c r="A75" s="70"/>
      <c r="B75" s="447"/>
      <c r="C75" s="447"/>
      <c r="D75" s="447"/>
      <c r="E75" s="447"/>
      <c r="F75" s="447"/>
      <c r="G75" s="447"/>
      <c r="H75" s="447"/>
      <c r="I75" s="447"/>
      <c r="J75" s="184"/>
      <c r="K75" s="18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8"/>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4"/>
      <c r="C77" s="444"/>
      <c r="D77" s="444"/>
      <c r="E77" s="444"/>
      <c r="F77" s="444"/>
      <c r="G77" s="444"/>
      <c r="H77" s="444"/>
      <c r="I77" s="444"/>
      <c r="J77" s="185"/>
      <c r="K77" s="185"/>
      <c r="L77" s="70"/>
      <c r="M77" s="70"/>
      <c r="N77" s="70"/>
      <c r="O77" s="70"/>
      <c r="P77" s="70"/>
      <c r="Q77" s="70"/>
      <c r="R77" s="70"/>
      <c r="S77" s="70"/>
      <c r="T77" s="70"/>
      <c r="U77" s="70"/>
      <c r="V77" s="70"/>
      <c r="W77" s="70"/>
      <c r="X77" s="70"/>
      <c r="Y77" s="70"/>
      <c r="Z77" s="70"/>
      <c r="AA77" s="70"/>
      <c r="AB77" s="70"/>
    </row>
    <row r="78" spans="1:28" x14ac:dyDescent="0.25">
      <c r="A78" s="70"/>
      <c r="B78" s="70"/>
      <c r="C78" s="70"/>
      <c r="D78" s="344"/>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4"/>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D24:AC64">
    <cfRule type="cellIs" dxfId="2" priority="3" operator="notEqual">
      <formula>0</formula>
    </cfRule>
  </conditionalFormatting>
  <conditionalFormatting sqref="C24:C27 C30:C64">
    <cfRule type="cellIs" dxfId="1" priority="2" operator="notEqual">
      <formula>0</formula>
    </cfRule>
  </conditionalFormatting>
  <conditionalFormatting sqref="C28: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6" t="s">
        <v>10</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78" t="str">
        <f>'1. паспорт местоположение'!A12:C12</f>
        <v>F_prj_111001_5350</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ht="15.75" x14ac:dyDescent="0.25">
      <c r="A15"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80" t="s">
        <v>521</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71" t="s">
        <v>53</v>
      </c>
      <c r="B22" s="482" t="s">
        <v>25</v>
      </c>
      <c r="C22" s="471" t="s">
        <v>52</v>
      </c>
      <c r="D22" s="471" t="s">
        <v>51</v>
      </c>
      <c r="E22" s="485" t="s">
        <v>532</v>
      </c>
      <c r="F22" s="486"/>
      <c r="G22" s="486"/>
      <c r="H22" s="486"/>
      <c r="I22" s="486"/>
      <c r="J22" s="486"/>
      <c r="K22" s="486"/>
      <c r="L22" s="487"/>
      <c r="M22" s="471" t="s">
        <v>50</v>
      </c>
      <c r="N22" s="471" t="s">
        <v>49</v>
      </c>
      <c r="O22" s="471" t="s">
        <v>48</v>
      </c>
      <c r="P22" s="466" t="s">
        <v>265</v>
      </c>
      <c r="Q22" s="466" t="s">
        <v>47</v>
      </c>
      <c r="R22" s="466" t="s">
        <v>46</v>
      </c>
      <c r="S22" s="466" t="s">
        <v>45</v>
      </c>
      <c r="T22" s="466"/>
      <c r="U22" s="488" t="s">
        <v>44</v>
      </c>
      <c r="V22" s="488" t="s">
        <v>43</v>
      </c>
      <c r="W22" s="466" t="s">
        <v>42</v>
      </c>
      <c r="X22" s="466" t="s">
        <v>41</v>
      </c>
      <c r="Y22" s="466" t="s">
        <v>40</v>
      </c>
      <c r="Z22" s="473"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4" t="s">
        <v>26</v>
      </c>
    </row>
    <row r="23" spans="1:48" s="26" customFormat="1" ht="64.5" customHeight="1" x14ac:dyDescent="0.25">
      <c r="A23" s="481"/>
      <c r="B23" s="483"/>
      <c r="C23" s="481"/>
      <c r="D23" s="481"/>
      <c r="E23" s="476" t="s">
        <v>24</v>
      </c>
      <c r="F23" s="467" t="s">
        <v>133</v>
      </c>
      <c r="G23" s="467" t="s">
        <v>132</v>
      </c>
      <c r="H23" s="467" t="s">
        <v>131</v>
      </c>
      <c r="I23" s="469" t="s">
        <v>442</v>
      </c>
      <c r="J23" s="469" t="s">
        <v>443</v>
      </c>
      <c r="K23" s="469" t="s">
        <v>444</v>
      </c>
      <c r="L23" s="467" t="s">
        <v>81</v>
      </c>
      <c r="M23" s="481"/>
      <c r="N23" s="481"/>
      <c r="O23" s="481"/>
      <c r="P23" s="466"/>
      <c r="Q23" s="466"/>
      <c r="R23" s="466"/>
      <c r="S23" s="478" t="s">
        <v>3</v>
      </c>
      <c r="T23" s="478" t="s">
        <v>12</v>
      </c>
      <c r="U23" s="488"/>
      <c r="V23" s="488"/>
      <c r="W23" s="466"/>
      <c r="X23" s="466"/>
      <c r="Y23" s="466"/>
      <c r="Z23" s="466"/>
      <c r="AA23" s="466"/>
      <c r="AB23" s="466"/>
      <c r="AC23" s="466"/>
      <c r="AD23" s="466"/>
      <c r="AE23" s="466"/>
      <c r="AF23" s="466" t="s">
        <v>23</v>
      </c>
      <c r="AG23" s="466"/>
      <c r="AH23" s="466" t="s">
        <v>22</v>
      </c>
      <c r="AI23" s="466"/>
      <c r="AJ23" s="471" t="s">
        <v>21</v>
      </c>
      <c r="AK23" s="471" t="s">
        <v>20</v>
      </c>
      <c r="AL23" s="471" t="s">
        <v>19</v>
      </c>
      <c r="AM23" s="471" t="s">
        <v>18</v>
      </c>
      <c r="AN23" s="471" t="s">
        <v>17</v>
      </c>
      <c r="AO23" s="471" t="s">
        <v>16</v>
      </c>
      <c r="AP23" s="471" t="s">
        <v>15</v>
      </c>
      <c r="AQ23" s="489" t="s">
        <v>12</v>
      </c>
      <c r="AR23" s="466"/>
      <c r="AS23" s="466"/>
      <c r="AT23" s="466"/>
      <c r="AU23" s="466"/>
      <c r="AV23" s="475"/>
    </row>
    <row r="24" spans="1:48" s="26"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60" t="s">
        <v>14</v>
      </c>
      <c r="AG24" s="160" t="s">
        <v>13</v>
      </c>
      <c r="AH24" s="161" t="s">
        <v>3</v>
      </c>
      <c r="AI24" s="161" t="s">
        <v>12</v>
      </c>
      <c r="AJ24" s="472"/>
      <c r="AK24" s="472"/>
      <c r="AL24" s="472"/>
      <c r="AM24" s="472"/>
      <c r="AN24" s="472"/>
      <c r="AO24" s="472"/>
      <c r="AP24" s="472"/>
      <c r="AQ24" s="490"/>
      <c r="AR24" s="466"/>
      <c r="AS24" s="466"/>
      <c r="AT24" s="466"/>
      <c r="AU24" s="466"/>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605</v>
      </c>
      <c r="E26" s="23"/>
      <c r="F26" s="23"/>
      <c r="G26" s="23" t="s">
        <v>642</v>
      </c>
      <c r="H26" s="23"/>
      <c r="I26" s="23"/>
      <c r="J26" s="23"/>
      <c r="K26" s="23" t="s">
        <v>643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14" zoomScale="80" zoomScaleNormal="90" zoomScaleSheetLayoutView="80" workbookViewId="0">
      <selection activeCell="B40" sqref="B40"/>
    </sheetView>
  </sheetViews>
  <sheetFormatPr defaultRowHeight="15.75" x14ac:dyDescent="0.25"/>
  <cols>
    <col min="1" max="2" width="66.140625" style="130" customWidth="1"/>
    <col min="3" max="3" width="8.85546875"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1" t="str">
        <f>'[4]1. паспорт местоположение'!A5:C5</f>
        <v>Год раскрытия информации: 2016 год</v>
      </c>
      <c r="B5" s="491"/>
      <c r="C5" s="89"/>
      <c r="D5" s="89"/>
      <c r="E5" s="89"/>
      <c r="F5" s="89"/>
      <c r="G5" s="89"/>
      <c r="H5" s="89"/>
    </row>
    <row r="6" spans="1:8" ht="18.75" x14ac:dyDescent="0.3">
      <c r="A6" s="353"/>
      <c r="B6" s="353"/>
      <c r="C6" s="353"/>
      <c r="D6" s="353"/>
      <c r="E6" s="353"/>
      <c r="F6" s="353"/>
      <c r="G6" s="353"/>
      <c r="H6" s="353"/>
    </row>
    <row r="7" spans="1:8" ht="18.75" x14ac:dyDescent="0.25">
      <c r="A7" s="376" t="s">
        <v>10</v>
      </c>
      <c r="B7" s="376"/>
      <c r="C7" s="166"/>
      <c r="D7" s="166"/>
      <c r="E7" s="166"/>
      <c r="F7" s="166"/>
      <c r="G7" s="166"/>
      <c r="H7" s="166"/>
    </row>
    <row r="8" spans="1:8" ht="18.75" x14ac:dyDescent="0.25">
      <c r="A8" s="166"/>
      <c r="B8" s="166"/>
      <c r="C8" s="166"/>
      <c r="D8" s="166"/>
      <c r="E8" s="166"/>
      <c r="F8" s="166"/>
      <c r="G8" s="166"/>
      <c r="H8" s="166"/>
    </row>
    <row r="9" spans="1:8" x14ac:dyDescent="0.25">
      <c r="A9" s="378" t="str">
        <f>'1. паспорт местоположение'!A9:C9</f>
        <v xml:space="preserve">                         АО "Янтарьэнерго"                         </v>
      </c>
      <c r="B9" s="378"/>
      <c r="C9" s="167"/>
      <c r="D9" s="167"/>
      <c r="E9" s="167"/>
      <c r="F9" s="167"/>
      <c r="G9" s="167"/>
      <c r="H9" s="167"/>
    </row>
    <row r="10" spans="1:8" x14ac:dyDescent="0.25">
      <c r="A10" s="373" t="s">
        <v>9</v>
      </c>
      <c r="B10" s="373"/>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78" t="str">
        <f>'1. паспорт местоположение'!A12:C12</f>
        <v>F_prj_111001_5350</v>
      </c>
      <c r="B12" s="378"/>
      <c r="C12" s="167"/>
      <c r="D12" s="167"/>
      <c r="E12" s="167"/>
      <c r="F12" s="167"/>
      <c r="G12" s="167"/>
      <c r="H12" s="167"/>
    </row>
    <row r="13" spans="1:8" x14ac:dyDescent="0.25">
      <c r="A13" s="373" t="s">
        <v>8</v>
      </c>
      <c r="B13" s="373"/>
      <c r="C13" s="168"/>
      <c r="D13" s="168"/>
      <c r="E13" s="168"/>
      <c r="F13" s="168"/>
      <c r="G13" s="168"/>
      <c r="H13" s="168"/>
    </row>
    <row r="14" spans="1:8" ht="18.75" x14ac:dyDescent="0.25">
      <c r="A14" s="11"/>
      <c r="B14" s="11"/>
      <c r="C14" s="11"/>
      <c r="D14" s="11"/>
      <c r="E14" s="11"/>
      <c r="F14" s="11"/>
      <c r="G14" s="11"/>
      <c r="H14" s="11"/>
    </row>
    <row r="15" spans="1:8" ht="51" customHeight="1" x14ac:dyDescent="0.25">
      <c r="A15"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3"/>
      <c r="C15" s="167"/>
      <c r="D15" s="167"/>
      <c r="E15" s="167"/>
      <c r="F15" s="167"/>
      <c r="G15" s="167"/>
      <c r="H15" s="167"/>
    </row>
    <row r="16" spans="1:8" x14ac:dyDescent="0.25">
      <c r="A16" s="373" t="s">
        <v>7</v>
      </c>
      <c r="B16" s="373"/>
      <c r="C16" s="168"/>
      <c r="D16" s="168"/>
      <c r="E16" s="168"/>
      <c r="F16" s="168"/>
      <c r="G16" s="168"/>
      <c r="H16" s="168"/>
    </row>
    <row r="17" spans="1:2" x14ac:dyDescent="0.25">
      <c r="B17" s="132"/>
    </row>
    <row r="18" spans="1:2" ht="33.75" customHeight="1" x14ac:dyDescent="0.25">
      <c r="A18" s="492" t="s">
        <v>522</v>
      </c>
      <c r="B18" s="493"/>
    </row>
    <row r="19" spans="1:2" x14ac:dyDescent="0.25">
      <c r="B19" s="49"/>
    </row>
    <row r="20" spans="1:2" ht="16.5" thickBot="1" x14ac:dyDescent="0.3">
      <c r="B20" s="133"/>
    </row>
    <row r="21" spans="1:2" ht="71.45" customHeight="1" thickBot="1" x14ac:dyDescent="0.3">
      <c r="A21" s="134" t="s">
        <v>390</v>
      </c>
      <c r="B21" s="135" t="str">
        <f>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row>
    <row r="22" spans="1:2" ht="16.5" thickBot="1" x14ac:dyDescent="0.3">
      <c r="A22" s="134" t="s">
        <v>391</v>
      </c>
      <c r="B22" s="135" t="str">
        <f>'1. паспорт местоположение'!C27</f>
        <v>г. Черняховск</v>
      </c>
    </row>
    <row r="23" spans="1:2" ht="16.5" thickBot="1" x14ac:dyDescent="0.3">
      <c r="A23" s="134" t="s">
        <v>356</v>
      </c>
      <c r="B23" s="136" t="s">
        <v>556</v>
      </c>
    </row>
    <row r="24" spans="1:2" ht="16.5" thickBot="1" x14ac:dyDescent="0.3">
      <c r="A24" s="134" t="s">
        <v>392</v>
      </c>
      <c r="B24" s="136" t="s">
        <v>646</v>
      </c>
    </row>
    <row r="25" spans="1:2" ht="16.5" thickBot="1" x14ac:dyDescent="0.3">
      <c r="A25" s="137" t="s">
        <v>393</v>
      </c>
      <c r="B25" s="135" t="s">
        <v>605</v>
      </c>
    </row>
    <row r="26" spans="1:2" ht="16.5" thickBot="1" x14ac:dyDescent="0.3">
      <c r="A26" s="138" t="s">
        <v>394</v>
      </c>
      <c r="B26" s="140" t="s">
        <v>603</v>
      </c>
    </row>
    <row r="27" spans="1:2" ht="29.25" thickBot="1" x14ac:dyDescent="0.3">
      <c r="A27" s="145" t="s">
        <v>648</v>
      </c>
      <c r="B27" s="334">
        <v>24.58</v>
      </c>
    </row>
    <row r="28" spans="1:2" ht="16.5" thickBot="1" x14ac:dyDescent="0.3">
      <c r="A28" s="140" t="s">
        <v>395</v>
      </c>
      <c r="B28" s="140" t="s">
        <v>647</v>
      </c>
    </row>
    <row r="29" spans="1:2" ht="29.25" thickBot="1" x14ac:dyDescent="0.3">
      <c r="A29" s="146" t="s">
        <v>396</v>
      </c>
      <c r="B29" s="140"/>
    </row>
    <row r="30" spans="1:2" ht="29.25" thickBot="1" x14ac:dyDescent="0.3">
      <c r="A30" s="146" t="s">
        <v>397</v>
      </c>
      <c r="B30" s="338">
        <f>B32+B41+B62</f>
        <v>22.676977999999998</v>
      </c>
    </row>
    <row r="31" spans="1:2" ht="16.5" thickBot="1" x14ac:dyDescent="0.3">
      <c r="A31" s="140" t="s">
        <v>398</v>
      </c>
      <c r="B31" s="140"/>
    </row>
    <row r="32" spans="1:2" ht="29.25" thickBot="1" x14ac:dyDescent="0.3">
      <c r="A32" s="146" t="s">
        <v>399</v>
      </c>
      <c r="B32" s="338">
        <f>B33+B37</f>
        <v>15.576000000000001</v>
      </c>
    </row>
    <row r="33" spans="1:3" s="332" customFormat="1" ht="30.75" thickBot="1" x14ac:dyDescent="0.3">
      <c r="A33" s="331" t="s">
        <v>655</v>
      </c>
      <c r="B33" s="361">
        <v>2.1829999999999998</v>
      </c>
    </row>
    <row r="34" spans="1:3" ht="16.5" thickBot="1" x14ac:dyDescent="0.3">
      <c r="A34" s="140" t="s">
        <v>401</v>
      </c>
      <c r="B34" s="335">
        <f>B33/$B$27</f>
        <v>8.8812042310821807E-2</v>
      </c>
    </row>
    <row r="35" spans="1:3" ht="16.5" thickBot="1" x14ac:dyDescent="0.3">
      <c r="A35" s="140" t="s">
        <v>402</v>
      </c>
      <c r="B35" s="338">
        <v>2.1829999999999998</v>
      </c>
      <c r="C35" s="131">
        <v>1</v>
      </c>
    </row>
    <row r="36" spans="1:3" ht="16.5" thickBot="1" x14ac:dyDescent="0.3">
      <c r="A36" s="140" t="s">
        <v>403</v>
      </c>
      <c r="B36" s="338">
        <v>2.1829999999999998</v>
      </c>
      <c r="C36" s="131">
        <v>2</v>
      </c>
    </row>
    <row r="37" spans="1:3" s="332" customFormat="1" ht="30.75" thickBot="1" x14ac:dyDescent="0.3">
      <c r="A37" s="331" t="s">
        <v>656</v>
      </c>
      <c r="B37" s="361">
        <v>13.393000000000001</v>
      </c>
    </row>
    <row r="38" spans="1:3" ht="16.5" thickBot="1" x14ac:dyDescent="0.3">
      <c r="A38" s="140" t="s">
        <v>401</v>
      </c>
      <c r="B38" s="335">
        <f>B37/$B$27</f>
        <v>0.54487388120423119</v>
      </c>
    </row>
    <row r="39" spans="1:3" ht="16.5" thickBot="1" x14ac:dyDescent="0.3">
      <c r="A39" s="140" t="s">
        <v>402</v>
      </c>
      <c r="B39" s="338">
        <f>13.393-11.993</f>
        <v>1.4000000000000004</v>
      </c>
      <c r="C39" s="131">
        <v>1</v>
      </c>
    </row>
    <row r="40" spans="1:3" ht="16.5" thickBot="1" x14ac:dyDescent="0.3">
      <c r="A40" s="140" t="s">
        <v>403</v>
      </c>
      <c r="B40" s="338">
        <v>13.393000000000001</v>
      </c>
      <c r="C40" s="131">
        <v>2</v>
      </c>
    </row>
    <row r="41" spans="1:3" ht="29.25" thickBot="1" x14ac:dyDescent="0.3">
      <c r="A41" s="146" t="s">
        <v>404</v>
      </c>
      <c r="B41" s="338">
        <f>B42+B46+B50+B54+B58</f>
        <v>5.9909780000000001</v>
      </c>
    </row>
    <row r="42" spans="1:3" s="332" customFormat="1" ht="30.75" thickBot="1" x14ac:dyDescent="0.3">
      <c r="A42" s="331" t="s">
        <v>654</v>
      </c>
      <c r="B42" s="361">
        <v>4.2480000000000002</v>
      </c>
    </row>
    <row r="43" spans="1:3" ht="16.5" thickBot="1" x14ac:dyDescent="0.3">
      <c r="A43" s="140" t="s">
        <v>401</v>
      </c>
      <c r="B43" s="335">
        <f>B42/$B$27</f>
        <v>0.17282343368592354</v>
      </c>
    </row>
    <row r="44" spans="1:3" ht="16.5" thickBot="1" x14ac:dyDescent="0.3">
      <c r="A44" s="140" t="s">
        <v>402</v>
      </c>
      <c r="B44" s="338">
        <v>4.2480000000000002</v>
      </c>
      <c r="C44" s="131">
        <v>1</v>
      </c>
    </row>
    <row r="45" spans="1:3" ht="16.5" thickBot="1" x14ac:dyDescent="0.3">
      <c r="A45" s="140" t="s">
        <v>403</v>
      </c>
      <c r="B45" s="338">
        <v>4.2480000000000002</v>
      </c>
      <c r="C45" s="131">
        <v>2</v>
      </c>
    </row>
    <row r="46" spans="1:3" s="332" customFormat="1" ht="30.75" thickBot="1" x14ac:dyDescent="0.3">
      <c r="A46" s="331" t="s">
        <v>651</v>
      </c>
      <c r="B46" s="361">
        <v>1.298</v>
      </c>
    </row>
    <row r="47" spans="1:3" ht="16.5" thickBot="1" x14ac:dyDescent="0.3">
      <c r="A47" s="140" t="s">
        <v>401</v>
      </c>
      <c r="B47" s="335">
        <f>B46/$B$27</f>
        <v>5.2807160292921082E-2</v>
      </c>
    </row>
    <row r="48" spans="1:3" ht="16.5" thickBot="1" x14ac:dyDescent="0.3">
      <c r="A48" s="140" t="s">
        <v>402</v>
      </c>
      <c r="B48" s="338">
        <v>1.298</v>
      </c>
      <c r="C48" s="131">
        <v>1</v>
      </c>
    </row>
    <row r="49" spans="1:3" ht="16.5" thickBot="1" x14ac:dyDescent="0.3">
      <c r="A49" s="140" t="s">
        <v>403</v>
      </c>
      <c r="B49" s="338">
        <v>1.298</v>
      </c>
      <c r="C49" s="131">
        <v>2</v>
      </c>
    </row>
    <row r="50" spans="1:3" s="332" customFormat="1" ht="30.75" thickBot="1" x14ac:dyDescent="0.3">
      <c r="A50" s="331" t="s">
        <v>652</v>
      </c>
      <c r="B50" s="361">
        <v>0.29264000000000001</v>
      </c>
    </row>
    <row r="51" spans="1:3" ht="16.5" thickBot="1" x14ac:dyDescent="0.3">
      <c r="A51" s="140" t="s">
        <v>401</v>
      </c>
      <c r="B51" s="335">
        <f>B50/$B$27</f>
        <v>1.1905614320585843E-2</v>
      </c>
    </row>
    <row r="52" spans="1:3" ht="16.5" thickBot="1" x14ac:dyDescent="0.3">
      <c r="A52" s="140" t="s">
        <v>402</v>
      </c>
      <c r="B52" s="338">
        <v>0.29264000000000001</v>
      </c>
      <c r="C52" s="131">
        <v>1</v>
      </c>
    </row>
    <row r="53" spans="1:3" ht="16.5" thickBot="1" x14ac:dyDescent="0.3">
      <c r="A53" s="140" t="s">
        <v>403</v>
      </c>
      <c r="B53" s="338">
        <v>0.29264000000000001</v>
      </c>
      <c r="C53" s="131">
        <v>2</v>
      </c>
    </row>
    <row r="54" spans="1:3" s="332" customFormat="1" ht="30.75" thickBot="1" x14ac:dyDescent="0.3">
      <c r="A54" s="331" t="s">
        <v>653</v>
      </c>
      <c r="B54" s="361">
        <v>0.152338</v>
      </c>
    </row>
    <row r="55" spans="1:3" ht="16.5" thickBot="1" x14ac:dyDescent="0.3">
      <c r="A55" s="140" t="s">
        <v>401</v>
      </c>
      <c r="B55" s="335">
        <f>B54/$B$27</f>
        <v>6.1976403580146465E-3</v>
      </c>
    </row>
    <row r="56" spans="1:3" ht="16.5" thickBot="1" x14ac:dyDescent="0.3">
      <c r="A56" s="140" t="s">
        <v>402</v>
      </c>
      <c r="B56" s="338">
        <v>0.152338</v>
      </c>
      <c r="C56" s="131">
        <v>1</v>
      </c>
    </row>
    <row r="57" spans="1:3" ht="16.5" thickBot="1" x14ac:dyDescent="0.3">
      <c r="A57" s="140" t="s">
        <v>403</v>
      </c>
      <c r="B57" s="338">
        <v>0.152338</v>
      </c>
      <c r="C57" s="131">
        <v>2</v>
      </c>
    </row>
    <row r="58" spans="1:3" ht="16.5" thickBot="1" x14ac:dyDescent="0.3">
      <c r="A58" s="331" t="s">
        <v>400</v>
      </c>
      <c r="B58" s="337">
        <v>0</v>
      </c>
    </row>
    <row r="59" spans="1:3" ht="16.5" thickBot="1" x14ac:dyDescent="0.3">
      <c r="A59" s="140" t="s">
        <v>401</v>
      </c>
      <c r="B59" s="335">
        <f>B58/$B$27</f>
        <v>0</v>
      </c>
    </row>
    <row r="60" spans="1:3" ht="16.5" thickBot="1" x14ac:dyDescent="0.3">
      <c r="A60" s="140" t="s">
        <v>402</v>
      </c>
      <c r="B60" s="338">
        <v>0</v>
      </c>
      <c r="C60" s="131">
        <v>1</v>
      </c>
    </row>
    <row r="61" spans="1:3" ht="16.5" thickBot="1" x14ac:dyDescent="0.3">
      <c r="A61" s="140" t="s">
        <v>403</v>
      </c>
      <c r="B61" s="338">
        <v>0</v>
      </c>
      <c r="C61" s="131">
        <v>2</v>
      </c>
    </row>
    <row r="62" spans="1:3" ht="29.25" thickBot="1" x14ac:dyDescent="0.3">
      <c r="A62" s="146" t="s">
        <v>405</v>
      </c>
      <c r="B62" s="338">
        <f>B63+B67+B71+B75</f>
        <v>1.1100000000000001</v>
      </c>
    </row>
    <row r="63" spans="1:3" s="332" customFormat="1" ht="30.75" thickBot="1" x14ac:dyDescent="0.3">
      <c r="A63" s="331" t="s">
        <v>650</v>
      </c>
      <c r="B63" s="361">
        <v>1.1100000000000001</v>
      </c>
    </row>
    <row r="64" spans="1:3" ht="16.5" thickBot="1" x14ac:dyDescent="0.3">
      <c r="A64" s="140" t="s">
        <v>401</v>
      </c>
      <c r="B64" s="335">
        <f>B63/$B$27</f>
        <v>4.515866558177381E-2</v>
      </c>
    </row>
    <row r="65" spans="1:3" ht="16.5" thickBot="1" x14ac:dyDescent="0.3">
      <c r="A65" s="140" t="s">
        <v>402</v>
      </c>
      <c r="B65" s="338">
        <v>1.1100000000000001</v>
      </c>
      <c r="C65" s="131">
        <v>1</v>
      </c>
    </row>
    <row r="66" spans="1:3" ht="16.5" thickBot="1" x14ac:dyDescent="0.3">
      <c r="A66" s="140" t="s">
        <v>403</v>
      </c>
      <c r="B66" s="338">
        <v>1.1100000000000001</v>
      </c>
      <c r="C66" s="131">
        <v>2</v>
      </c>
    </row>
    <row r="67" spans="1:3" s="332" customFormat="1" ht="16.5" thickBot="1" x14ac:dyDescent="0.3">
      <c r="A67" s="331" t="s">
        <v>400</v>
      </c>
      <c r="B67" s="337">
        <v>0</v>
      </c>
    </row>
    <row r="68" spans="1:3" ht="16.5" thickBot="1" x14ac:dyDescent="0.3">
      <c r="A68" s="140" t="s">
        <v>401</v>
      </c>
      <c r="B68" s="335">
        <f>B67/$B$27</f>
        <v>0</v>
      </c>
    </row>
    <row r="69" spans="1:3" ht="16.5" thickBot="1" x14ac:dyDescent="0.3">
      <c r="A69" s="140" t="s">
        <v>402</v>
      </c>
      <c r="B69" s="338">
        <v>0</v>
      </c>
      <c r="C69" s="131">
        <v>1</v>
      </c>
    </row>
    <row r="70" spans="1:3" ht="16.5" thickBot="1" x14ac:dyDescent="0.3">
      <c r="A70" s="140" t="s">
        <v>403</v>
      </c>
      <c r="B70" s="338">
        <v>0</v>
      </c>
      <c r="C70" s="131">
        <v>2</v>
      </c>
    </row>
    <row r="71" spans="1:3" s="332" customFormat="1" ht="16.5" thickBot="1" x14ac:dyDescent="0.3">
      <c r="A71" s="331" t="s">
        <v>400</v>
      </c>
      <c r="B71" s="337">
        <v>0</v>
      </c>
    </row>
    <row r="72" spans="1:3" ht="16.5" thickBot="1" x14ac:dyDescent="0.3">
      <c r="A72" s="140" t="s">
        <v>401</v>
      </c>
      <c r="B72" s="335">
        <f>B71/$B$27</f>
        <v>0</v>
      </c>
    </row>
    <row r="73" spans="1:3" ht="16.5" thickBot="1" x14ac:dyDescent="0.3">
      <c r="A73" s="140" t="s">
        <v>402</v>
      </c>
      <c r="B73" s="338">
        <v>0</v>
      </c>
      <c r="C73" s="131">
        <v>1</v>
      </c>
    </row>
    <row r="74" spans="1:3" ht="16.5" thickBot="1" x14ac:dyDescent="0.3">
      <c r="A74" s="140" t="s">
        <v>403</v>
      </c>
      <c r="B74" s="338">
        <v>0</v>
      </c>
      <c r="C74" s="131">
        <v>2</v>
      </c>
    </row>
    <row r="75" spans="1:3" s="332" customFormat="1" ht="16.5" thickBot="1" x14ac:dyDescent="0.3">
      <c r="A75" s="331" t="s">
        <v>400</v>
      </c>
      <c r="B75" s="337">
        <v>0</v>
      </c>
    </row>
    <row r="76" spans="1:3" ht="16.5" thickBot="1" x14ac:dyDescent="0.3">
      <c r="A76" s="140" t="s">
        <v>401</v>
      </c>
      <c r="B76" s="335">
        <f>B75/$B$27</f>
        <v>0</v>
      </c>
    </row>
    <row r="77" spans="1:3" ht="16.5" thickBot="1" x14ac:dyDescent="0.3">
      <c r="A77" s="140" t="s">
        <v>402</v>
      </c>
      <c r="B77" s="338">
        <v>0</v>
      </c>
      <c r="C77" s="131">
        <v>1</v>
      </c>
    </row>
    <row r="78" spans="1:3" ht="16.5" thickBot="1" x14ac:dyDescent="0.3">
      <c r="A78" s="140" t="s">
        <v>403</v>
      </c>
      <c r="B78" s="338">
        <v>0</v>
      </c>
      <c r="C78" s="131">
        <v>2</v>
      </c>
    </row>
    <row r="79" spans="1:3" ht="29.25" thickBot="1" x14ac:dyDescent="0.3">
      <c r="A79" s="139" t="s">
        <v>406</v>
      </c>
      <c r="B79" s="147"/>
    </row>
    <row r="80" spans="1:3" ht="16.5" thickBot="1" x14ac:dyDescent="0.3">
      <c r="A80" s="141" t="s">
        <v>398</v>
      </c>
      <c r="B80" s="147"/>
    </row>
    <row r="81" spans="1:2" ht="16.5" thickBot="1" x14ac:dyDescent="0.3">
      <c r="A81" s="141" t="s">
        <v>407</v>
      </c>
      <c r="B81" s="147"/>
    </row>
    <row r="82" spans="1:2" ht="16.5" thickBot="1" x14ac:dyDescent="0.3">
      <c r="A82" s="141" t="s">
        <v>408</v>
      </c>
      <c r="B82" s="147"/>
    </row>
    <row r="83" spans="1:2" ht="16.5" thickBot="1" x14ac:dyDescent="0.3">
      <c r="A83" s="141" t="s">
        <v>409</v>
      </c>
      <c r="B83" s="147"/>
    </row>
    <row r="84" spans="1:2" ht="16.5" thickBot="1" x14ac:dyDescent="0.3">
      <c r="A84" s="137" t="s">
        <v>410</v>
      </c>
      <c r="B84" s="336">
        <f>B85/$B$27</f>
        <v>0.43466143205858432</v>
      </c>
    </row>
    <row r="85" spans="1:2" ht="16.5" thickBot="1" x14ac:dyDescent="0.3">
      <c r="A85" s="137" t="s">
        <v>411</v>
      </c>
      <c r="B85" s="333">
        <f xml:space="preserve"> SUMIF(C33:C78, 1,B33:B78)</f>
        <v>10.683978000000002</v>
      </c>
    </row>
    <row r="86" spans="1:2" ht="16.5" thickBot="1" x14ac:dyDescent="0.3">
      <c r="A86" s="137" t="s">
        <v>412</v>
      </c>
      <c r="B86" s="336">
        <f>B87/$B$27</f>
        <v>0.92257843775427173</v>
      </c>
    </row>
    <row r="87" spans="1:2" ht="16.5" thickBot="1" x14ac:dyDescent="0.3">
      <c r="A87" s="138" t="s">
        <v>413</v>
      </c>
      <c r="B87" s="333">
        <f xml:space="preserve"> SUMIF(C35:C80, 2,B35:B80)</f>
        <v>22.676977999999998</v>
      </c>
    </row>
    <row r="88" spans="1:2" x14ac:dyDescent="0.25">
      <c r="A88" s="139" t="s">
        <v>414</v>
      </c>
      <c r="B88" s="494" t="s">
        <v>649</v>
      </c>
    </row>
    <row r="89" spans="1:2" x14ac:dyDescent="0.25">
      <c r="A89" s="143" t="s">
        <v>415</v>
      </c>
      <c r="B89" s="495"/>
    </row>
    <row r="90" spans="1:2" x14ac:dyDescent="0.25">
      <c r="A90" s="143" t="s">
        <v>416</v>
      </c>
      <c r="B90" s="495"/>
    </row>
    <row r="91" spans="1:2" x14ac:dyDescent="0.25">
      <c r="A91" s="143" t="s">
        <v>417</v>
      </c>
      <c r="B91" s="495"/>
    </row>
    <row r="92" spans="1:2" x14ac:dyDescent="0.25">
      <c r="A92" s="143" t="s">
        <v>418</v>
      </c>
      <c r="B92" s="495"/>
    </row>
    <row r="93" spans="1:2" ht="33" customHeight="1" thickBot="1" x14ac:dyDescent="0.3">
      <c r="A93" s="144" t="s">
        <v>419</v>
      </c>
      <c r="B93" s="496"/>
    </row>
    <row r="94" spans="1:2" ht="30.75" thickBot="1" x14ac:dyDescent="0.3">
      <c r="A94" s="141" t="s">
        <v>420</v>
      </c>
      <c r="B94" s="142"/>
    </row>
    <row r="95" spans="1:2" ht="29.25" thickBot="1" x14ac:dyDescent="0.3">
      <c r="A95" s="137" t="s">
        <v>421</v>
      </c>
      <c r="B95" s="142"/>
    </row>
    <row r="96" spans="1:2" ht="16.5" thickBot="1" x14ac:dyDescent="0.3">
      <c r="A96" s="141" t="s">
        <v>398</v>
      </c>
      <c r="B96" s="149"/>
    </row>
    <row r="97" spans="1:2" ht="16.5" thickBot="1" x14ac:dyDescent="0.3">
      <c r="A97" s="141" t="s">
        <v>422</v>
      </c>
      <c r="B97" s="142"/>
    </row>
    <row r="98" spans="1:2" ht="16.5" thickBot="1" x14ac:dyDescent="0.3">
      <c r="A98" s="141" t="s">
        <v>423</v>
      </c>
      <c r="B98" s="149"/>
    </row>
    <row r="99" spans="1:2" ht="30.75" thickBot="1" x14ac:dyDescent="0.3">
      <c r="A99" s="150" t="s">
        <v>424</v>
      </c>
      <c r="B99" s="354" t="s">
        <v>425</v>
      </c>
    </row>
    <row r="100" spans="1:2" ht="16.5" thickBot="1" x14ac:dyDescent="0.3">
      <c r="A100" s="137" t="s">
        <v>426</v>
      </c>
      <c r="B100" s="148"/>
    </row>
    <row r="101" spans="1:2" ht="16.5" thickBot="1" x14ac:dyDescent="0.3">
      <c r="A101" s="143" t="s">
        <v>427</v>
      </c>
      <c r="B101" s="151"/>
    </row>
    <row r="102" spans="1:2" ht="16.5" thickBot="1" x14ac:dyDescent="0.3">
      <c r="A102" s="143" t="s">
        <v>428</v>
      </c>
      <c r="B102" s="151"/>
    </row>
    <row r="103" spans="1:2" ht="16.5" thickBot="1" x14ac:dyDescent="0.3">
      <c r="A103" s="143" t="s">
        <v>429</v>
      </c>
      <c r="B103" s="151"/>
    </row>
    <row r="104" spans="1:2" ht="45.75" thickBot="1" x14ac:dyDescent="0.3">
      <c r="A104" s="152" t="s">
        <v>430</v>
      </c>
      <c r="B104" s="149" t="s">
        <v>431</v>
      </c>
    </row>
    <row r="105" spans="1:2" ht="28.5" x14ac:dyDescent="0.25">
      <c r="A105" s="139" t="s">
        <v>432</v>
      </c>
      <c r="B105" s="494" t="s">
        <v>433</v>
      </c>
    </row>
    <row r="106" spans="1:2" x14ac:dyDescent="0.25">
      <c r="A106" s="143" t="s">
        <v>434</v>
      </c>
      <c r="B106" s="495"/>
    </row>
    <row r="107" spans="1:2" x14ac:dyDescent="0.25">
      <c r="A107" s="143" t="s">
        <v>435</v>
      </c>
      <c r="B107" s="495"/>
    </row>
    <row r="108" spans="1:2" x14ac:dyDescent="0.25">
      <c r="A108" s="143" t="s">
        <v>436</v>
      </c>
      <c r="B108" s="495"/>
    </row>
    <row r="109" spans="1:2" x14ac:dyDescent="0.25">
      <c r="A109" s="143" t="s">
        <v>437</v>
      </c>
      <c r="B109" s="495"/>
    </row>
    <row r="110" spans="1:2" ht="16.5" thickBot="1" x14ac:dyDescent="0.3">
      <c r="A110" s="153" t="s">
        <v>438</v>
      </c>
      <c r="B110" s="496"/>
    </row>
    <row r="113" spans="1:2" x14ac:dyDescent="0.25">
      <c r="A113" s="154"/>
      <c r="B113" s="155"/>
    </row>
    <row r="114" spans="1:2" x14ac:dyDescent="0.25">
      <c r="B114" s="156"/>
    </row>
    <row r="115" spans="1:2" x14ac:dyDescent="0.25">
      <c r="B115" s="157"/>
    </row>
  </sheetData>
  <mergeCells count="11">
    <mergeCell ref="A15:B15"/>
    <mergeCell ref="A16:B16"/>
    <mergeCell ref="A18:B18"/>
    <mergeCell ref="B88:B93"/>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R27" sqref="R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6" t="s">
        <v>10</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78" t="str">
        <f>'1. паспорт местоположение'!A12:C12</f>
        <v>F_prj_111001_5350</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5.75" x14ac:dyDescent="0.2">
      <c r="A14"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74" t="s">
        <v>497</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77" t="s">
        <v>6</v>
      </c>
      <c r="B19" s="377" t="s">
        <v>101</v>
      </c>
      <c r="C19" s="379" t="s">
        <v>389</v>
      </c>
      <c r="D19" s="377" t="s">
        <v>388</v>
      </c>
      <c r="E19" s="377" t="s">
        <v>100</v>
      </c>
      <c r="F19" s="377" t="s">
        <v>99</v>
      </c>
      <c r="G19" s="377" t="s">
        <v>384</v>
      </c>
      <c r="H19" s="377" t="s">
        <v>98</v>
      </c>
      <c r="I19" s="377" t="s">
        <v>97</v>
      </c>
      <c r="J19" s="377" t="s">
        <v>96</v>
      </c>
      <c r="K19" s="377" t="s">
        <v>95</v>
      </c>
      <c r="L19" s="377" t="s">
        <v>94</v>
      </c>
      <c r="M19" s="377" t="s">
        <v>93</v>
      </c>
      <c r="N19" s="377" t="s">
        <v>92</v>
      </c>
      <c r="O19" s="377" t="s">
        <v>91</v>
      </c>
      <c r="P19" s="377" t="s">
        <v>90</v>
      </c>
      <c r="Q19" s="377" t="s">
        <v>387</v>
      </c>
      <c r="R19" s="377"/>
      <c r="S19" s="381" t="s">
        <v>491</v>
      </c>
      <c r="T19" s="4"/>
      <c r="U19" s="4"/>
      <c r="V19" s="4"/>
      <c r="W19" s="4"/>
      <c r="X19" s="4"/>
      <c r="Y19" s="4"/>
    </row>
    <row r="20" spans="1:28" s="3" customFormat="1" ht="180.75" customHeight="1" x14ac:dyDescent="0.2">
      <c r="A20" s="377"/>
      <c r="B20" s="377"/>
      <c r="C20" s="380"/>
      <c r="D20" s="377"/>
      <c r="E20" s="377"/>
      <c r="F20" s="377"/>
      <c r="G20" s="377"/>
      <c r="H20" s="377"/>
      <c r="I20" s="377"/>
      <c r="J20" s="377"/>
      <c r="K20" s="377"/>
      <c r="L20" s="377"/>
      <c r="M20" s="377"/>
      <c r="N20" s="377"/>
      <c r="O20" s="377"/>
      <c r="P20" s="377"/>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64">
        <v>7</v>
      </c>
      <c r="H21" s="165">
        <v>8</v>
      </c>
      <c r="I21" s="164">
        <v>9</v>
      </c>
      <c r="J21" s="165">
        <v>10</v>
      </c>
      <c r="K21" s="164">
        <v>11</v>
      </c>
      <c r="L21" s="165">
        <v>12</v>
      </c>
      <c r="M21" s="164">
        <v>13</v>
      </c>
      <c r="N21" s="165">
        <v>14</v>
      </c>
      <c r="O21" s="164">
        <v>15</v>
      </c>
      <c r="P21" s="165">
        <v>16</v>
      </c>
      <c r="Q21" s="164">
        <v>17</v>
      </c>
      <c r="R21" s="165">
        <v>18</v>
      </c>
      <c r="S21" s="164">
        <v>19</v>
      </c>
      <c r="T21" s="32"/>
      <c r="U21" s="32"/>
      <c r="V21" s="32"/>
      <c r="W21" s="32"/>
      <c r="X21" s="32"/>
      <c r="Y21" s="32"/>
      <c r="Z21" s="31"/>
      <c r="AA21" s="31"/>
      <c r="AB21" s="31"/>
    </row>
    <row r="22" spans="1:28" s="3" customFormat="1" ht="133.5" customHeight="1" x14ac:dyDescent="0.2">
      <c r="A22" s="47"/>
      <c r="B22" s="189" t="s">
        <v>544</v>
      </c>
      <c r="C22" s="339" t="s">
        <v>614</v>
      </c>
      <c r="D22" s="189" t="s">
        <v>545</v>
      </c>
      <c r="E22" s="189" t="s">
        <v>546</v>
      </c>
      <c r="F22" s="189" t="s">
        <v>547</v>
      </c>
      <c r="G22" s="189" t="s">
        <v>615</v>
      </c>
      <c r="H22" s="340">
        <v>1100</v>
      </c>
      <c r="I22" s="340">
        <v>400</v>
      </c>
      <c r="J22" s="340">
        <v>700</v>
      </c>
      <c r="K22" s="189" t="s">
        <v>548</v>
      </c>
      <c r="L22" s="189" t="s">
        <v>616</v>
      </c>
      <c r="M22" s="189">
        <v>1.26</v>
      </c>
      <c r="N22" s="189">
        <v>2</v>
      </c>
      <c r="O22" s="52"/>
      <c r="P22" s="52"/>
      <c r="Q22" s="43" t="s">
        <v>617</v>
      </c>
      <c r="R22" s="163"/>
      <c r="S22" s="340">
        <v>8.7975000100000003</v>
      </c>
      <c r="T22" s="32"/>
      <c r="U22" s="32"/>
      <c r="V22" s="32"/>
      <c r="W22" s="32"/>
      <c r="X22" s="32"/>
      <c r="Y22" s="32"/>
      <c r="Z22" s="31"/>
      <c r="AA22" s="31"/>
      <c r="AB22" s="31"/>
    </row>
    <row r="23" spans="1:28" ht="20.25" customHeight="1" x14ac:dyDescent="0.25">
      <c r="A23" s="129"/>
      <c r="B23" s="52" t="s">
        <v>382</v>
      </c>
      <c r="C23" s="52"/>
      <c r="D23" s="52"/>
      <c r="E23" s="129" t="s">
        <v>383</v>
      </c>
      <c r="F23" s="129" t="s">
        <v>383</v>
      </c>
      <c r="G23" s="129" t="s">
        <v>383</v>
      </c>
      <c r="H23" s="190">
        <f>H22</f>
        <v>1100</v>
      </c>
      <c r="I23" s="129"/>
      <c r="J23" s="190">
        <f>J22</f>
        <v>700</v>
      </c>
      <c r="K23" s="129"/>
      <c r="L23" s="129"/>
      <c r="M23" s="129"/>
      <c r="N23" s="129"/>
      <c r="O23" s="129"/>
      <c r="P23" s="129"/>
      <c r="Q23" s="27"/>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80" zoomScaleNormal="60" zoomScaleSheetLayoutView="80" workbookViewId="0">
      <selection activeCell="O25" sqref="O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1.855468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6" t="s">
        <v>10</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78" t="str">
        <f>'1. паспорт местоположение'!A9:C9</f>
        <v xml:space="preserve">                         АО "Янтарьэнерго"                         </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78" t="str">
        <f>'1. паспорт местоположение'!A12:C12</f>
        <v>F_prj_111001_5350</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x14ac:dyDescent="0.2">
      <c r="A16"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6" s="383"/>
      <c r="C16" s="383"/>
      <c r="D16" s="383"/>
      <c r="E16" s="383"/>
      <c r="F16" s="383"/>
      <c r="G16" s="383"/>
      <c r="H16" s="383"/>
      <c r="I16" s="383"/>
      <c r="J16" s="383"/>
      <c r="K16" s="383"/>
      <c r="L16" s="383"/>
      <c r="M16" s="383"/>
      <c r="N16" s="383"/>
      <c r="O16" s="383"/>
      <c r="P16" s="383"/>
      <c r="Q16" s="383"/>
      <c r="R16" s="383"/>
      <c r="S16" s="383"/>
      <c r="T16" s="383"/>
    </row>
    <row r="17" spans="1:20"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20"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20" s="3" customFormat="1" ht="15" customHeight="1" x14ac:dyDescent="0.2">
      <c r="A19" s="375" t="s">
        <v>502</v>
      </c>
      <c r="B19" s="375"/>
      <c r="C19" s="375"/>
      <c r="D19" s="375"/>
      <c r="E19" s="375"/>
      <c r="F19" s="375"/>
      <c r="G19" s="375"/>
      <c r="H19" s="375"/>
      <c r="I19" s="375"/>
      <c r="J19" s="375"/>
      <c r="K19" s="375"/>
      <c r="L19" s="375"/>
      <c r="M19" s="375"/>
      <c r="N19" s="375"/>
      <c r="O19" s="375"/>
      <c r="P19" s="375"/>
      <c r="Q19" s="375"/>
      <c r="R19" s="375"/>
      <c r="S19" s="375"/>
      <c r="T19" s="375"/>
    </row>
    <row r="20" spans="1:20" s="65"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20" ht="46.5" customHeight="1" x14ac:dyDescent="0.25">
      <c r="A21" s="394" t="s">
        <v>6</v>
      </c>
      <c r="B21" s="387" t="s">
        <v>228</v>
      </c>
      <c r="C21" s="388"/>
      <c r="D21" s="391" t="s">
        <v>123</v>
      </c>
      <c r="E21" s="387" t="s">
        <v>531</v>
      </c>
      <c r="F21" s="388"/>
      <c r="G21" s="387" t="s">
        <v>279</v>
      </c>
      <c r="H21" s="388"/>
      <c r="I21" s="387" t="s">
        <v>122</v>
      </c>
      <c r="J21" s="388"/>
      <c r="K21" s="391" t="s">
        <v>121</v>
      </c>
      <c r="L21" s="387" t="s">
        <v>120</v>
      </c>
      <c r="M21" s="388"/>
      <c r="N21" s="387" t="s">
        <v>527</v>
      </c>
      <c r="O21" s="388"/>
      <c r="P21" s="391" t="s">
        <v>119</v>
      </c>
      <c r="Q21" s="397" t="s">
        <v>118</v>
      </c>
      <c r="R21" s="398"/>
      <c r="S21" s="397" t="s">
        <v>117</v>
      </c>
      <c r="T21" s="399"/>
    </row>
    <row r="22" spans="1:20" ht="204.75" customHeight="1" x14ac:dyDescent="0.25">
      <c r="A22" s="395"/>
      <c r="B22" s="389"/>
      <c r="C22" s="390"/>
      <c r="D22" s="393"/>
      <c r="E22" s="389"/>
      <c r="F22" s="390"/>
      <c r="G22" s="389"/>
      <c r="H22" s="390"/>
      <c r="I22" s="389"/>
      <c r="J22" s="390"/>
      <c r="K22" s="392"/>
      <c r="L22" s="389"/>
      <c r="M22" s="390"/>
      <c r="N22" s="389"/>
      <c r="O22" s="390"/>
      <c r="P22" s="392"/>
      <c r="Q22" s="117" t="s">
        <v>116</v>
      </c>
      <c r="R22" s="117" t="s">
        <v>501</v>
      </c>
      <c r="S22" s="117" t="s">
        <v>115</v>
      </c>
      <c r="T22" s="117" t="s">
        <v>114</v>
      </c>
    </row>
    <row r="23" spans="1:20" ht="51.75" customHeight="1" x14ac:dyDescent="0.25">
      <c r="A23" s="396"/>
      <c r="B23" s="171" t="s">
        <v>112</v>
      </c>
      <c r="C23" s="171" t="s">
        <v>113</v>
      </c>
      <c r="D23" s="392"/>
      <c r="E23" s="171" t="s">
        <v>112</v>
      </c>
      <c r="F23" s="171" t="s">
        <v>113</v>
      </c>
      <c r="G23" s="171" t="s">
        <v>112</v>
      </c>
      <c r="H23" s="171" t="s">
        <v>113</v>
      </c>
      <c r="I23" s="171" t="s">
        <v>112</v>
      </c>
      <c r="J23" s="171" t="s">
        <v>113</v>
      </c>
      <c r="K23" s="171" t="s">
        <v>112</v>
      </c>
      <c r="L23" s="171" t="s">
        <v>112</v>
      </c>
      <c r="M23" s="171" t="s">
        <v>113</v>
      </c>
      <c r="N23" s="171" t="s">
        <v>112</v>
      </c>
      <c r="O23" s="171" t="s">
        <v>113</v>
      </c>
      <c r="P23" s="172" t="s">
        <v>112</v>
      </c>
      <c r="Q23" s="117" t="s">
        <v>112</v>
      </c>
      <c r="R23" s="117" t="s">
        <v>112</v>
      </c>
      <c r="S23" s="117" t="s">
        <v>112</v>
      </c>
      <c r="T23" s="117" t="s">
        <v>112</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s="193" customFormat="1" ht="47.45" customHeight="1" x14ac:dyDescent="0.25">
      <c r="A25" s="67">
        <v>1</v>
      </c>
      <c r="B25" s="191" t="s">
        <v>383</v>
      </c>
      <c r="C25" s="191" t="s">
        <v>625</v>
      </c>
      <c r="D25" s="191" t="s">
        <v>108</v>
      </c>
      <c r="E25" s="191" t="s">
        <v>383</v>
      </c>
      <c r="F25" s="194" t="s">
        <v>626</v>
      </c>
      <c r="G25" s="191" t="s">
        <v>383</v>
      </c>
      <c r="H25" s="191" t="s">
        <v>627</v>
      </c>
      <c r="I25" s="191" t="s">
        <v>383</v>
      </c>
      <c r="J25" s="66" t="s">
        <v>641</v>
      </c>
      <c r="K25" s="191" t="s">
        <v>383</v>
      </c>
      <c r="L25" s="191" t="s">
        <v>383</v>
      </c>
      <c r="M25" s="194">
        <v>6</v>
      </c>
      <c r="N25" s="67" t="s">
        <v>383</v>
      </c>
      <c r="O25" s="67">
        <v>0.63</v>
      </c>
      <c r="P25" s="191" t="s">
        <v>383</v>
      </c>
      <c r="Q25" s="191" t="s">
        <v>383</v>
      </c>
      <c r="R25" s="191" t="s">
        <v>383</v>
      </c>
      <c r="S25" s="191" t="s">
        <v>383</v>
      </c>
      <c r="T25" s="191" t="s">
        <v>383</v>
      </c>
    </row>
    <row r="26" spans="1:20" s="193" customFormat="1" ht="47.45" customHeight="1" x14ac:dyDescent="0.25">
      <c r="A26" s="67">
        <v>2</v>
      </c>
      <c r="B26" s="191" t="s">
        <v>383</v>
      </c>
      <c r="C26" s="191" t="s">
        <v>625</v>
      </c>
      <c r="D26" s="191" t="s">
        <v>108</v>
      </c>
      <c r="E26" s="191" t="s">
        <v>383</v>
      </c>
      <c r="F26" s="194" t="s">
        <v>626</v>
      </c>
      <c r="G26" s="191" t="s">
        <v>383</v>
      </c>
      <c r="H26" s="191" t="s">
        <v>629</v>
      </c>
      <c r="I26" s="191" t="s">
        <v>383</v>
      </c>
      <c r="J26" s="66" t="s">
        <v>641</v>
      </c>
      <c r="K26" s="191" t="s">
        <v>383</v>
      </c>
      <c r="L26" s="191" t="s">
        <v>383</v>
      </c>
      <c r="M26" s="194">
        <v>6</v>
      </c>
      <c r="N26" s="67" t="s">
        <v>383</v>
      </c>
      <c r="O26" s="67">
        <v>0.63</v>
      </c>
      <c r="P26" s="191" t="s">
        <v>383</v>
      </c>
      <c r="Q26" s="191" t="s">
        <v>383</v>
      </c>
      <c r="R26" s="191" t="s">
        <v>383</v>
      </c>
      <c r="S26" s="191" t="s">
        <v>383</v>
      </c>
      <c r="T26" s="191" t="s">
        <v>383</v>
      </c>
    </row>
    <row r="27" spans="1:20" s="193" customFormat="1" ht="47.45" customHeight="1" x14ac:dyDescent="0.25">
      <c r="A27" s="67">
        <v>3</v>
      </c>
      <c r="B27" s="191" t="s">
        <v>630</v>
      </c>
      <c r="C27" s="191" t="s">
        <v>630</v>
      </c>
      <c r="D27" s="191" t="s">
        <v>631</v>
      </c>
      <c r="E27" s="191" t="s">
        <v>383</v>
      </c>
      <c r="F27" s="194" t="s">
        <v>632</v>
      </c>
      <c r="G27" s="191" t="s">
        <v>633</v>
      </c>
      <c r="H27" s="191" t="s">
        <v>633</v>
      </c>
      <c r="I27" s="191" t="s">
        <v>383</v>
      </c>
      <c r="J27" s="66" t="s">
        <v>628</v>
      </c>
      <c r="K27" s="191" t="s">
        <v>383</v>
      </c>
      <c r="L27" s="194">
        <v>6</v>
      </c>
      <c r="M27" s="194">
        <v>6</v>
      </c>
      <c r="N27" s="67" t="s">
        <v>383</v>
      </c>
      <c r="O27" s="67">
        <v>0.36</v>
      </c>
      <c r="P27" s="191" t="s">
        <v>383</v>
      </c>
      <c r="Q27" s="191" t="s">
        <v>383</v>
      </c>
      <c r="R27" s="191" t="s">
        <v>383</v>
      </c>
      <c r="S27" s="191" t="s">
        <v>383</v>
      </c>
      <c r="T27" s="191" t="s">
        <v>383</v>
      </c>
    </row>
    <row r="28" spans="1:20" s="193" customFormat="1" ht="47.45" customHeight="1" x14ac:dyDescent="0.25">
      <c r="A28" s="67">
        <v>4</v>
      </c>
      <c r="B28" s="191" t="s">
        <v>630</v>
      </c>
      <c r="C28" s="191" t="s">
        <v>630</v>
      </c>
      <c r="D28" s="191" t="s">
        <v>634</v>
      </c>
      <c r="E28" s="191" t="s">
        <v>383</v>
      </c>
      <c r="F28" s="194" t="s">
        <v>635</v>
      </c>
      <c r="G28" s="191" t="s">
        <v>636</v>
      </c>
      <c r="H28" s="191" t="s">
        <v>636</v>
      </c>
      <c r="I28" s="191" t="s">
        <v>383</v>
      </c>
      <c r="J28" s="66" t="s">
        <v>628</v>
      </c>
      <c r="K28" s="191" t="s">
        <v>383</v>
      </c>
      <c r="L28" s="194">
        <v>6</v>
      </c>
      <c r="M28" s="194">
        <v>6</v>
      </c>
      <c r="N28" s="67" t="s">
        <v>383</v>
      </c>
      <c r="O28" s="67">
        <v>0.4</v>
      </c>
      <c r="P28" s="191" t="s">
        <v>383</v>
      </c>
      <c r="Q28" s="191" t="s">
        <v>383</v>
      </c>
      <c r="R28" s="191" t="s">
        <v>383</v>
      </c>
      <c r="S28" s="191" t="s">
        <v>383</v>
      </c>
      <c r="T28" s="191" t="s">
        <v>383</v>
      </c>
    </row>
    <row r="29" spans="1:20" ht="3" customHeight="1" x14ac:dyDescent="0.25"/>
    <row r="30" spans="1:20" s="63" customFormat="1" ht="12.75" x14ac:dyDescent="0.2">
      <c r="B30" s="64"/>
      <c r="C30" s="64"/>
      <c r="K30" s="64"/>
    </row>
    <row r="31" spans="1:20" s="63" customFormat="1" x14ac:dyDescent="0.25">
      <c r="B31" s="61" t="s">
        <v>111</v>
      </c>
      <c r="C31" s="61"/>
      <c r="D31" s="61"/>
      <c r="E31" s="61"/>
      <c r="F31" s="61"/>
      <c r="G31" s="61"/>
      <c r="H31" s="61"/>
      <c r="I31" s="61"/>
      <c r="J31" s="61"/>
      <c r="K31" s="61"/>
      <c r="L31" s="61"/>
      <c r="M31" s="61"/>
      <c r="N31" s="61"/>
      <c r="O31" s="61"/>
      <c r="P31" s="61"/>
      <c r="Q31" s="61"/>
      <c r="R31" s="61"/>
    </row>
    <row r="32" spans="1:20" x14ac:dyDescent="0.25">
      <c r="B32" s="386" t="s">
        <v>537</v>
      </c>
      <c r="C32" s="386"/>
      <c r="D32" s="386"/>
      <c r="E32" s="386"/>
      <c r="F32" s="386"/>
      <c r="G32" s="386"/>
      <c r="H32" s="386"/>
      <c r="I32" s="386"/>
      <c r="J32" s="386"/>
      <c r="K32" s="386"/>
      <c r="L32" s="386"/>
      <c r="M32" s="386"/>
      <c r="N32" s="386"/>
      <c r="O32" s="386"/>
      <c r="P32" s="386"/>
      <c r="Q32" s="386"/>
      <c r="R32" s="386"/>
    </row>
    <row r="33" spans="2:113" x14ac:dyDescent="0.25">
      <c r="B33" s="61"/>
      <c r="C33" s="61"/>
      <c r="D33" s="61"/>
      <c r="E33" s="61"/>
      <c r="F33" s="61"/>
      <c r="G33" s="61"/>
      <c r="H33" s="61"/>
      <c r="I33" s="61"/>
      <c r="J33" s="61"/>
      <c r="K33" s="61"/>
      <c r="L33" s="61"/>
      <c r="M33" s="61"/>
      <c r="N33" s="61"/>
      <c r="O33" s="61"/>
      <c r="P33" s="61"/>
      <c r="Q33" s="61"/>
      <c r="R33" s="61"/>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60" t="s">
        <v>500</v>
      </c>
      <c r="C34" s="60"/>
      <c r="D34" s="60"/>
      <c r="E34" s="60"/>
      <c r="F34" s="58"/>
      <c r="G34" s="58"/>
      <c r="H34" s="60"/>
      <c r="I34" s="60"/>
      <c r="J34" s="60"/>
      <c r="K34" s="60"/>
      <c r="L34" s="60"/>
      <c r="M34" s="60"/>
      <c r="N34" s="60"/>
      <c r="O34" s="60"/>
      <c r="P34" s="60"/>
      <c r="Q34" s="60"/>
      <c r="R34" s="60"/>
      <c r="S34" s="62"/>
      <c r="T34" s="62"/>
      <c r="U34" s="62"/>
      <c r="V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0" t="s">
        <v>110</v>
      </c>
      <c r="C35" s="60"/>
      <c r="D35" s="60"/>
      <c r="E35" s="60"/>
      <c r="F35" s="58"/>
      <c r="G35" s="58"/>
      <c r="H35" s="60"/>
      <c r="I35" s="60"/>
      <c r="J35" s="60"/>
      <c r="K35" s="60"/>
      <c r="L35" s="60"/>
      <c r="M35" s="60"/>
      <c r="N35" s="60"/>
      <c r="O35" s="60"/>
      <c r="P35" s="60"/>
      <c r="Q35" s="60"/>
      <c r="R35" s="60"/>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2:113" s="58" customFormat="1" x14ac:dyDescent="0.25">
      <c r="B36" s="60" t="s">
        <v>109</v>
      </c>
      <c r="C36" s="60"/>
      <c r="D36" s="60"/>
      <c r="E36" s="60"/>
      <c r="H36" s="60"/>
      <c r="I36" s="60"/>
      <c r="J36" s="60"/>
      <c r="K36" s="60"/>
      <c r="L36" s="60"/>
      <c r="M36" s="60"/>
      <c r="N36" s="60"/>
      <c r="O36" s="60"/>
      <c r="P36" s="60"/>
      <c r="Q36" s="60"/>
      <c r="R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108</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107</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106</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105</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104</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103</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B43" s="60" t="s">
        <v>102</v>
      </c>
      <c r="C43" s="60"/>
      <c r="D43" s="60"/>
      <c r="E43" s="60"/>
      <c r="H43" s="60"/>
      <c r="I43" s="60"/>
      <c r="J43" s="60"/>
      <c r="K43" s="60"/>
      <c r="L43" s="60"/>
      <c r="M43" s="60"/>
      <c r="N43" s="60"/>
      <c r="O43" s="60"/>
      <c r="P43" s="60"/>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row r="45" spans="2:113" s="58" customFormat="1" x14ac:dyDescent="0.25">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0" zoomScale="90" zoomScaleSheetLayoutView="90" workbookViewId="0">
      <selection activeCell="R30" sqref="R30:R3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76" t="s">
        <v>10</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 xml:space="preserve">                         АО "Янтарьэнерго"                         </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F_prj_111001_5350</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3" t="str">
        <f>'1. паспорт местоположение'!A15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504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65" customFormat="1" ht="21" customHeight="1" x14ac:dyDescent="0.25"/>
    <row r="21" spans="1:27" ht="15.75" customHeight="1" x14ac:dyDescent="0.25">
      <c r="A21" s="401" t="s">
        <v>6</v>
      </c>
      <c r="B21" s="404" t="s">
        <v>511</v>
      </c>
      <c r="C21" s="405"/>
      <c r="D21" s="404" t="s">
        <v>513</v>
      </c>
      <c r="E21" s="405"/>
      <c r="F21" s="397" t="s">
        <v>95</v>
      </c>
      <c r="G21" s="399"/>
      <c r="H21" s="399"/>
      <c r="I21" s="398"/>
      <c r="J21" s="401" t="s">
        <v>514</v>
      </c>
      <c r="K21" s="404" t="s">
        <v>515</v>
      </c>
      <c r="L21" s="405"/>
      <c r="M21" s="404" t="s">
        <v>516</v>
      </c>
      <c r="N21" s="405"/>
      <c r="O21" s="404" t="s">
        <v>503</v>
      </c>
      <c r="P21" s="405"/>
      <c r="Q21" s="404" t="s">
        <v>128</v>
      </c>
      <c r="R21" s="405"/>
      <c r="S21" s="401" t="s">
        <v>127</v>
      </c>
      <c r="T21" s="401" t="s">
        <v>517</v>
      </c>
      <c r="U21" s="401" t="s">
        <v>512</v>
      </c>
      <c r="V21" s="404" t="s">
        <v>126</v>
      </c>
      <c r="W21" s="405"/>
      <c r="X21" s="397" t="s">
        <v>118</v>
      </c>
      <c r="Y21" s="399"/>
      <c r="Z21" s="397" t="s">
        <v>117</v>
      </c>
      <c r="AA21" s="399"/>
    </row>
    <row r="22" spans="1:27" ht="216" customHeight="1" x14ac:dyDescent="0.25">
      <c r="A22" s="402"/>
      <c r="B22" s="406"/>
      <c r="C22" s="407"/>
      <c r="D22" s="406"/>
      <c r="E22" s="407"/>
      <c r="F22" s="397" t="s">
        <v>125</v>
      </c>
      <c r="G22" s="398"/>
      <c r="H22" s="397" t="s">
        <v>124</v>
      </c>
      <c r="I22" s="398"/>
      <c r="J22" s="403"/>
      <c r="K22" s="406"/>
      <c r="L22" s="407"/>
      <c r="M22" s="406"/>
      <c r="N22" s="407"/>
      <c r="O22" s="406"/>
      <c r="P22" s="407"/>
      <c r="Q22" s="406"/>
      <c r="R22" s="407"/>
      <c r="S22" s="403"/>
      <c r="T22" s="403"/>
      <c r="U22" s="403"/>
      <c r="V22" s="406"/>
      <c r="W22" s="407"/>
      <c r="X22" s="117" t="s">
        <v>116</v>
      </c>
      <c r="Y22" s="117" t="s">
        <v>501</v>
      </c>
      <c r="Z22" s="117" t="s">
        <v>115</v>
      </c>
      <c r="AA22" s="117" t="s">
        <v>114</v>
      </c>
    </row>
    <row r="23" spans="1:27" ht="60" customHeight="1" x14ac:dyDescent="0.25">
      <c r="A23" s="403"/>
      <c r="B23" s="169" t="s">
        <v>112</v>
      </c>
      <c r="C23" s="169"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364" customFormat="1" ht="81.599999999999994" customHeight="1" x14ac:dyDescent="0.25">
      <c r="A25" s="191">
        <v>1</v>
      </c>
      <c r="B25" s="191" t="s">
        <v>383</v>
      </c>
      <c r="C25" s="191" t="s">
        <v>640</v>
      </c>
      <c r="D25" s="191" t="s">
        <v>383</v>
      </c>
      <c r="E25" s="191" t="s">
        <v>640</v>
      </c>
      <c r="F25" s="191" t="s">
        <v>383</v>
      </c>
      <c r="G25" s="363">
        <v>6</v>
      </c>
      <c r="H25" s="363" t="s">
        <v>383</v>
      </c>
      <c r="I25" s="363">
        <v>6</v>
      </c>
      <c r="J25" s="192" t="s">
        <v>383</v>
      </c>
      <c r="K25" s="192" t="s">
        <v>383</v>
      </c>
      <c r="L25" s="192" t="s">
        <v>66</v>
      </c>
      <c r="M25" s="192" t="s">
        <v>383</v>
      </c>
      <c r="N25" s="362">
        <v>400</v>
      </c>
      <c r="O25" s="362" t="s">
        <v>383</v>
      </c>
      <c r="P25" s="362" t="s">
        <v>555</v>
      </c>
      <c r="Q25" s="362" t="s">
        <v>383</v>
      </c>
      <c r="R25" s="191">
        <v>2.5619999999999998</v>
      </c>
      <c r="S25" s="192" t="s">
        <v>383</v>
      </c>
      <c r="T25" s="192" t="s">
        <v>383</v>
      </c>
      <c r="U25" s="192" t="s">
        <v>383</v>
      </c>
      <c r="V25" s="192" t="s">
        <v>383</v>
      </c>
      <c r="W25" s="362" t="s">
        <v>637</v>
      </c>
      <c r="X25" s="191" t="s">
        <v>383</v>
      </c>
      <c r="Y25" s="191" t="s">
        <v>383</v>
      </c>
      <c r="Z25" s="191" t="s">
        <v>383</v>
      </c>
      <c r="AA25" s="191" t="s">
        <v>383</v>
      </c>
    </row>
    <row r="26" spans="1:27" s="364" customFormat="1" ht="47.25" x14ac:dyDescent="0.25">
      <c r="A26" s="191">
        <v>2</v>
      </c>
      <c r="B26" s="191" t="s">
        <v>383</v>
      </c>
      <c r="C26" s="191" t="s">
        <v>638</v>
      </c>
      <c r="D26" s="191" t="s">
        <v>383</v>
      </c>
      <c r="E26" s="191" t="s">
        <v>644</v>
      </c>
      <c r="F26" s="191" t="s">
        <v>383</v>
      </c>
      <c r="G26" s="363">
        <v>6</v>
      </c>
      <c r="H26" s="191" t="s">
        <v>383</v>
      </c>
      <c r="I26" s="363">
        <v>6</v>
      </c>
      <c r="J26" s="192" t="s">
        <v>641</v>
      </c>
      <c r="K26" s="191" t="s">
        <v>383</v>
      </c>
      <c r="L26" s="192" t="s">
        <v>66</v>
      </c>
      <c r="M26" s="192" t="s">
        <v>383</v>
      </c>
      <c r="N26" s="362">
        <v>120</v>
      </c>
      <c r="O26" s="362" t="s">
        <v>383</v>
      </c>
      <c r="P26" s="362" t="s">
        <v>555</v>
      </c>
      <c r="Q26" s="362" t="s">
        <v>383</v>
      </c>
      <c r="R26" s="191">
        <v>0.16</v>
      </c>
      <c r="S26" s="192" t="s">
        <v>383</v>
      </c>
      <c r="T26" s="192" t="s">
        <v>383</v>
      </c>
      <c r="U26" s="192" t="s">
        <v>383</v>
      </c>
      <c r="V26" s="192" t="s">
        <v>383</v>
      </c>
      <c r="W26" s="362" t="s">
        <v>637</v>
      </c>
      <c r="X26" s="191" t="s">
        <v>383</v>
      </c>
      <c r="Y26" s="191" t="s">
        <v>383</v>
      </c>
      <c r="Z26" s="191" t="s">
        <v>383</v>
      </c>
      <c r="AA26" s="191" t="s">
        <v>383</v>
      </c>
    </row>
    <row r="27" spans="1:27" s="364" customFormat="1" ht="63" x14ac:dyDescent="0.25">
      <c r="A27" s="191">
        <v>3</v>
      </c>
      <c r="B27" s="191" t="s">
        <v>383</v>
      </c>
      <c r="C27" s="191" t="s">
        <v>639</v>
      </c>
      <c r="D27" s="191" t="s">
        <v>383</v>
      </c>
      <c r="E27" s="191" t="s">
        <v>645</v>
      </c>
      <c r="F27" s="191" t="s">
        <v>383</v>
      </c>
      <c r="G27" s="363">
        <v>6</v>
      </c>
      <c r="H27" s="363" t="s">
        <v>383</v>
      </c>
      <c r="I27" s="363">
        <v>6</v>
      </c>
      <c r="J27" s="192" t="s">
        <v>641</v>
      </c>
      <c r="K27" s="192" t="s">
        <v>383</v>
      </c>
      <c r="L27" s="192" t="s">
        <v>66</v>
      </c>
      <c r="M27" s="192" t="s">
        <v>383</v>
      </c>
      <c r="N27" s="362">
        <v>120</v>
      </c>
      <c r="O27" s="362" t="s">
        <v>383</v>
      </c>
      <c r="P27" s="362" t="s">
        <v>555</v>
      </c>
      <c r="Q27" s="362" t="s">
        <v>383</v>
      </c>
      <c r="R27" s="191">
        <v>0.27</v>
      </c>
      <c r="S27" s="192" t="s">
        <v>383</v>
      </c>
      <c r="T27" s="192" t="s">
        <v>383</v>
      </c>
      <c r="U27" s="192" t="s">
        <v>383</v>
      </c>
      <c r="V27" s="192" t="s">
        <v>383</v>
      </c>
      <c r="W27" s="362" t="s">
        <v>637</v>
      </c>
      <c r="X27" s="191" t="s">
        <v>383</v>
      </c>
      <c r="Y27" s="191" t="s">
        <v>383</v>
      </c>
      <c r="Z27" s="191" t="s">
        <v>383</v>
      </c>
      <c r="AA27" s="191" t="s">
        <v>383</v>
      </c>
    </row>
    <row r="28" spans="1:27" ht="3" customHeight="1" x14ac:dyDescent="0.25">
      <c r="X28" s="119"/>
      <c r="Y28" s="120"/>
      <c r="Z28" s="58"/>
      <c r="AA28" s="58"/>
    </row>
    <row r="29" spans="1:27" s="63" customFormat="1" ht="12.75" x14ac:dyDescent="0.2">
      <c r="A29" s="64"/>
      <c r="B29" s="64"/>
      <c r="C29" s="64"/>
      <c r="E29" s="64"/>
      <c r="X29" s="121"/>
      <c r="Y29" s="121"/>
      <c r="Z29" s="121"/>
      <c r="AA29" s="121"/>
    </row>
    <row r="30" spans="1:27" s="63" customFormat="1" ht="12.75" x14ac:dyDescent="0.2">
      <c r="A30" s="64"/>
      <c r="B30" s="64"/>
      <c r="C30"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76" t="s">
        <v>10</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 xml:space="preserve">                         АО "Янтарьэнерго"                         </v>
      </c>
      <c r="B9" s="378"/>
      <c r="C9" s="378"/>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F_prj_111001_5350</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74" t="s">
        <v>496</v>
      </c>
      <c r="B18" s="374"/>
      <c r="C18" s="3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601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621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66"/>
      <c r="AB6" s="166"/>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66"/>
      <c r="AB7" s="166"/>
    </row>
    <row r="8" spans="1:28" ht="15.75" x14ac:dyDescent="0.25">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67"/>
      <c r="AB8" s="167"/>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68"/>
      <c r="AB9" s="168"/>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66"/>
      <c r="AB10" s="166"/>
    </row>
    <row r="11" spans="1:28" ht="15.75" x14ac:dyDescent="0.25">
      <c r="A11" s="378" t="str">
        <f>'1. паспорт местоположение'!A12:C12</f>
        <v>F_prj_111001_5350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67"/>
      <c r="AB11" s="167"/>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68"/>
      <c r="AB12" s="168"/>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ht="15.75" x14ac:dyDescent="0.25">
      <c r="A14"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67"/>
      <c r="AB14" s="167"/>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68"/>
      <c r="AB15" s="168"/>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76"/>
      <c r="AB16" s="176"/>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76"/>
      <c r="AB17" s="176"/>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76"/>
      <c r="AB18" s="176"/>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76"/>
      <c r="AB19" s="176"/>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77"/>
      <c r="AB20" s="177"/>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77"/>
      <c r="AB21" s="177"/>
    </row>
    <row r="22" spans="1:28" x14ac:dyDescent="0.25">
      <c r="A22" s="409" t="s">
        <v>528</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78"/>
      <c r="AB22" s="178"/>
    </row>
    <row r="23" spans="1:28" ht="32.25" customHeight="1" x14ac:dyDescent="0.25">
      <c r="A23" s="411" t="s">
        <v>380</v>
      </c>
      <c r="B23" s="412"/>
      <c r="C23" s="412"/>
      <c r="D23" s="412"/>
      <c r="E23" s="412"/>
      <c r="F23" s="412"/>
      <c r="G23" s="412"/>
      <c r="H23" s="412"/>
      <c r="I23" s="412"/>
      <c r="J23" s="412"/>
      <c r="K23" s="412"/>
      <c r="L23" s="413"/>
      <c r="M23" s="410" t="s">
        <v>381</v>
      </c>
      <c r="N23" s="410"/>
      <c r="O23" s="410"/>
      <c r="P23" s="410"/>
      <c r="Q23" s="410"/>
      <c r="R23" s="410"/>
      <c r="S23" s="410"/>
      <c r="T23" s="410"/>
      <c r="U23" s="410"/>
      <c r="V23" s="410"/>
      <c r="W23" s="410"/>
      <c r="X23" s="410"/>
      <c r="Y23" s="410"/>
      <c r="Z23" s="410"/>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539</v>
      </c>
      <c r="O24" s="114" t="s">
        <v>284</v>
      </c>
      <c r="P24" s="114" t="s">
        <v>285</v>
      </c>
      <c r="Q24" s="114" t="s">
        <v>283</v>
      </c>
      <c r="R24" s="114" t="s">
        <v>241</v>
      </c>
      <c r="S24" s="114" t="s">
        <v>282</v>
      </c>
      <c r="T24" s="114" t="s">
        <v>281</v>
      </c>
      <c r="U24" s="114" t="s">
        <v>373</v>
      </c>
      <c r="V24" s="114" t="s">
        <v>283</v>
      </c>
      <c r="W24" s="123" t="s">
        <v>266</v>
      </c>
      <c r="X24" s="123" t="s">
        <v>298</v>
      </c>
      <c r="Y24" s="123" t="s">
        <v>299</v>
      </c>
      <c r="Z24" s="125" t="s">
        <v>296</v>
      </c>
    </row>
    <row r="25" spans="1:28" ht="16.5" customHeight="1" x14ac:dyDescent="0.25">
      <c r="A25" s="114">
        <v>1</v>
      </c>
      <c r="B25" s="115">
        <v>2</v>
      </c>
      <c r="C25" s="114">
        <v>3</v>
      </c>
      <c r="D25" s="115">
        <v>4</v>
      </c>
      <c r="E25" s="114">
        <v>5</v>
      </c>
      <c r="F25" s="115">
        <v>6</v>
      </c>
      <c r="G25" s="114">
        <v>7</v>
      </c>
      <c r="H25" s="115">
        <v>8</v>
      </c>
      <c r="I25" s="114">
        <v>9</v>
      </c>
      <c r="J25" s="115">
        <v>10</v>
      </c>
      <c r="K25" s="179">
        <v>11</v>
      </c>
      <c r="L25" s="115">
        <v>12</v>
      </c>
      <c r="M25" s="179">
        <v>13</v>
      </c>
      <c r="N25" s="115">
        <v>14</v>
      </c>
      <c r="O25" s="179">
        <v>15</v>
      </c>
      <c r="P25" s="115">
        <v>16</v>
      </c>
      <c r="Q25" s="179">
        <v>17</v>
      </c>
      <c r="R25" s="115">
        <v>18</v>
      </c>
      <c r="S25" s="179">
        <v>19</v>
      </c>
      <c r="T25" s="115">
        <v>20</v>
      </c>
      <c r="U25" s="179">
        <v>21</v>
      </c>
      <c r="V25" s="115">
        <v>22</v>
      </c>
      <c r="W25" s="179">
        <v>23</v>
      </c>
      <c r="X25" s="115">
        <v>24</v>
      </c>
      <c r="Y25" s="179">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76" t="s">
        <v>10</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78" t="str">
        <f>'1. паспорт местоположение'!A12:C12</f>
        <v>F_prj_111001_5350</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5.75" x14ac:dyDescent="0.2">
      <c r="A15" s="37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18" t="s">
        <v>505</v>
      </c>
      <c r="B18" s="418"/>
      <c r="C18" s="418"/>
      <c r="D18" s="418"/>
      <c r="E18" s="418"/>
      <c r="F18" s="418"/>
      <c r="G18" s="418"/>
      <c r="H18" s="418"/>
      <c r="I18" s="418"/>
      <c r="J18" s="418"/>
      <c r="K18" s="418"/>
      <c r="L18" s="418"/>
      <c r="M18" s="418"/>
      <c r="N18" s="418"/>
      <c r="O18" s="418"/>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15" t="s">
        <v>87</v>
      </c>
      <c r="F19" s="416"/>
      <c r="G19" s="416"/>
      <c r="H19" s="416"/>
      <c r="I19" s="417"/>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2" zoomScaleNormal="100" workbookViewId="0">
      <selection activeCell="B26" sqref="B26"/>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32" t="str">
        <f>'[1]1. паспорт местоположение'!A5:C5</f>
        <v>Год раскрытия информации: 2016 год</v>
      </c>
      <c r="B5" s="432"/>
      <c r="C5" s="432"/>
      <c r="D5" s="432"/>
      <c r="E5" s="432"/>
      <c r="F5" s="432"/>
      <c r="G5" s="432"/>
      <c r="H5" s="432"/>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76" t="str">
        <f>'[1]1. паспорт местоположение'!A7:C7</f>
        <v xml:space="preserve">Паспорт инвестиционного проекта </v>
      </c>
      <c r="B7" s="376"/>
      <c r="C7" s="376"/>
      <c r="D7" s="376"/>
      <c r="E7" s="376"/>
      <c r="F7" s="376"/>
      <c r="G7" s="376"/>
      <c r="H7" s="37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202"/>
      <c r="AR7" s="202"/>
    </row>
    <row r="8" spans="1:44" ht="18.75" x14ac:dyDescent="0.2">
      <c r="A8" s="180"/>
      <c r="B8" s="180"/>
      <c r="C8" s="180"/>
      <c r="D8" s="180"/>
      <c r="E8" s="180"/>
      <c r="F8" s="180"/>
      <c r="G8" s="180"/>
      <c r="H8" s="180"/>
      <c r="I8" s="180"/>
      <c r="J8" s="180"/>
      <c r="K8" s="180"/>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99"/>
      <c r="AR8" s="199"/>
    </row>
    <row r="9" spans="1:44" ht="18.75" x14ac:dyDescent="0.2">
      <c r="A9" s="375" t="str">
        <f>'1. паспорт местоположение'!A9:C9</f>
        <v xml:space="preserve">                         АО "Янтарьэнерго"                         </v>
      </c>
      <c r="B9" s="375"/>
      <c r="C9" s="375"/>
      <c r="D9" s="375"/>
      <c r="E9" s="375"/>
      <c r="F9" s="375"/>
      <c r="G9" s="375"/>
      <c r="H9" s="375"/>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203"/>
      <c r="AR9" s="203"/>
    </row>
    <row r="10" spans="1:44" x14ac:dyDescent="0.2">
      <c r="A10" s="373" t="s">
        <v>9</v>
      </c>
      <c r="B10" s="373"/>
      <c r="C10" s="373"/>
      <c r="D10" s="373"/>
      <c r="E10" s="373"/>
      <c r="F10" s="373"/>
      <c r="G10" s="373"/>
      <c r="H10" s="373"/>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204"/>
      <c r="AR10" s="204"/>
    </row>
    <row r="11" spans="1:44" ht="18.75" x14ac:dyDescent="0.2">
      <c r="A11" s="180"/>
      <c r="B11" s="180"/>
      <c r="C11" s="180"/>
      <c r="D11" s="180"/>
      <c r="E11" s="180"/>
      <c r="F11" s="180"/>
      <c r="G11" s="180"/>
      <c r="H11" s="180"/>
      <c r="I11" s="180"/>
      <c r="J11" s="180"/>
      <c r="K11" s="180"/>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75" t="str">
        <f>'1. паспорт местоположение'!A12:C12</f>
        <v>F_prj_111001_5350</v>
      </c>
      <c r="B12" s="375"/>
      <c r="C12" s="375"/>
      <c r="D12" s="375"/>
      <c r="E12" s="375"/>
      <c r="F12" s="375"/>
      <c r="G12" s="375"/>
      <c r="H12" s="375"/>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203"/>
      <c r="AR12" s="203"/>
    </row>
    <row r="13" spans="1:44" x14ac:dyDescent="0.2">
      <c r="A13" s="373" t="s">
        <v>8</v>
      </c>
      <c r="B13" s="373"/>
      <c r="C13" s="373"/>
      <c r="D13" s="373"/>
      <c r="E13" s="373"/>
      <c r="F13" s="373"/>
      <c r="G13" s="373"/>
      <c r="H13" s="373"/>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204"/>
      <c r="AR13" s="204"/>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205"/>
      <c r="AR14" s="205"/>
    </row>
    <row r="15" spans="1:44" ht="47.45" customHeight="1" x14ac:dyDescent="0.2">
      <c r="A15" s="374"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74"/>
      <c r="C15" s="374"/>
      <c r="D15" s="374"/>
      <c r="E15" s="374"/>
      <c r="F15" s="374"/>
      <c r="G15" s="374"/>
      <c r="H15" s="374"/>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203"/>
      <c r="AR15" s="203"/>
    </row>
    <row r="16" spans="1:44" x14ac:dyDescent="0.2">
      <c r="A16" s="373" t="s">
        <v>7</v>
      </c>
      <c r="B16" s="373"/>
      <c r="C16" s="373"/>
      <c r="D16" s="373"/>
      <c r="E16" s="373"/>
      <c r="F16" s="373"/>
      <c r="G16" s="373"/>
      <c r="H16" s="373"/>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204"/>
      <c r="AR16" s="204"/>
    </row>
    <row r="17" spans="1:44" ht="18.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75" t="s">
        <v>506</v>
      </c>
      <c r="B18" s="375"/>
      <c r="C18" s="375"/>
      <c r="D18" s="375"/>
      <c r="E18" s="375"/>
      <c r="F18" s="375"/>
      <c r="G18" s="375"/>
      <c r="H18" s="37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354</v>
      </c>
      <c r="B24" s="213" t="s">
        <v>1</v>
      </c>
      <c r="D24" s="214"/>
      <c r="E24" s="215"/>
      <c r="F24" s="215"/>
      <c r="G24" s="215"/>
      <c r="H24" s="215"/>
    </row>
    <row r="25" spans="1:44" x14ac:dyDescent="0.2">
      <c r="A25" s="216" t="s">
        <v>557</v>
      </c>
      <c r="B25" s="217">
        <f>$B$126/1.18</f>
        <v>19902625</v>
      </c>
    </row>
    <row r="26" spans="1:44" x14ac:dyDescent="0.2">
      <c r="A26" s="218" t="s">
        <v>352</v>
      </c>
      <c r="B26" s="219">
        <v>0</v>
      </c>
    </row>
    <row r="27" spans="1:44" x14ac:dyDescent="0.2">
      <c r="A27" s="218" t="s">
        <v>350</v>
      </c>
      <c r="B27" s="219">
        <f>$B$123</f>
        <v>25</v>
      </c>
      <c r="D27" s="211" t="s">
        <v>353</v>
      </c>
    </row>
    <row r="28" spans="1:44" ht="16.149999999999999" customHeight="1" thickBot="1" x14ac:dyDescent="0.25">
      <c r="A28" s="220" t="s">
        <v>348</v>
      </c>
      <c r="B28" s="221">
        <v>1</v>
      </c>
      <c r="D28" s="421" t="s">
        <v>351</v>
      </c>
      <c r="E28" s="422"/>
      <c r="F28" s="423"/>
      <c r="G28" s="424">
        <f>IF(SUM(B89:L89)=0,"не окупается",SUM(B89:L89))</f>
        <v>2.4881530658794264</v>
      </c>
      <c r="H28" s="425"/>
    </row>
    <row r="29" spans="1:44" ht="15.6" customHeight="1" x14ac:dyDescent="0.2">
      <c r="A29" s="216" t="s">
        <v>346</v>
      </c>
      <c r="B29" s="217">
        <f>$B$126*$B$127</f>
        <v>234850.97500000001</v>
      </c>
      <c r="D29" s="421" t="s">
        <v>349</v>
      </c>
      <c r="E29" s="422"/>
      <c r="F29" s="423"/>
      <c r="G29" s="424">
        <f>IF(SUM(B90:L90)=0,"не окупается",SUM(B90:L90))</f>
        <v>2.8258560305454803</v>
      </c>
      <c r="H29" s="425"/>
    </row>
    <row r="30" spans="1:44" ht="27.6" customHeight="1" x14ac:dyDescent="0.2">
      <c r="A30" s="218" t="s">
        <v>558</v>
      </c>
      <c r="B30" s="219">
        <v>1</v>
      </c>
      <c r="D30" s="421" t="s">
        <v>347</v>
      </c>
      <c r="E30" s="422"/>
      <c r="F30" s="423"/>
      <c r="G30" s="426">
        <f>L87</f>
        <v>21842962.100032214</v>
      </c>
      <c r="H30" s="427"/>
    </row>
    <row r="31" spans="1:44" x14ac:dyDescent="0.2">
      <c r="A31" s="218" t="s">
        <v>345</v>
      </c>
      <c r="B31" s="219">
        <v>1</v>
      </c>
      <c r="D31" s="428"/>
      <c r="E31" s="429"/>
      <c r="F31" s="430"/>
      <c r="G31" s="428"/>
      <c r="H31" s="430"/>
    </row>
    <row r="32" spans="1:44" x14ac:dyDescent="0.2">
      <c r="A32" s="218" t="s">
        <v>323</v>
      </c>
      <c r="B32" s="219"/>
    </row>
    <row r="33" spans="1:42" x14ac:dyDescent="0.2">
      <c r="A33" s="218" t="s">
        <v>344</v>
      </c>
      <c r="B33" s="219"/>
    </row>
    <row r="34" spans="1:42" x14ac:dyDescent="0.2">
      <c r="A34" s="218" t="s">
        <v>343</v>
      </c>
      <c r="B34" s="219"/>
    </row>
    <row r="35" spans="1:42" x14ac:dyDescent="0.2">
      <c r="A35" s="222"/>
      <c r="B35" s="219"/>
    </row>
    <row r="36" spans="1:42" ht="16.5" thickBot="1" x14ac:dyDescent="0.25">
      <c r="A36" s="220" t="s">
        <v>315</v>
      </c>
      <c r="B36" s="223">
        <v>0.2</v>
      </c>
    </row>
    <row r="37" spans="1:42" x14ac:dyDescent="0.2">
      <c r="A37" s="216" t="s">
        <v>559</v>
      </c>
      <c r="B37" s="217">
        <v>0</v>
      </c>
    </row>
    <row r="38" spans="1:42" x14ac:dyDescent="0.2">
      <c r="A38" s="218" t="s">
        <v>342</v>
      </c>
      <c r="B38" s="219"/>
    </row>
    <row r="39" spans="1:42" ht="16.5" thickBot="1" x14ac:dyDescent="0.25">
      <c r="A39" s="224" t="s">
        <v>341</v>
      </c>
      <c r="B39" s="225"/>
    </row>
    <row r="40" spans="1:42" x14ac:dyDescent="0.2">
      <c r="A40" s="226" t="s">
        <v>560</v>
      </c>
      <c r="B40" s="227">
        <v>1</v>
      </c>
    </row>
    <row r="41" spans="1:42" x14ac:dyDescent="0.2">
      <c r="A41" s="228" t="s">
        <v>340</v>
      </c>
      <c r="B41" s="229"/>
    </row>
    <row r="42" spans="1:42" x14ac:dyDescent="0.2">
      <c r="A42" s="228" t="s">
        <v>339</v>
      </c>
      <c r="B42" s="230"/>
    </row>
    <row r="43" spans="1:42" x14ac:dyDescent="0.2">
      <c r="A43" s="228" t="s">
        <v>338</v>
      </c>
      <c r="B43" s="230">
        <v>0</v>
      </c>
    </row>
    <row r="44" spans="1:42" x14ac:dyDescent="0.2">
      <c r="A44" s="228" t="s">
        <v>337</v>
      </c>
      <c r="B44" s="230">
        <f>B129</f>
        <v>0.20499999999999999</v>
      </c>
    </row>
    <row r="45" spans="1:42" x14ac:dyDescent="0.2">
      <c r="A45" s="228" t="s">
        <v>336</v>
      </c>
      <c r="B45" s="230">
        <f>1-B43</f>
        <v>1</v>
      </c>
    </row>
    <row r="46" spans="1:42" ht="16.5" thickBot="1" x14ac:dyDescent="0.25">
      <c r="A46" s="231" t="s">
        <v>335</v>
      </c>
      <c r="B46" s="232">
        <f>B45*B44+B43*B42*(1-B36)</f>
        <v>0.20499999999999999</v>
      </c>
      <c r="C46" s="233"/>
    </row>
    <row r="47" spans="1:42" s="236" customFormat="1" x14ac:dyDescent="0.2">
      <c r="A47" s="234" t="s">
        <v>334</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333</v>
      </c>
      <c r="B48" s="238">
        <f>B136</f>
        <v>0</v>
      </c>
      <c r="C48" s="238">
        <f t="shared" ref="C48:AP49" si="1">C136</f>
        <v>5.8000000000000003E-2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332</v>
      </c>
      <c r="B49" s="238">
        <f>B137</f>
        <v>0</v>
      </c>
      <c r="C49" s="238">
        <f t="shared" si="1"/>
        <v>5.8000000000000052E-2</v>
      </c>
      <c r="D49" s="238">
        <f t="shared" si="1"/>
        <v>0.11619000000000002</v>
      </c>
      <c r="E49" s="238">
        <f t="shared" si="1"/>
        <v>0.17758045</v>
      </c>
      <c r="F49" s="238">
        <f t="shared" si="1"/>
        <v>0.24234737475000001</v>
      </c>
      <c r="G49" s="238">
        <f t="shared" si="1"/>
        <v>0.31067648036124984</v>
      </c>
      <c r="H49" s="238">
        <f t="shared" si="1"/>
        <v>0.38276368678111861</v>
      </c>
      <c r="I49" s="238">
        <f t="shared" si="1"/>
        <v>0.45881568955408003</v>
      </c>
      <c r="J49" s="238">
        <f t="shared" si="1"/>
        <v>0.53905055247955436</v>
      </c>
      <c r="K49" s="238">
        <f t="shared" si="1"/>
        <v>0.62369833286592979</v>
      </c>
      <c r="L49" s="238">
        <f t="shared" si="1"/>
        <v>0.71300174117355586</v>
      </c>
      <c r="M49" s="238">
        <f t="shared" si="1"/>
        <v>0.80721683693810142</v>
      </c>
      <c r="N49" s="238">
        <f t="shared" si="1"/>
        <v>0.90661376296969687</v>
      </c>
      <c r="O49" s="238">
        <f t="shared" si="1"/>
        <v>1.0114775199330301</v>
      </c>
      <c r="P49" s="238">
        <f t="shared" si="1"/>
        <v>1.1221087835293466</v>
      </c>
      <c r="Q49" s="238">
        <f t="shared" si="1"/>
        <v>1.2388247666234604</v>
      </c>
      <c r="R49" s="238">
        <f t="shared" si="1"/>
        <v>1.3619601287877505</v>
      </c>
      <c r="S49" s="238">
        <f t="shared" si="1"/>
        <v>1.4918679358710767</v>
      </c>
      <c r="T49" s="238">
        <f t="shared" si="1"/>
        <v>1.6289206723439857</v>
      </c>
      <c r="U49" s="238">
        <f t="shared" si="1"/>
        <v>1.7735113093229047</v>
      </c>
      <c r="V49" s="238">
        <f t="shared" si="1"/>
        <v>1.9260544313356642</v>
      </c>
      <c r="W49" s="238">
        <f t="shared" si="1"/>
        <v>2.0869874250591254</v>
      </c>
      <c r="X49" s="238">
        <f t="shared" si="1"/>
        <v>2.2567717334373771</v>
      </c>
      <c r="Y49" s="238">
        <f t="shared" si="1"/>
        <v>2.4358941787764326</v>
      </c>
      <c r="Z49" s="238">
        <f t="shared" si="1"/>
        <v>2.6248683586091359</v>
      </c>
      <c r="AA49" s="238">
        <f t="shared" si="1"/>
        <v>2.8242361183326383</v>
      </c>
      <c r="AB49" s="238">
        <f t="shared" si="1"/>
        <v>3.0345691048409336</v>
      </c>
      <c r="AC49" s="238">
        <f t="shared" si="1"/>
        <v>3.2564704056071845</v>
      </c>
      <c r="AD49" s="238">
        <f t="shared" si="1"/>
        <v>3.4905762779155793</v>
      </c>
      <c r="AE49" s="238">
        <f t="shared" si="1"/>
        <v>3.7375579732009356</v>
      </c>
      <c r="AF49" s="238">
        <f t="shared" si="1"/>
        <v>3.9981236617269866</v>
      </c>
      <c r="AG49" s="238">
        <f t="shared" si="1"/>
        <v>4.2730204631219708</v>
      </c>
      <c r="AH49" s="238">
        <f t="shared" si="1"/>
        <v>4.563036588593679</v>
      </c>
      <c r="AI49" s="238">
        <f t="shared" si="1"/>
        <v>4.8690036009663311</v>
      </c>
      <c r="AJ49" s="238">
        <f t="shared" si="1"/>
        <v>5.1917987990194794</v>
      </c>
      <c r="AK49" s="238">
        <f t="shared" si="1"/>
        <v>5.5323477329655502</v>
      </c>
      <c r="AL49" s="238">
        <f t="shared" si="1"/>
        <v>5.8916268582786548</v>
      </c>
      <c r="AM49" s="238">
        <f t="shared" si="1"/>
        <v>6.2706663354839804</v>
      </c>
      <c r="AN49" s="238">
        <f t="shared" si="1"/>
        <v>6.6705529839355986</v>
      </c>
      <c r="AO49" s="238">
        <f t="shared" si="1"/>
        <v>7.0924333980520569</v>
      </c>
      <c r="AP49" s="238">
        <f t="shared" si="1"/>
        <v>7.5375172349449198</v>
      </c>
    </row>
    <row r="50" spans="1:45" s="236" customFormat="1" ht="16.5" thickBot="1" x14ac:dyDescent="0.25">
      <c r="A50" s="239" t="s">
        <v>561</v>
      </c>
      <c r="B50" s="240">
        <f>IF($B$124="да",($B$126-0.05),0)</f>
        <v>23485097.449999999</v>
      </c>
      <c r="C50" s="240">
        <f>C108*(1+C49)</f>
        <v>2905520.9611709961</v>
      </c>
      <c r="D50" s="240">
        <f t="shared" ref="D50:AP50" si="2">D108*(1+D49)</f>
        <v>6130649.2280708021</v>
      </c>
      <c r="E50" s="240">
        <f t="shared" si="2"/>
        <v>9799749.9024465065</v>
      </c>
      <c r="F50" s="240">
        <f t="shared" si="2"/>
        <v>10338736.147081064</v>
      </c>
      <c r="G50" s="240">
        <f t="shared" si="2"/>
        <v>10907366.635170521</v>
      </c>
      <c r="H50" s="240">
        <f t="shared" si="2"/>
        <v>11507271.800104899</v>
      </c>
      <c r="I50" s="240">
        <f t="shared" si="2"/>
        <v>12140171.749110669</v>
      </c>
      <c r="J50" s="240">
        <f t="shared" si="2"/>
        <v>12807881.195311755</v>
      </c>
      <c r="K50" s="240">
        <f t="shared" si="2"/>
        <v>13512314.661053902</v>
      </c>
      <c r="L50" s="240">
        <f t="shared" si="2"/>
        <v>14255491.967411865</v>
      </c>
      <c r="M50" s="240">
        <f t="shared" si="2"/>
        <v>15039544.025619518</v>
      </c>
      <c r="N50" s="240">
        <f t="shared" si="2"/>
        <v>15866718.94702859</v>
      </c>
      <c r="O50" s="240">
        <f t="shared" si="2"/>
        <v>16739388.489115162</v>
      </c>
      <c r="P50" s="240">
        <f t="shared" si="2"/>
        <v>17660054.856016494</v>
      </c>
      <c r="Q50" s="240">
        <f t="shared" si="2"/>
        <v>18631357.873097401</v>
      </c>
      <c r="R50" s="240">
        <f t="shared" si="2"/>
        <v>19656082.556117754</v>
      </c>
      <c r="S50" s="240">
        <f t="shared" si="2"/>
        <v>20737167.09670423</v>
      </c>
      <c r="T50" s="240">
        <f t="shared" si="2"/>
        <v>21877711.287022963</v>
      </c>
      <c r="U50" s="240">
        <f t="shared" si="2"/>
        <v>23080985.40780922</v>
      </c>
      <c r="V50" s="240">
        <f t="shared" si="2"/>
        <v>24350439.605238728</v>
      </c>
      <c r="W50" s="240">
        <f t="shared" si="2"/>
        <v>25689713.783526853</v>
      </c>
      <c r="X50" s="240">
        <f t="shared" si="2"/>
        <v>27102648.041620832</v>
      </c>
      <c r="Y50" s="240">
        <f t="shared" si="2"/>
        <v>28593293.683909971</v>
      </c>
      <c r="Z50" s="240">
        <f t="shared" si="2"/>
        <v>30165924.836525019</v>
      </c>
      <c r="AA50" s="240">
        <f t="shared" si="2"/>
        <v>31825050.702533893</v>
      </c>
      <c r="AB50" s="240">
        <f t="shared" si="2"/>
        <v>33575428.49117326</v>
      </c>
      <c r="AC50" s="240">
        <f t="shared" si="2"/>
        <v>35422077.058187783</v>
      </c>
      <c r="AD50" s="240">
        <f t="shared" si="2"/>
        <v>37370291.296388112</v>
      </c>
      <c r="AE50" s="240">
        <f t="shared" si="2"/>
        <v>39425657.317689449</v>
      </c>
      <c r="AF50" s="240">
        <f t="shared" si="2"/>
        <v>41594068.470162369</v>
      </c>
      <c r="AG50" s="240">
        <f t="shared" si="2"/>
        <v>43881742.236021295</v>
      </c>
      <c r="AH50" s="240">
        <f t="shared" si="2"/>
        <v>46295238.059002466</v>
      </c>
      <c r="AI50" s="240">
        <f t="shared" si="2"/>
        <v>48841476.1522476</v>
      </c>
      <c r="AJ50" s="240">
        <f t="shared" si="2"/>
        <v>51527757.340621218</v>
      </c>
      <c r="AK50" s="240">
        <f t="shared" si="2"/>
        <v>54361783.994355381</v>
      </c>
      <c r="AL50" s="240">
        <f t="shared" si="2"/>
        <v>57351682.11404492</v>
      </c>
      <c r="AM50" s="240">
        <f t="shared" si="2"/>
        <v>60506024.63031739</v>
      </c>
      <c r="AN50" s="240">
        <f t="shared" si="2"/>
        <v>63833855.984984837</v>
      </c>
      <c r="AO50" s="240">
        <f t="shared" si="2"/>
        <v>67344718.064159006</v>
      </c>
      <c r="AP50" s="240">
        <f t="shared" si="2"/>
        <v>71048677.557687759</v>
      </c>
    </row>
    <row r="51" spans="1:45" ht="16.5" thickBot="1" x14ac:dyDescent="0.25"/>
    <row r="52" spans="1:45" x14ac:dyDescent="0.2">
      <c r="A52" s="241" t="s">
        <v>331</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330</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329</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328</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327</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562</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326</v>
      </c>
      <c r="B59" s="251">
        <f t="shared" ref="B59:AP59" si="8">B50*$B$28</f>
        <v>23485097.449999999</v>
      </c>
      <c r="C59" s="251">
        <f t="shared" si="8"/>
        <v>2905520.9611709961</v>
      </c>
      <c r="D59" s="251">
        <f t="shared" si="8"/>
        <v>6130649.2280708021</v>
      </c>
      <c r="E59" s="251">
        <f t="shared" si="8"/>
        <v>9799749.9024465065</v>
      </c>
      <c r="F59" s="251">
        <f t="shared" si="8"/>
        <v>10338736.147081064</v>
      </c>
      <c r="G59" s="251">
        <f t="shared" si="8"/>
        <v>10907366.635170521</v>
      </c>
      <c r="H59" s="251">
        <f t="shared" si="8"/>
        <v>11507271.800104899</v>
      </c>
      <c r="I59" s="251">
        <f t="shared" si="8"/>
        <v>12140171.749110669</v>
      </c>
      <c r="J59" s="251">
        <f t="shared" si="8"/>
        <v>12807881.195311755</v>
      </c>
      <c r="K59" s="251">
        <f t="shared" si="8"/>
        <v>13512314.661053902</v>
      </c>
      <c r="L59" s="251">
        <f t="shared" si="8"/>
        <v>14255491.967411865</v>
      </c>
      <c r="M59" s="251">
        <f t="shared" si="8"/>
        <v>15039544.025619518</v>
      </c>
      <c r="N59" s="251">
        <f t="shared" si="8"/>
        <v>15866718.94702859</v>
      </c>
      <c r="O59" s="251">
        <f t="shared" si="8"/>
        <v>16739388.489115162</v>
      </c>
      <c r="P59" s="251">
        <f t="shared" si="8"/>
        <v>17660054.856016494</v>
      </c>
      <c r="Q59" s="251">
        <f t="shared" si="8"/>
        <v>18631357.873097401</v>
      </c>
      <c r="R59" s="251">
        <f t="shared" si="8"/>
        <v>19656082.556117754</v>
      </c>
      <c r="S59" s="251">
        <f t="shared" si="8"/>
        <v>20737167.09670423</v>
      </c>
      <c r="T59" s="251">
        <f t="shared" si="8"/>
        <v>21877711.287022963</v>
      </c>
      <c r="U59" s="251">
        <f t="shared" si="8"/>
        <v>23080985.40780922</v>
      </c>
      <c r="V59" s="251">
        <f t="shared" si="8"/>
        <v>24350439.605238728</v>
      </c>
      <c r="W59" s="251">
        <f t="shared" si="8"/>
        <v>25689713.783526853</v>
      </c>
      <c r="X59" s="251">
        <f t="shared" si="8"/>
        <v>27102648.041620832</v>
      </c>
      <c r="Y59" s="251">
        <f t="shared" si="8"/>
        <v>28593293.683909971</v>
      </c>
      <c r="Z59" s="251">
        <f t="shared" si="8"/>
        <v>30165924.836525019</v>
      </c>
      <c r="AA59" s="251">
        <f t="shared" si="8"/>
        <v>31825050.702533893</v>
      </c>
      <c r="AB59" s="251">
        <f t="shared" si="8"/>
        <v>33575428.49117326</v>
      </c>
      <c r="AC59" s="251">
        <f t="shared" si="8"/>
        <v>35422077.058187783</v>
      </c>
      <c r="AD59" s="251">
        <f t="shared" si="8"/>
        <v>37370291.296388112</v>
      </c>
      <c r="AE59" s="251">
        <f t="shared" si="8"/>
        <v>39425657.317689449</v>
      </c>
      <c r="AF59" s="251">
        <f t="shared" si="8"/>
        <v>41594068.470162369</v>
      </c>
      <c r="AG59" s="251">
        <f t="shared" si="8"/>
        <v>43881742.236021295</v>
      </c>
      <c r="AH59" s="251">
        <f t="shared" si="8"/>
        <v>46295238.059002466</v>
      </c>
      <c r="AI59" s="251">
        <f t="shared" si="8"/>
        <v>48841476.1522476</v>
      </c>
      <c r="AJ59" s="251">
        <f t="shared" si="8"/>
        <v>51527757.340621218</v>
      </c>
      <c r="AK59" s="251">
        <f t="shared" si="8"/>
        <v>54361783.994355381</v>
      </c>
      <c r="AL59" s="251">
        <f t="shared" si="8"/>
        <v>57351682.11404492</v>
      </c>
      <c r="AM59" s="251">
        <f t="shared" si="8"/>
        <v>60506024.63031739</v>
      </c>
      <c r="AN59" s="251">
        <f t="shared" si="8"/>
        <v>63833855.984984837</v>
      </c>
      <c r="AO59" s="251">
        <f t="shared" si="8"/>
        <v>67344718.064159006</v>
      </c>
      <c r="AP59" s="251">
        <f t="shared" si="8"/>
        <v>71048677.557687759</v>
      </c>
    </row>
    <row r="60" spans="1:45" x14ac:dyDescent="0.2">
      <c r="A60" s="243" t="s">
        <v>325</v>
      </c>
      <c r="B60" s="244">
        <f t="shared" ref="B60:Z60" si="9">SUM(B61:B65)</f>
        <v>0</v>
      </c>
      <c r="C60" s="244">
        <f t="shared" si="9"/>
        <v>-248472.33155000003</v>
      </c>
      <c r="D60" s="244">
        <f>SUM(D61:D65)</f>
        <v>-262138.30978525002</v>
      </c>
      <c r="E60" s="244">
        <f t="shared" si="9"/>
        <v>-276555.91682343878</v>
      </c>
      <c r="F60" s="244">
        <f t="shared" si="9"/>
        <v>-291766.49224872788</v>
      </c>
      <c r="G60" s="244">
        <f t="shared" si="9"/>
        <v>-307813.6493224079</v>
      </c>
      <c r="H60" s="244">
        <f t="shared" si="9"/>
        <v>-324743.40003514034</v>
      </c>
      <c r="I60" s="244">
        <f t="shared" si="9"/>
        <v>-342604.28703707299</v>
      </c>
      <c r="J60" s="244">
        <f t="shared" si="9"/>
        <v>-361447.52282411203</v>
      </c>
      <c r="K60" s="244">
        <f t="shared" si="9"/>
        <v>-381327.13657943817</v>
      </c>
      <c r="L60" s="244">
        <f t="shared" si="9"/>
        <v>-402300.12909130723</v>
      </c>
      <c r="M60" s="244">
        <f t="shared" si="9"/>
        <v>-424426.63619132916</v>
      </c>
      <c r="N60" s="244">
        <f t="shared" si="9"/>
        <v>-447770.10118185222</v>
      </c>
      <c r="O60" s="244">
        <f t="shared" si="9"/>
        <v>-472397.45674685406</v>
      </c>
      <c r="P60" s="244">
        <f t="shared" si="9"/>
        <v>-498379.31686793099</v>
      </c>
      <c r="Q60" s="244">
        <f t="shared" si="9"/>
        <v>-525790.1792956671</v>
      </c>
      <c r="R60" s="244">
        <f t="shared" si="9"/>
        <v>-554708.63915692875</v>
      </c>
      <c r="S60" s="244">
        <f t="shared" si="9"/>
        <v>-585217.61431055982</v>
      </c>
      <c r="T60" s="244">
        <f t="shared" si="9"/>
        <v>-617404.58309764066</v>
      </c>
      <c r="U60" s="244">
        <f t="shared" si="9"/>
        <v>-651361.83516801079</v>
      </c>
      <c r="V60" s="244">
        <f t="shared" si="9"/>
        <v>-687186.73610225134</v>
      </c>
      <c r="W60" s="244">
        <f t="shared" si="9"/>
        <v>-724982.00658787508</v>
      </c>
      <c r="X60" s="244">
        <f t="shared" si="9"/>
        <v>-764856.01695020811</v>
      </c>
      <c r="Y60" s="244">
        <f t="shared" si="9"/>
        <v>-806923.09788246953</v>
      </c>
      <c r="Z60" s="244">
        <f t="shared" si="9"/>
        <v>-851303.86826600519</v>
      </c>
      <c r="AA60" s="244">
        <f t="shared" ref="AA60:AP60" si="10">SUM(AA61:AA65)</f>
        <v>-898125.58102063555</v>
      </c>
      <c r="AB60" s="244">
        <f t="shared" si="10"/>
        <v>-947522.4879767705</v>
      </c>
      <c r="AC60" s="244">
        <f t="shared" si="10"/>
        <v>-999636.22481549275</v>
      </c>
      <c r="AD60" s="244">
        <f t="shared" si="10"/>
        <v>-1054616.2171803447</v>
      </c>
      <c r="AE60" s="244">
        <f t="shared" si="10"/>
        <v>-1112620.1091252635</v>
      </c>
      <c r="AF60" s="244">
        <f t="shared" si="10"/>
        <v>-1173814.2151271531</v>
      </c>
      <c r="AG60" s="244">
        <f t="shared" si="10"/>
        <v>-1238373.9969591463</v>
      </c>
      <c r="AH60" s="244">
        <f t="shared" si="10"/>
        <v>-1306484.5667918995</v>
      </c>
      <c r="AI60" s="244">
        <f t="shared" si="10"/>
        <v>-1378341.2179654539</v>
      </c>
      <c r="AJ60" s="244">
        <f t="shared" si="10"/>
        <v>-1454149.9849535539</v>
      </c>
      <c r="AK60" s="244">
        <f t="shared" si="10"/>
        <v>-1534128.234125999</v>
      </c>
      <c r="AL60" s="244">
        <f t="shared" si="10"/>
        <v>-1618505.287002929</v>
      </c>
      <c r="AM60" s="244">
        <f t="shared" si="10"/>
        <v>-1707523.0777880899</v>
      </c>
      <c r="AN60" s="244">
        <f t="shared" si="10"/>
        <v>-1801436.8470664348</v>
      </c>
      <c r="AO60" s="244">
        <f t="shared" si="10"/>
        <v>-1900515.8736550887</v>
      </c>
      <c r="AP60" s="244">
        <f t="shared" si="10"/>
        <v>-2005044.2467061186</v>
      </c>
    </row>
    <row r="61" spans="1:45" x14ac:dyDescent="0.2">
      <c r="A61" s="252" t="s">
        <v>324</v>
      </c>
      <c r="B61" s="244"/>
      <c r="C61" s="244">
        <f>-IF(C$47&lt;=$B$30,0,$B$29*(1+C$49)*$B$28)</f>
        <v>-248472.33155000003</v>
      </c>
      <c r="D61" s="244">
        <f>-IF(D$47&lt;=$B$30,0,$B$29*(1+D$49)*$B$28)</f>
        <v>-262138.30978525002</v>
      </c>
      <c r="E61" s="244">
        <f t="shared" ref="E61:AP61" si="11">-IF(E$47&lt;=$B$30,0,$B$29*(1+E$49)*$B$28)</f>
        <v>-276555.91682343878</v>
      </c>
      <c r="F61" s="244">
        <f t="shared" si="11"/>
        <v>-291766.49224872788</v>
      </c>
      <c r="G61" s="244">
        <f t="shared" si="11"/>
        <v>-307813.6493224079</v>
      </c>
      <c r="H61" s="244">
        <f t="shared" si="11"/>
        <v>-324743.40003514034</v>
      </c>
      <c r="I61" s="244">
        <f t="shared" si="11"/>
        <v>-342604.28703707299</v>
      </c>
      <c r="J61" s="244">
        <f t="shared" si="11"/>
        <v>-361447.52282411203</v>
      </c>
      <c r="K61" s="244">
        <f t="shared" si="11"/>
        <v>-381327.13657943817</v>
      </c>
      <c r="L61" s="244">
        <f t="shared" si="11"/>
        <v>-402300.12909130723</v>
      </c>
      <c r="M61" s="244">
        <f t="shared" si="11"/>
        <v>-424426.63619132916</v>
      </c>
      <c r="N61" s="244">
        <f t="shared" si="11"/>
        <v>-447770.10118185222</v>
      </c>
      <c r="O61" s="244">
        <f t="shared" si="11"/>
        <v>-472397.45674685406</v>
      </c>
      <c r="P61" s="244">
        <f t="shared" si="11"/>
        <v>-498379.31686793099</v>
      </c>
      <c r="Q61" s="244">
        <f t="shared" si="11"/>
        <v>-525790.1792956671</v>
      </c>
      <c r="R61" s="244">
        <f t="shared" si="11"/>
        <v>-554708.63915692875</v>
      </c>
      <c r="S61" s="244">
        <f t="shared" si="11"/>
        <v>-585217.61431055982</v>
      </c>
      <c r="T61" s="244">
        <f t="shared" si="11"/>
        <v>-617404.58309764066</v>
      </c>
      <c r="U61" s="244">
        <f t="shared" si="11"/>
        <v>-651361.83516801079</v>
      </c>
      <c r="V61" s="244">
        <f t="shared" si="11"/>
        <v>-687186.73610225134</v>
      </c>
      <c r="W61" s="244">
        <f t="shared" si="11"/>
        <v>-724982.00658787508</v>
      </c>
      <c r="X61" s="244">
        <f t="shared" si="11"/>
        <v>-764856.01695020811</v>
      </c>
      <c r="Y61" s="244">
        <f t="shared" si="11"/>
        <v>-806923.09788246953</v>
      </c>
      <c r="Z61" s="244">
        <f t="shared" si="11"/>
        <v>-851303.86826600519</v>
      </c>
      <c r="AA61" s="244">
        <f t="shared" si="11"/>
        <v>-898125.58102063555</v>
      </c>
      <c r="AB61" s="244">
        <f t="shared" si="11"/>
        <v>-947522.4879767705</v>
      </c>
      <c r="AC61" s="244">
        <f t="shared" si="11"/>
        <v>-999636.22481549275</v>
      </c>
      <c r="AD61" s="244">
        <f t="shared" si="11"/>
        <v>-1054616.2171803447</v>
      </c>
      <c r="AE61" s="244">
        <f t="shared" si="11"/>
        <v>-1112620.1091252635</v>
      </c>
      <c r="AF61" s="244">
        <f t="shared" si="11"/>
        <v>-1173814.2151271531</v>
      </c>
      <c r="AG61" s="244">
        <f t="shared" si="11"/>
        <v>-1238373.9969591463</v>
      </c>
      <c r="AH61" s="244">
        <f t="shared" si="11"/>
        <v>-1306484.5667918995</v>
      </c>
      <c r="AI61" s="244">
        <f t="shared" si="11"/>
        <v>-1378341.2179654539</v>
      </c>
      <c r="AJ61" s="244">
        <f t="shared" si="11"/>
        <v>-1454149.9849535539</v>
      </c>
      <c r="AK61" s="244">
        <f t="shared" si="11"/>
        <v>-1534128.234125999</v>
      </c>
      <c r="AL61" s="244">
        <f t="shared" si="11"/>
        <v>-1618505.287002929</v>
      </c>
      <c r="AM61" s="244">
        <f t="shared" si="11"/>
        <v>-1707523.0777880899</v>
      </c>
      <c r="AN61" s="244">
        <f t="shared" si="11"/>
        <v>-1801436.8470664348</v>
      </c>
      <c r="AO61" s="244">
        <f t="shared" si="11"/>
        <v>-1900515.8736550887</v>
      </c>
      <c r="AP61" s="244">
        <f t="shared" si="11"/>
        <v>-2005044.2467061186</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559</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559</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563</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322</v>
      </c>
      <c r="B66" s="251">
        <f t="shared" ref="B66:AO66" si="12">B59+B60</f>
        <v>23485097.449999999</v>
      </c>
      <c r="C66" s="251">
        <f t="shared" si="12"/>
        <v>2657048.6296209958</v>
      </c>
      <c r="D66" s="251">
        <f t="shared" si="12"/>
        <v>5868510.9182855524</v>
      </c>
      <c r="E66" s="251">
        <f t="shared" si="12"/>
        <v>9523193.9856230672</v>
      </c>
      <c r="F66" s="251">
        <f t="shared" si="12"/>
        <v>10046969.654832337</v>
      </c>
      <c r="G66" s="251">
        <f t="shared" si="12"/>
        <v>10599552.985848114</v>
      </c>
      <c r="H66" s="251">
        <f t="shared" si="12"/>
        <v>11182528.400069758</v>
      </c>
      <c r="I66" s="251">
        <f t="shared" si="12"/>
        <v>11797567.462073596</v>
      </c>
      <c r="J66" s="251">
        <f t="shared" si="12"/>
        <v>12446433.672487643</v>
      </c>
      <c r="K66" s="251">
        <f t="shared" si="12"/>
        <v>13130987.524474462</v>
      </c>
      <c r="L66" s="251">
        <f t="shared" si="12"/>
        <v>13853191.838320557</v>
      </c>
      <c r="M66" s="251">
        <f t="shared" si="12"/>
        <v>14615117.389428189</v>
      </c>
      <c r="N66" s="251">
        <f t="shared" si="12"/>
        <v>15418948.845846739</v>
      </c>
      <c r="O66" s="251">
        <f t="shared" si="12"/>
        <v>16266991.032368308</v>
      </c>
      <c r="P66" s="251">
        <f t="shared" si="12"/>
        <v>17161675.539148562</v>
      </c>
      <c r="Q66" s="251">
        <f t="shared" si="12"/>
        <v>18105567.693801735</v>
      </c>
      <c r="R66" s="251">
        <f t="shared" si="12"/>
        <v>19101373.916960824</v>
      </c>
      <c r="S66" s="251">
        <f t="shared" si="12"/>
        <v>20151949.482393671</v>
      </c>
      <c r="T66" s="251">
        <f t="shared" si="12"/>
        <v>21260306.703925323</v>
      </c>
      <c r="U66" s="251">
        <f t="shared" si="12"/>
        <v>22429623.572641209</v>
      </c>
      <c r="V66" s="251">
        <f t="shared" si="12"/>
        <v>23663252.869136475</v>
      </c>
      <c r="W66" s="251">
        <f t="shared" si="12"/>
        <v>24964731.776938979</v>
      </c>
      <c r="X66" s="251">
        <f t="shared" si="12"/>
        <v>26337792.024670623</v>
      </c>
      <c r="Y66" s="251">
        <f t="shared" si="12"/>
        <v>27786370.586027503</v>
      </c>
      <c r="Z66" s="251">
        <f t="shared" si="12"/>
        <v>29314620.968259014</v>
      </c>
      <c r="AA66" s="251">
        <f t="shared" si="12"/>
        <v>30926925.121513259</v>
      </c>
      <c r="AB66" s="251">
        <f t="shared" si="12"/>
        <v>32627906.003196489</v>
      </c>
      <c r="AC66" s="251">
        <f t="shared" si="12"/>
        <v>34422440.833372287</v>
      </c>
      <c r="AD66" s="251">
        <f t="shared" si="12"/>
        <v>36315675.079207771</v>
      </c>
      <c r="AE66" s="251">
        <f t="shared" si="12"/>
        <v>38313037.208564185</v>
      </c>
      <c r="AF66" s="251">
        <f t="shared" si="12"/>
        <v>40420254.255035214</v>
      </c>
      <c r="AG66" s="251">
        <f t="shared" si="12"/>
        <v>42643368.239062145</v>
      </c>
      <c r="AH66" s="251">
        <f t="shared" si="12"/>
        <v>44988753.492210567</v>
      </c>
      <c r="AI66" s="251">
        <f t="shared" si="12"/>
        <v>47463134.934282146</v>
      </c>
      <c r="AJ66" s="251">
        <f t="shared" si="12"/>
        <v>50073607.355667666</v>
      </c>
      <c r="AK66" s="251">
        <f t="shared" si="12"/>
        <v>52827655.760229379</v>
      </c>
      <c r="AL66" s="251">
        <f t="shared" si="12"/>
        <v>55733176.827041991</v>
      </c>
      <c r="AM66" s="251">
        <f t="shared" si="12"/>
        <v>58798501.552529298</v>
      </c>
      <c r="AN66" s="251">
        <f t="shared" si="12"/>
        <v>62032419.137918405</v>
      </c>
      <c r="AO66" s="251">
        <f t="shared" si="12"/>
        <v>65444202.190503918</v>
      </c>
      <c r="AP66" s="251">
        <f>AP59+AP60</f>
        <v>69043633.310981646</v>
      </c>
    </row>
    <row r="67" spans="1:45" x14ac:dyDescent="0.2">
      <c r="A67" s="252" t="s">
        <v>317</v>
      </c>
      <c r="B67" s="254"/>
      <c r="C67" s="244">
        <f>-($B$25)*1.18*$B$28/$B$27</f>
        <v>-939403.9</v>
      </c>
      <c r="D67" s="244">
        <f>C67</f>
        <v>-939403.9</v>
      </c>
      <c r="E67" s="244">
        <f t="shared" ref="E67:AP67" si="13">D67</f>
        <v>-939403.9</v>
      </c>
      <c r="F67" s="244">
        <f t="shared" si="13"/>
        <v>-939403.9</v>
      </c>
      <c r="G67" s="244">
        <f t="shared" si="13"/>
        <v>-939403.9</v>
      </c>
      <c r="H67" s="244">
        <f t="shared" si="13"/>
        <v>-939403.9</v>
      </c>
      <c r="I67" s="244">
        <f t="shared" si="13"/>
        <v>-939403.9</v>
      </c>
      <c r="J67" s="244">
        <f t="shared" si="13"/>
        <v>-939403.9</v>
      </c>
      <c r="K67" s="244">
        <f t="shared" si="13"/>
        <v>-939403.9</v>
      </c>
      <c r="L67" s="244">
        <f t="shared" si="13"/>
        <v>-939403.9</v>
      </c>
      <c r="M67" s="244">
        <f t="shared" si="13"/>
        <v>-939403.9</v>
      </c>
      <c r="N67" s="244">
        <f t="shared" si="13"/>
        <v>-939403.9</v>
      </c>
      <c r="O67" s="244">
        <f t="shared" si="13"/>
        <v>-939403.9</v>
      </c>
      <c r="P67" s="244">
        <f t="shared" si="13"/>
        <v>-939403.9</v>
      </c>
      <c r="Q67" s="244">
        <f t="shared" si="13"/>
        <v>-939403.9</v>
      </c>
      <c r="R67" s="244">
        <f t="shared" si="13"/>
        <v>-939403.9</v>
      </c>
      <c r="S67" s="244">
        <f t="shared" si="13"/>
        <v>-939403.9</v>
      </c>
      <c r="T67" s="244">
        <f t="shared" si="13"/>
        <v>-939403.9</v>
      </c>
      <c r="U67" s="244">
        <f t="shared" si="13"/>
        <v>-939403.9</v>
      </c>
      <c r="V67" s="244">
        <f t="shared" si="13"/>
        <v>-939403.9</v>
      </c>
      <c r="W67" s="244">
        <f t="shared" si="13"/>
        <v>-939403.9</v>
      </c>
      <c r="X67" s="244">
        <f t="shared" si="13"/>
        <v>-939403.9</v>
      </c>
      <c r="Y67" s="244">
        <f t="shared" si="13"/>
        <v>-939403.9</v>
      </c>
      <c r="Z67" s="244">
        <f t="shared" si="13"/>
        <v>-939403.9</v>
      </c>
      <c r="AA67" s="244">
        <f t="shared" si="13"/>
        <v>-939403.9</v>
      </c>
      <c r="AB67" s="244">
        <f t="shared" si="13"/>
        <v>-939403.9</v>
      </c>
      <c r="AC67" s="244">
        <f t="shared" si="13"/>
        <v>-939403.9</v>
      </c>
      <c r="AD67" s="244">
        <f t="shared" si="13"/>
        <v>-939403.9</v>
      </c>
      <c r="AE67" s="244">
        <f t="shared" si="13"/>
        <v>-939403.9</v>
      </c>
      <c r="AF67" s="244">
        <f t="shared" si="13"/>
        <v>-939403.9</v>
      </c>
      <c r="AG67" s="244">
        <f t="shared" si="13"/>
        <v>-939403.9</v>
      </c>
      <c r="AH67" s="244">
        <f t="shared" si="13"/>
        <v>-939403.9</v>
      </c>
      <c r="AI67" s="244">
        <f t="shared" si="13"/>
        <v>-939403.9</v>
      </c>
      <c r="AJ67" s="244">
        <f t="shared" si="13"/>
        <v>-939403.9</v>
      </c>
      <c r="AK67" s="244">
        <f t="shared" si="13"/>
        <v>-939403.9</v>
      </c>
      <c r="AL67" s="244">
        <f t="shared" si="13"/>
        <v>-939403.9</v>
      </c>
      <c r="AM67" s="244">
        <f t="shared" si="13"/>
        <v>-939403.9</v>
      </c>
      <c r="AN67" s="244">
        <f t="shared" si="13"/>
        <v>-939403.9</v>
      </c>
      <c r="AO67" s="244">
        <f t="shared" si="13"/>
        <v>-939403.9</v>
      </c>
      <c r="AP67" s="244">
        <f t="shared" si="13"/>
        <v>-939403.9</v>
      </c>
      <c r="AQ67" s="255">
        <f>SUM(B67:AA67)/1.18</f>
        <v>-19902624.999999996</v>
      </c>
      <c r="AR67" s="256">
        <f>SUM(B67:AF67)/1.18</f>
        <v>-23883149.999999989</v>
      </c>
      <c r="AS67" s="256">
        <f>SUM(B67:AP67)/1.18</f>
        <v>-31844199.999999978</v>
      </c>
    </row>
    <row r="68" spans="1:45" ht="28.5" x14ac:dyDescent="0.2">
      <c r="A68" s="253" t="s">
        <v>318</v>
      </c>
      <c r="B68" s="251">
        <f t="shared" ref="B68:J68" si="14">B66+B67</f>
        <v>23485097.449999999</v>
      </c>
      <c r="C68" s="251">
        <f>C66+C67</f>
        <v>1717644.7296209959</v>
      </c>
      <c r="D68" s="251">
        <f>D66+D67</f>
        <v>4929107.018285552</v>
      </c>
      <c r="E68" s="251">
        <f t="shared" si="14"/>
        <v>8583790.0856230669</v>
      </c>
      <c r="F68" s="251">
        <f>F66+C67</f>
        <v>9107565.7548323367</v>
      </c>
      <c r="G68" s="251">
        <f t="shared" si="14"/>
        <v>9660149.0858481135</v>
      </c>
      <c r="H68" s="251">
        <f t="shared" si="14"/>
        <v>10243124.500069758</v>
      </c>
      <c r="I68" s="251">
        <f t="shared" si="14"/>
        <v>10858163.562073596</v>
      </c>
      <c r="J68" s="251">
        <f t="shared" si="14"/>
        <v>11507029.772487642</v>
      </c>
      <c r="K68" s="251">
        <f>K66+K67</f>
        <v>12191583.624474462</v>
      </c>
      <c r="L68" s="251">
        <f>L66+L67</f>
        <v>12913787.938320557</v>
      </c>
      <c r="M68" s="251">
        <f t="shared" ref="M68:AO68" si="15">M66+M67</f>
        <v>13675713.489428189</v>
      </c>
      <c r="N68" s="251">
        <f t="shared" si="15"/>
        <v>14479544.945846738</v>
      </c>
      <c r="O68" s="251">
        <f t="shared" si="15"/>
        <v>15327587.132368308</v>
      </c>
      <c r="P68" s="251">
        <f t="shared" si="15"/>
        <v>16222271.639148561</v>
      </c>
      <c r="Q68" s="251">
        <f t="shared" si="15"/>
        <v>17166163.793801736</v>
      </c>
      <c r="R68" s="251">
        <f t="shared" si="15"/>
        <v>18161970.016960826</v>
      </c>
      <c r="S68" s="251">
        <f t="shared" si="15"/>
        <v>19212545.582393672</v>
      </c>
      <c r="T68" s="251">
        <f t="shared" si="15"/>
        <v>20320902.803925324</v>
      </c>
      <c r="U68" s="251">
        <f t="shared" si="15"/>
        <v>21490219.67264121</v>
      </c>
      <c r="V68" s="251">
        <f t="shared" si="15"/>
        <v>22723848.969136477</v>
      </c>
      <c r="W68" s="251">
        <f t="shared" si="15"/>
        <v>24025327.87693898</v>
      </c>
      <c r="X68" s="251">
        <f t="shared" si="15"/>
        <v>25398388.124670625</v>
      </c>
      <c r="Y68" s="251">
        <f t="shared" si="15"/>
        <v>26846966.686027505</v>
      </c>
      <c r="Z68" s="251">
        <f t="shared" si="15"/>
        <v>28375217.068259016</v>
      </c>
      <c r="AA68" s="251">
        <f t="shared" si="15"/>
        <v>29987521.22151326</v>
      </c>
      <c r="AB68" s="251">
        <f t="shared" si="15"/>
        <v>31688502.103196491</v>
      </c>
      <c r="AC68" s="251">
        <f t="shared" si="15"/>
        <v>33483036.933372289</v>
      </c>
      <c r="AD68" s="251">
        <f t="shared" si="15"/>
        <v>35376271.179207772</v>
      </c>
      <c r="AE68" s="251">
        <f t="shared" si="15"/>
        <v>37373633.308564186</v>
      </c>
      <c r="AF68" s="251">
        <f t="shared" si="15"/>
        <v>39480850.355035216</v>
      </c>
      <c r="AG68" s="251">
        <f t="shared" si="15"/>
        <v>41703964.339062147</v>
      </c>
      <c r="AH68" s="251">
        <f t="shared" si="15"/>
        <v>44049349.592210568</v>
      </c>
      <c r="AI68" s="251">
        <f t="shared" si="15"/>
        <v>46523731.034282148</v>
      </c>
      <c r="AJ68" s="251">
        <f t="shared" si="15"/>
        <v>49134203.455667667</v>
      </c>
      <c r="AK68" s="251">
        <f t="shared" si="15"/>
        <v>51888251.86022938</v>
      </c>
      <c r="AL68" s="251">
        <f t="shared" si="15"/>
        <v>54793772.927041993</v>
      </c>
      <c r="AM68" s="251">
        <f t="shared" si="15"/>
        <v>57859097.652529299</v>
      </c>
      <c r="AN68" s="251">
        <f t="shared" si="15"/>
        <v>61093015.237918407</v>
      </c>
      <c r="AO68" s="251">
        <f t="shared" si="15"/>
        <v>64504798.290503919</v>
      </c>
      <c r="AP68" s="251">
        <f>AP66+AP67</f>
        <v>68104229.41098164</v>
      </c>
      <c r="AQ68" s="196">
        <v>25</v>
      </c>
      <c r="AR68" s="196">
        <v>30</v>
      </c>
      <c r="AS68" s="196">
        <v>40</v>
      </c>
    </row>
    <row r="69" spans="1:45" x14ac:dyDescent="0.2">
      <c r="A69" s="252" t="s">
        <v>316</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321</v>
      </c>
      <c r="B70" s="251">
        <f t="shared" ref="B70:AO70" si="17">B68+B69</f>
        <v>23485097.449999999</v>
      </c>
      <c r="C70" s="251">
        <f t="shared" si="17"/>
        <v>1717644.7296209959</v>
      </c>
      <c r="D70" s="251">
        <f t="shared" si="17"/>
        <v>4929107.018285552</v>
      </c>
      <c r="E70" s="251">
        <f t="shared" si="17"/>
        <v>8583790.0856230669</v>
      </c>
      <c r="F70" s="251">
        <f t="shared" si="17"/>
        <v>9107565.7548323367</v>
      </c>
      <c r="G70" s="251">
        <f t="shared" si="17"/>
        <v>9660149.0858481135</v>
      </c>
      <c r="H70" s="251">
        <f t="shared" si="17"/>
        <v>10243124.500069758</v>
      </c>
      <c r="I70" s="251">
        <f t="shared" si="17"/>
        <v>10858163.562073596</v>
      </c>
      <c r="J70" s="251">
        <f t="shared" si="17"/>
        <v>11507029.772487642</v>
      </c>
      <c r="K70" s="251">
        <f t="shared" si="17"/>
        <v>12191583.624474462</v>
      </c>
      <c r="L70" s="251">
        <f t="shared" si="17"/>
        <v>12913787.938320557</v>
      </c>
      <c r="M70" s="251">
        <f t="shared" si="17"/>
        <v>13675713.489428189</v>
      </c>
      <c r="N70" s="251">
        <f t="shared" si="17"/>
        <v>14479544.945846738</v>
      </c>
      <c r="O70" s="251">
        <f t="shared" si="17"/>
        <v>15327587.132368308</v>
      </c>
      <c r="P70" s="251">
        <f t="shared" si="17"/>
        <v>16222271.639148561</v>
      </c>
      <c r="Q70" s="251">
        <f t="shared" si="17"/>
        <v>17166163.793801736</v>
      </c>
      <c r="R70" s="251">
        <f t="shared" si="17"/>
        <v>18161970.016960826</v>
      </c>
      <c r="S70" s="251">
        <f t="shared" si="17"/>
        <v>19212545.582393672</v>
      </c>
      <c r="T70" s="251">
        <f t="shared" si="17"/>
        <v>20320902.803925324</v>
      </c>
      <c r="U70" s="251">
        <f t="shared" si="17"/>
        <v>21490219.67264121</v>
      </c>
      <c r="V70" s="251">
        <f t="shared" si="17"/>
        <v>22723848.969136477</v>
      </c>
      <c r="W70" s="251">
        <f t="shared" si="17"/>
        <v>24025327.87693898</v>
      </c>
      <c r="X70" s="251">
        <f t="shared" si="17"/>
        <v>25398388.124670625</v>
      </c>
      <c r="Y70" s="251">
        <f t="shared" si="17"/>
        <v>26846966.686027505</v>
      </c>
      <c r="Z70" s="251">
        <f t="shared" si="17"/>
        <v>28375217.068259016</v>
      </c>
      <c r="AA70" s="251">
        <f t="shared" si="17"/>
        <v>29987521.22151326</v>
      </c>
      <c r="AB70" s="251">
        <f t="shared" si="17"/>
        <v>31688502.103196491</v>
      </c>
      <c r="AC70" s="251">
        <f t="shared" si="17"/>
        <v>33483036.933372289</v>
      </c>
      <c r="AD70" s="251">
        <f t="shared" si="17"/>
        <v>35376271.179207772</v>
      </c>
      <c r="AE70" s="251">
        <f t="shared" si="17"/>
        <v>37373633.308564186</v>
      </c>
      <c r="AF70" s="251">
        <f t="shared" si="17"/>
        <v>39480850.355035216</v>
      </c>
      <c r="AG70" s="251">
        <f t="shared" si="17"/>
        <v>41703964.339062147</v>
      </c>
      <c r="AH70" s="251">
        <f t="shared" si="17"/>
        <v>44049349.592210568</v>
      </c>
      <c r="AI70" s="251">
        <f t="shared" si="17"/>
        <v>46523731.034282148</v>
      </c>
      <c r="AJ70" s="251">
        <f t="shared" si="17"/>
        <v>49134203.455667667</v>
      </c>
      <c r="AK70" s="251">
        <f t="shared" si="17"/>
        <v>51888251.86022938</v>
      </c>
      <c r="AL70" s="251">
        <f t="shared" si="17"/>
        <v>54793772.927041993</v>
      </c>
      <c r="AM70" s="251">
        <f t="shared" si="17"/>
        <v>57859097.652529299</v>
      </c>
      <c r="AN70" s="251">
        <f t="shared" si="17"/>
        <v>61093015.237918407</v>
      </c>
      <c r="AO70" s="251">
        <f t="shared" si="17"/>
        <v>64504798.290503919</v>
      </c>
      <c r="AP70" s="251">
        <f>AP68+AP69</f>
        <v>68104229.41098164</v>
      </c>
    </row>
    <row r="71" spans="1:45" x14ac:dyDescent="0.2">
      <c r="A71" s="252" t="s">
        <v>315</v>
      </c>
      <c r="B71" s="244">
        <f t="shared" ref="B71:AP71" si="18">-B70*$B$36</f>
        <v>-4697019.49</v>
      </c>
      <c r="C71" s="244">
        <f t="shared" si="18"/>
        <v>-343528.94592419919</v>
      </c>
      <c r="D71" s="244">
        <f t="shared" si="18"/>
        <v>-985821.40365711041</v>
      </c>
      <c r="E71" s="244">
        <f t="shared" si="18"/>
        <v>-1716758.0171246135</v>
      </c>
      <c r="F71" s="244">
        <f t="shared" si="18"/>
        <v>-1821513.1509664673</v>
      </c>
      <c r="G71" s="244">
        <f t="shared" si="18"/>
        <v>-1932029.8171696228</v>
      </c>
      <c r="H71" s="244">
        <f t="shared" si="18"/>
        <v>-2048624.9000139516</v>
      </c>
      <c r="I71" s="244">
        <f t="shared" si="18"/>
        <v>-2171632.7124147192</v>
      </c>
      <c r="J71" s="244">
        <f t="shared" si="18"/>
        <v>-2301405.9544975287</v>
      </c>
      <c r="K71" s="244">
        <f t="shared" si="18"/>
        <v>-2438316.7248948924</v>
      </c>
      <c r="L71" s="244">
        <f t="shared" si="18"/>
        <v>-2582757.5876641115</v>
      </c>
      <c r="M71" s="244">
        <f t="shared" si="18"/>
        <v>-2735142.6978856381</v>
      </c>
      <c r="N71" s="244">
        <f t="shared" si="18"/>
        <v>-2895908.989169348</v>
      </c>
      <c r="O71" s="244">
        <f t="shared" si="18"/>
        <v>-3065517.4264736618</v>
      </c>
      <c r="P71" s="244">
        <f t="shared" si="18"/>
        <v>-3244454.3278297125</v>
      </c>
      <c r="Q71" s="244">
        <f t="shared" si="18"/>
        <v>-3433232.7587603475</v>
      </c>
      <c r="R71" s="244">
        <f t="shared" si="18"/>
        <v>-3632394.0033921655</v>
      </c>
      <c r="S71" s="244">
        <f t="shared" si="18"/>
        <v>-3842509.1164787346</v>
      </c>
      <c r="T71" s="244">
        <f t="shared" si="18"/>
        <v>-4064180.5607850649</v>
      </c>
      <c r="U71" s="244">
        <f t="shared" si="18"/>
        <v>-4298043.9345282419</v>
      </c>
      <c r="V71" s="244">
        <f t="shared" si="18"/>
        <v>-4544769.7938272953</v>
      </c>
      <c r="W71" s="244">
        <f t="shared" si="18"/>
        <v>-4805065.5753877964</v>
      </c>
      <c r="X71" s="244">
        <f t="shared" si="18"/>
        <v>-5079677.6249341257</v>
      </c>
      <c r="Y71" s="244">
        <f t="shared" si="18"/>
        <v>-5369393.3372055013</v>
      </c>
      <c r="Z71" s="244">
        <f t="shared" si="18"/>
        <v>-5675043.4136518035</v>
      </c>
      <c r="AA71" s="244">
        <f t="shared" si="18"/>
        <v>-5997504.2443026528</v>
      </c>
      <c r="AB71" s="244">
        <f t="shared" si="18"/>
        <v>-6337700.4206392989</v>
      </c>
      <c r="AC71" s="244">
        <f t="shared" si="18"/>
        <v>-6696607.3866744582</v>
      </c>
      <c r="AD71" s="244">
        <f t="shared" si="18"/>
        <v>-7075254.2358415546</v>
      </c>
      <c r="AE71" s="244">
        <f t="shared" si="18"/>
        <v>-7474726.6617128374</v>
      </c>
      <c r="AF71" s="244">
        <f t="shared" si="18"/>
        <v>-7896170.0710070431</v>
      </c>
      <c r="AG71" s="244">
        <f t="shared" si="18"/>
        <v>-8340792.8678124296</v>
      </c>
      <c r="AH71" s="244">
        <f t="shared" si="18"/>
        <v>-8809869.9184421133</v>
      </c>
      <c r="AI71" s="244">
        <f t="shared" si="18"/>
        <v>-9304746.2068564296</v>
      </c>
      <c r="AJ71" s="244">
        <f t="shared" si="18"/>
        <v>-9826840.6911335345</v>
      </c>
      <c r="AK71" s="244">
        <f t="shared" si="18"/>
        <v>-10377650.372045876</v>
      </c>
      <c r="AL71" s="244">
        <f t="shared" si="18"/>
        <v>-10958754.585408399</v>
      </c>
      <c r="AM71" s="244">
        <f t="shared" si="18"/>
        <v>-11571819.53050586</v>
      </c>
      <c r="AN71" s="244">
        <f t="shared" si="18"/>
        <v>-12218603.047583682</v>
      </c>
      <c r="AO71" s="244">
        <f t="shared" si="18"/>
        <v>-12900959.658100784</v>
      </c>
      <c r="AP71" s="244">
        <f t="shared" si="18"/>
        <v>-13620845.88219633</v>
      </c>
    </row>
    <row r="72" spans="1:45" ht="15" thickBot="1" x14ac:dyDescent="0.25">
      <c r="A72" s="257" t="s">
        <v>320</v>
      </c>
      <c r="B72" s="258">
        <f t="shared" ref="B72:AO72" si="19">B70+B71</f>
        <v>18788077.960000001</v>
      </c>
      <c r="C72" s="258">
        <f t="shared" si="19"/>
        <v>1374115.7836967967</v>
      </c>
      <c r="D72" s="258">
        <f t="shared" si="19"/>
        <v>3943285.6146284416</v>
      </c>
      <c r="E72" s="258">
        <f t="shared" si="19"/>
        <v>6867032.0684984531</v>
      </c>
      <c r="F72" s="258">
        <f t="shared" si="19"/>
        <v>7286052.6038658693</v>
      </c>
      <c r="G72" s="258">
        <f t="shared" si="19"/>
        <v>7728119.268678491</v>
      </c>
      <c r="H72" s="258">
        <f t="shared" si="19"/>
        <v>8194499.6000558063</v>
      </c>
      <c r="I72" s="258">
        <f t="shared" si="19"/>
        <v>8686530.8496588767</v>
      </c>
      <c r="J72" s="258">
        <f t="shared" si="19"/>
        <v>9205623.817990113</v>
      </c>
      <c r="K72" s="258">
        <f t="shared" si="19"/>
        <v>9753266.8995795697</v>
      </c>
      <c r="L72" s="258">
        <f t="shared" si="19"/>
        <v>10331030.350656446</v>
      </c>
      <c r="M72" s="258">
        <f t="shared" si="19"/>
        <v>10940570.791542551</v>
      </c>
      <c r="N72" s="258">
        <f t="shared" si="19"/>
        <v>11583635.95667739</v>
      </c>
      <c r="O72" s="258">
        <f t="shared" si="19"/>
        <v>12262069.705894645</v>
      </c>
      <c r="P72" s="258">
        <f t="shared" si="19"/>
        <v>12977817.311318848</v>
      </c>
      <c r="Q72" s="258">
        <f t="shared" si="19"/>
        <v>13732931.035041388</v>
      </c>
      <c r="R72" s="258">
        <f t="shared" si="19"/>
        <v>14529576.01356866</v>
      </c>
      <c r="S72" s="258">
        <f t="shared" si="19"/>
        <v>15370036.465914939</v>
      </c>
      <c r="T72" s="258">
        <f t="shared" si="19"/>
        <v>16256722.24314026</v>
      </c>
      <c r="U72" s="258">
        <f t="shared" si="19"/>
        <v>17192175.738112967</v>
      </c>
      <c r="V72" s="258">
        <f t="shared" si="19"/>
        <v>18179079.175309181</v>
      </c>
      <c r="W72" s="258">
        <f t="shared" si="19"/>
        <v>19220262.301551186</v>
      </c>
      <c r="X72" s="258">
        <f t="shared" si="19"/>
        <v>20318710.499736499</v>
      </c>
      <c r="Y72" s="258">
        <f t="shared" si="19"/>
        <v>21477573.348822005</v>
      </c>
      <c r="Z72" s="258">
        <f t="shared" si="19"/>
        <v>22700173.654607214</v>
      </c>
      <c r="AA72" s="258">
        <f t="shared" si="19"/>
        <v>23990016.977210607</v>
      </c>
      <c r="AB72" s="258">
        <f t="shared" si="19"/>
        <v>25350801.682557192</v>
      </c>
      <c r="AC72" s="258">
        <f t="shared" si="19"/>
        <v>26786429.546697833</v>
      </c>
      <c r="AD72" s="258">
        <f t="shared" si="19"/>
        <v>28301016.943366218</v>
      </c>
      <c r="AE72" s="258">
        <f t="shared" si="19"/>
        <v>29898906.64685135</v>
      </c>
      <c r="AF72" s="258">
        <f t="shared" si="19"/>
        <v>31584680.284028172</v>
      </c>
      <c r="AG72" s="258">
        <f t="shared" si="19"/>
        <v>33363171.471249718</v>
      </c>
      <c r="AH72" s="258">
        <f t="shared" si="19"/>
        <v>35239479.673768453</v>
      </c>
      <c r="AI72" s="258">
        <f t="shared" si="19"/>
        <v>37218984.827425718</v>
      </c>
      <c r="AJ72" s="258">
        <f t="shared" si="19"/>
        <v>39307362.764534131</v>
      </c>
      <c r="AK72" s="258">
        <f t="shared" si="19"/>
        <v>41510601.488183506</v>
      </c>
      <c r="AL72" s="258">
        <f t="shared" si="19"/>
        <v>43835018.341633596</v>
      </c>
      <c r="AM72" s="258">
        <f t="shared" si="19"/>
        <v>46287278.122023441</v>
      </c>
      <c r="AN72" s="258">
        <f t="shared" si="19"/>
        <v>48874412.190334722</v>
      </c>
      <c r="AO72" s="258">
        <f t="shared" si="19"/>
        <v>51603838.632403135</v>
      </c>
      <c r="AP72" s="258">
        <f>AP70+AP71</f>
        <v>54483383.528785311</v>
      </c>
    </row>
    <row r="73" spans="1:45" s="260" customFormat="1" ht="16.5" thickBot="1" x14ac:dyDescent="0.25">
      <c r="A73" s="247"/>
      <c r="B73" s="259">
        <f>B141</f>
        <v>0.5</v>
      </c>
      <c r="C73" s="259">
        <f t="shared" ref="C73:AP73" si="20">C141</f>
        <v>1.5</v>
      </c>
      <c r="D73" s="259">
        <f t="shared" si="20"/>
        <v>2.5</v>
      </c>
      <c r="E73" s="259">
        <f t="shared" si="20"/>
        <v>3.5</v>
      </c>
      <c r="F73" s="259">
        <f t="shared" si="20"/>
        <v>4.5</v>
      </c>
      <c r="G73" s="259">
        <f t="shared" si="20"/>
        <v>5.5</v>
      </c>
      <c r="H73" s="259">
        <f t="shared" si="20"/>
        <v>6.5</v>
      </c>
      <c r="I73" s="259">
        <f t="shared" si="20"/>
        <v>7.5</v>
      </c>
      <c r="J73" s="259">
        <f t="shared" si="20"/>
        <v>8.5</v>
      </c>
      <c r="K73" s="259">
        <f t="shared" si="20"/>
        <v>9.5</v>
      </c>
      <c r="L73" s="259">
        <f t="shared" si="20"/>
        <v>10.5</v>
      </c>
      <c r="M73" s="259">
        <f t="shared" si="20"/>
        <v>11.5</v>
      </c>
      <c r="N73" s="259">
        <f t="shared" si="20"/>
        <v>12.5</v>
      </c>
      <c r="O73" s="259">
        <f t="shared" si="20"/>
        <v>13.5</v>
      </c>
      <c r="P73" s="259">
        <f t="shared" si="20"/>
        <v>14.5</v>
      </c>
      <c r="Q73" s="259">
        <f t="shared" si="20"/>
        <v>15.5</v>
      </c>
      <c r="R73" s="259">
        <f t="shared" si="20"/>
        <v>16.5</v>
      </c>
      <c r="S73" s="259">
        <f t="shared" si="20"/>
        <v>17.5</v>
      </c>
      <c r="T73" s="259">
        <f t="shared" si="20"/>
        <v>18.5</v>
      </c>
      <c r="U73" s="259">
        <f t="shared" si="20"/>
        <v>19.5</v>
      </c>
      <c r="V73" s="259">
        <f t="shared" si="20"/>
        <v>20.5</v>
      </c>
      <c r="W73" s="259">
        <f t="shared" si="20"/>
        <v>21.5</v>
      </c>
      <c r="X73" s="259">
        <f t="shared" si="20"/>
        <v>22.5</v>
      </c>
      <c r="Y73" s="259">
        <f t="shared" si="20"/>
        <v>23.5</v>
      </c>
      <c r="Z73" s="259">
        <f t="shared" si="20"/>
        <v>24.5</v>
      </c>
      <c r="AA73" s="259">
        <f t="shared" si="20"/>
        <v>25.5</v>
      </c>
      <c r="AB73" s="259">
        <f t="shared" si="20"/>
        <v>26.5</v>
      </c>
      <c r="AC73" s="259">
        <f t="shared" si="20"/>
        <v>27.5</v>
      </c>
      <c r="AD73" s="259">
        <f t="shared" si="20"/>
        <v>28.5</v>
      </c>
      <c r="AE73" s="259">
        <f t="shared" si="20"/>
        <v>29.5</v>
      </c>
      <c r="AF73" s="259">
        <f t="shared" si="20"/>
        <v>30.5</v>
      </c>
      <c r="AG73" s="259">
        <f t="shared" si="20"/>
        <v>31.5</v>
      </c>
      <c r="AH73" s="259">
        <f t="shared" si="20"/>
        <v>32.5</v>
      </c>
      <c r="AI73" s="259">
        <f t="shared" si="20"/>
        <v>33.5</v>
      </c>
      <c r="AJ73" s="259">
        <f t="shared" si="20"/>
        <v>34.5</v>
      </c>
      <c r="AK73" s="259">
        <f t="shared" si="20"/>
        <v>35.5</v>
      </c>
      <c r="AL73" s="259">
        <f t="shared" si="20"/>
        <v>36.5</v>
      </c>
      <c r="AM73" s="259">
        <f t="shared" si="20"/>
        <v>37.5</v>
      </c>
      <c r="AN73" s="259">
        <f t="shared" si="20"/>
        <v>38.5</v>
      </c>
      <c r="AO73" s="259">
        <f t="shared" si="20"/>
        <v>39.5</v>
      </c>
      <c r="AP73" s="259">
        <f t="shared" si="20"/>
        <v>40.5</v>
      </c>
      <c r="AQ73" s="196"/>
      <c r="AR73" s="196"/>
      <c r="AS73" s="196"/>
    </row>
    <row r="74" spans="1:45" x14ac:dyDescent="0.2">
      <c r="A74" s="241" t="s">
        <v>319</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318</v>
      </c>
      <c r="B75" s="251">
        <f t="shared" ref="B75:AO75" si="22">B68</f>
        <v>23485097.449999999</v>
      </c>
      <c r="C75" s="251">
        <f t="shared" si="22"/>
        <v>1717644.7296209959</v>
      </c>
      <c r="D75" s="251">
        <f>D68</f>
        <v>4929107.018285552</v>
      </c>
      <c r="E75" s="251">
        <f t="shared" si="22"/>
        <v>8583790.0856230669</v>
      </c>
      <c r="F75" s="251">
        <f t="shared" si="22"/>
        <v>9107565.7548323367</v>
      </c>
      <c r="G75" s="251">
        <f t="shared" si="22"/>
        <v>9660149.0858481135</v>
      </c>
      <c r="H75" s="251">
        <f t="shared" si="22"/>
        <v>10243124.500069758</v>
      </c>
      <c r="I75" s="251">
        <f t="shared" si="22"/>
        <v>10858163.562073596</v>
      </c>
      <c r="J75" s="251">
        <f t="shared" si="22"/>
        <v>11507029.772487642</v>
      </c>
      <c r="K75" s="251">
        <f t="shared" si="22"/>
        <v>12191583.624474462</v>
      </c>
      <c r="L75" s="251">
        <f t="shared" si="22"/>
        <v>12913787.938320557</v>
      </c>
      <c r="M75" s="251">
        <f t="shared" si="22"/>
        <v>13675713.489428189</v>
      </c>
      <c r="N75" s="251">
        <f t="shared" si="22"/>
        <v>14479544.945846738</v>
      </c>
      <c r="O75" s="251">
        <f t="shared" si="22"/>
        <v>15327587.132368308</v>
      </c>
      <c r="P75" s="251">
        <f t="shared" si="22"/>
        <v>16222271.639148561</v>
      </c>
      <c r="Q75" s="251">
        <f t="shared" si="22"/>
        <v>17166163.793801736</v>
      </c>
      <c r="R75" s="251">
        <f t="shared" si="22"/>
        <v>18161970.016960826</v>
      </c>
      <c r="S75" s="251">
        <f t="shared" si="22"/>
        <v>19212545.582393672</v>
      </c>
      <c r="T75" s="251">
        <f t="shared" si="22"/>
        <v>20320902.803925324</v>
      </c>
      <c r="U75" s="251">
        <f t="shared" si="22"/>
        <v>21490219.67264121</v>
      </c>
      <c r="V75" s="251">
        <f t="shared" si="22"/>
        <v>22723848.969136477</v>
      </c>
      <c r="W75" s="251">
        <f t="shared" si="22"/>
        <v>24025327.87693898</v>
      </c>
      <c r="X75" s="251">
        <f t="shared" si="22"/>
        <v>25398388.124670625</v>
      </c>
      <c r="Y75" s="251">
        <f t="shared" si="22"/>
        <v>26846966.686027505</v>
      </c>
      <c r="Z75" s="251">
        <f t="shared" si="22"/>
        <v>28375217.068259016</v>
      </c>
      <c r="AA75" s="251">
        <f t="shared" si="22"/>
        <v>29987521.22151326</v>
      </c>
      <c r="AB75" s="251">
        <f t="shared" si="22"/>
        <v>31688502.103196491</v>
      </c>
      <c r="AC75" s="251">
        <f t="shared" si="22"/>
        <v>33483036.933372289</v>
      </c>
      <c r="AD75" s="251">
        <f t="shared" si="22"/>
        <v>35376271.179207772</v>
      </c>
      <c r="AE75" s="251">
        <f t="shared" si="22"/>
        <v>37373633.308564186</v>
      </c>
      <c r="AF75" s="251">
        <f t="shared" si="22"/>
        <v>39480850.355035216</v>
      </c>
      <c r="AG75" s="251">
        <f t="shared" si="22"/>
        <v>41703964.339062147</v>
      </c>
      <c r="AH75" s="251">
        <f t="shared" si="22"/>
        <v>44049349.592210568</v>
      </c>
      <c r="AI75" s="251">
        <f t="shared" si="22"/>
        <v>46523731.034282148</v>
      </c>
      <c r="AJ75" s="251">
        <f t="shared" si="22"/>
        <v>49134203.455667667</v>
      </c>
      <c r="AK75" s="251">
        <f t="shared" si="22"/>
        <v>51888251.86022938</v>
      </c>
      <c r="AL75" s="251">
        <f t="shared" si="22"/>
        <v>54793772.927041993</v>
      </c>
      <c r="AM75" s="251">
        <f t="shared" si="22"/>
        <v>57859097.652529299</v>
      </c>
      <c r="AN75" s="251">
        <f t="shared" si="22"/>
        <v>61093015.237918407</v>
      </c>
      <c r="AO75" s="251">
        <f t="shared" si="22"/>
        <v>64504798.290503919</v>
      </c>
      <c r="AP75" s="251">
        <f>AP68</f>
        <v>68104229.41098164</v>
      </c>
    </row>
    <row r="76" spans="1:45" x14ac:dyDescent="0.2">
      <c r="A76" s="252" t="s">
        <v>317</v>
      </c>
      <c r="B76" s="244">
        <f t="shared" ref="B76:AO76" si="23">-B67</f>
        <v>0</v>
      </c>
      <c r="C76" s="244">
        <f>-C67</f>
        <v>939403.9</v>
      </c>
      <c r="D76" s="244">
        <f t="shared" si="23"/>
        <v>939403.9</v>
      </c>
      <c r="E76" s="244">
        <f t="shared" si="23"/>
        <v>939403.9</v>
      </c>
      <c r="F76" s="244">
        <f>-C67</f>
        <v>939403.9</v>
      </c>
      <c r="G76" s="244">
        <f t="shared" si="23"/>
        <v>939403.9</v>
      </c>
      <c r="H76" s="244">
        <f t="shared" si="23"/>
        <v>939403.9</v>
      </c>
      <c r="I76" s="244">
        <f t="shared" si="23"/>
        <v>939403.9</v>
      </c>
      <c r="J76" s="244">
        <f t="shared" si="23"/>
        <v>939403.9</v>
      </c>
      <c r="K76" s="244">
        <f t="shared" si="23"/>
        <v>939403.9</v>
      </c>
      <c r="L76" s="244">
        <f>-L67</f>
        <v>939403.9</v>
      </c>
      <c r="M76" s="244">
        <f>-M67</f>
        <v>939403.9</v>
      </c>
      <c r="N76" s="244">
        <f t="shared" si="23"/>
        <v>939403.9</v>
      </c>
      <c r="O76" s="244">
        <f t="shared" si="23"/>
        <v>939403.9</v>
      </c>
      <c r="P76" s="244">
        <f t="shared" si="23"/>
        <v>939403.9</v>
      </c>
      <c r="Q76" s="244">
        <f t="shared" si="23"/>
        <v>939403.9</v>
      </c>
      <c r="R76" s="244">
        <f t="shared" si="23"/>
        <v>939403.9</v>
      </c>
      <c r="S76" s="244">
        <f t="shared" si="23"/>
        <v>939403.9</v>
      </c>
      <c r="T76" s="244">
        <f t="shared" si="23"/>
        <v>939403.9</v>
      </c>
      <c r="U76" s="244">
        <f t="shared" si="23"/>
        <v>939403.9</v>
      </c>
      <c r="V76" s="244">
        <f t="shared" si="23"/>
        <v>939403.9</v>
      </c>
      <c r="W76" s="244">
        <f t="shared" si="23"/>
        <v>939403.9</v>
      </c>
      <c r="X76" s="244">
        <f t="shared" si="23"/>
        <v>939403.9</v>
      </c>
      <c r="Y76" s="244">
        <f t="shared" si="23"/>
        <v>939403.9</v>
      </c>
      <c r="Z76" s="244">
        <f t="shared" si="23"/>
        <v>939403.9</v>
      </c>
      <c r="AA76" s="244">
        <f t="shared" si="23"/>
        <v>939403.9</v>
      </c>
      <c r="AB76" s="244">
        <f t="shared" si="23"/>
        <v>939403.9</v>
      </c>
      <c r="AC76" s="244">
        <f t="shared" si="23"/>
        <v>939403.9</v>
      </c>
      <c r="AD76" s="244">
        <f t="shared" si="23"/>
        <v>939403.9</v>
      </c>
      <c r="AE76" s="244">
        <f t="shared" si="23"/>
        <v>939403.9</v>
      </c>
      <c r="AF76" s="244">
        <f t="shared" si="23"/>
        <v>939403.9</v>
      </c>
      <c r="AG76" s="244">
        <f t="shared" si="23"/>
        <v>939403.9</v>
      </c>
      <c r="AH76" s="244">
        <f t="shared" si="23"/>
        <v>939403.9</v>
      </c>
      <c r="AI76" s="244">
        <f t="shared" si="23"/>
        <v>939403.9</v>
      </c>
      <c r="AJ76" s="244">
        <f t="shared" si="23"/>
        <v>939403.9</v>
      </c>
      <c r="AK76" s="244">
        <f t="shared" si="23"/>
        <v>939403.9</v>
      </c>
      <c r="AL76" s="244">
        <f t="shared" si="23"/>
        <v>939403.9</v>
      </c>
      <c r="AM76" s="244">
        <f t="shared" si="23"/>
        <v>939403.9</v>
      </c>
      <c r="AN76" s="244">
        <f t="shared" si="23"/>
        <v>939403.9</v>
      </c>
      <c r="AO76" s="244">
        <f t="shared" si="23"/>
        <v>939403.9</v>
      </c>
      <c r="AP76" s="244">
        <f>-AP67</f>
        <v>939403.9</v>
      </c>
    </row>
    <row r="77" spans="1:45" x14ac:dyDescent="0.2">
      <c r="A77" s="252" t="s">
        <v>316</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315</v>
      </c>
      <c r="B78" s="244">
        <f>IF(SUM($B$71:B71)+SUM($A$78:A78)&gt;0,0,SUM($B$71:B71)-SUM($A$78:A78))</f>
        <v>-4697019.49</v>
      </c>
      <c r="C78" s="244">
        <f>IF(SUM($B$71:C71)+SUM($A$78:B78)&gt;0,0,SUM($B$71:C71)-SUM($A$78:B78))</f>
        <v>-343528.94592419919</v>
      </c>
      <c r="D78" s="244">
        <f>IF(SUM($B$71:D71)+SUM($A$78:C78)&gt;0,0,SUM($B$71:D71)-SUM($A$78:C78))</f>
        <v>-985821.40365711041</v>
      </c>
      <c r="E78" s="244">
        <f>IF(SUM($B$71:E71)+SUM($A$78:D78)&gt;0,0,SUM($B$71:E71)-SUM($A$78:D78))</f>
        <v>-1716758.0171246137</v>
      </c>
      <c r="F78" s="244">
        <f>IF(SUM($B$71:F71)+SUM($A$78:E78)&gt;0,0,SUM($B$71:F71)-SUM($A$78:E78))</f>
        <v>-1821513.1509664683</v>
      </c>
      <c r="G78" s="244">
        <f>IF(SUM($B$71:G71)+SUM($A$78:F78)&gt;0,0,SUM($B$71:G71)-SUM($A$78:F78))</f>
        <v>-1932029.8171696234</v>
      </c>
      <c r="H78" s="244">
        <f>IF(SUM($B$71:H71)+SUM($A$78:G78)&gt;0,0,SUM($B$71:H71)-SUM($A$78:G78))</f>
        <v>-2048624.9000139516</v>
      </c>
      <c r="I78" s="244">
        <f>IF(SUM($B$71:I71)+SUM($A$78:H78)&gt;0,0,SUM($B$71:I71)-SUM($A$78:H78))</f>
        <v>-2171632.7124147192</v>
      </c>
      <c r="J78" s="244">
        <f>IF(SUM($B$71:J71)+SUM($A$78:I78)&gt;0,0,SUM($B$71:J71)-SUM($A$78:I78))</f>
        <v>-2301405.9544975273</v>
      </c>
      <c r="K78" s="244">
        <f>IF(SUM($B$71:K71)+SUM($A$78:J78)&gt;0,0,SUM($B$71:K71)-SUM($A$78:J78))</f>
        <v>-2438316.7248948924</v>
      </c>
      <c r="L78" s="244">
        <f>IF(SUM($B$71:L71)+SUM($A$78:K78)&gt;0,0,SUM($B$71:L71)-SUM($A$78:K78))</f>
        <v>-2582757.5876641124</v>
      </c>
      <c r="M78" s="244">
        <f>IF(SUM($B$71:M71)+SUM($A$78:L78)&gt;0,0,SUM($B$71:M71)-SUM($A$78:L78))</f>
        <v>-2735142.69788564</v>
      </c>
      <c r="N78" s="244">
        <f>IF(SUM($B$71:N71)+SUM($A$78:M78)&gt;0,0,SUM($B$71:N71)-SUM($A$78:M78))</f>
        <v>-2895908.989169348</v>
      </c>
      <c r="O78" s="244">
        <f>IF(SUM($B$71:O71)+SUM($A$78:N78)&gt;0,0,SUM($B$71:O71)-SUM($A$78:N78))</f>
        <v>-3065517.4264736623</v>
      </c>
      <c r="P78" s="244">
        <f>IF(SUM($B$71:P71)+SUM($A$78:O78)&gt;0,0,SUM($B$71:P71)-SUM($A$78:O78))</f>
        <v>-3244454.3278297149</v>
      </c>
      <c r="Q78" s="244">
        <f>IF(SUM($B$71:Q71)+SUM($A$78:P78)&gt;0,0,SUM($B$71:Q71)-SUM($A$78:P78))</f>
        <v>-3433232.758760348</v>
      </c>
      <c r="R78" s="244">
        <f>IF(SUM($B$71:R71)+SUM($A$78:Q78)&gt;0,0,SUM($B$71:R71)-SUM($A$78:Q78))</f>
        <v>-3632394.0033921674</v>
      </c>
      <c r="S78" s="244">
        <f>IF(SUM($B$71:S71)+SUM($A$78:R78)&gt;0,0,SUM($B$71:S71)-SUM($A$78:R78))</f>
        <v>-3842509.1164787337</v>
      </c>
      <c r="T78" s="244">
        <f>IF(SUM($B$71:T71)+SUM($A$78:S78)&gt;0,0,SUM($B$71:T71)-SUM($A$78:S78))</f>
        <v>-4064180.5607850626</v>
      </c>
      <c r="U78" s="244">
        <f>IF(SUM($B$71:U71)+SUM($A$78:T78)&gt;0,0,SUM($B$71:U71)-SUM($A$78:T78))</f>
        <v>-4298043.9345282391</v>
      </c>
      <c r="V78" s="244">
        <f>IF(SUM($B$71:V71)+SUM($A$78:U78)&gt;0,0,SUM($B$71:V71)-SUM($A$78:U78))</f>
        <v>-4544769.7938272953</v>
      </c>
      <c r="W78" s="244">
        <f>IF(SUM($B$71:W71)+SUM($A$78:V78)&gt;0,0,SUM($B$71:W71)-SUM($A$78:V78))</f>
        <v>-4805065.5753877982</v>
      </c>
      <c r="X78" s="244">
        <f>IF(SUM($B$71:X71)+SUM($A$78:W78)&gt;0,0,SUM($B$71:X71)-SUM($A$78:W78))</f>
        <v>-5079677.6249341294</v>
      </c>
      <c r="Y78" s="244">
        <f>IF(SUM($B$71:Y71)+SUM($A$78:X78)&gt;0,0,SUM($B$71:Y71)-SUM($A$78:X78))</f>
        <v>-5369393.3372054994</v>
      </c>
      <c r="Z78" s="244">
        <f>IF(SUM($B$71:Z71)+SUM($A$78:Y78)&gt;0,0,SUM($B$71:Z71)-SUM($A$78:Y78))</f>
        <v>-5675043.4136518091</v>
      </c>
      <c r="AA78" s="244">
        <f>IF(SUM($B$71:AA71)+SUM($A$78:Z78)&gt;0,0,SUM($B$71:AA71)-SUM($A$78:Z78))</f>
        <v>-5997504.2443026602</v>
      </c>
      <c r="AB78" s="244">
        <f>IF(SUM($B$71:AB71)+SUM($A$78:AA78)&gt;0,0,SUM($B$71:AB71)-SUM($A$78:AA78))</f>
        <v>-6337700.4206393063</v>
      </c>
      <c r="AC78" s="244">
        <f>IF(SUM($B$71:AC71)+SUM($A$78:AB78)&gt;0,0,SUM($B$71:AC71)-SUM($A$78:AB78))</f>
        <v>-6696607.3866744637</v>
      </c>
      <c r="AD78" s="244">
        <f>IF(SUM($B$71:AD71)+SUM($A$78:AC78)&gt;0,0,SUM($B$71:AD71)-SUM($A$78:AC78))</f>
        <v>-7075254.2358415574</v>
      </c>
      <c r="AE78" s="244">
        <f>IF(SUM($B$71:AE71)+SUM($A$78:AD78)&gt;0,0,SUM($B$71:AE71)-SUM($A$78:AD78))</f>
        <v>-7474726.6617128402</v>
      </c>
      <c r="AF78" s="244">
        <f>IF(SUM($B$71:AF71)+SUM($A$78:AE78)&gt;0,0,SUM($B$71:AF71)-SUM($A$78:AE78))</f>
        <v>-7896170.0710070431</v>
      </c>
      <c r="AG78" s="244">
        <f>IF(SUM($B$71:AG71)+SUM($A$78:AF78)&gt;0,0,SUM($B$71:AG71)-SUM($A$78:AF78))</f>
        <v>-8340792.8678124249</v>
      </c>
      <c r="AH78" s="244">
        <f>IF(SUM($B$71:AH71)+SUM($A$78:AG78)&gt;0,0,SUM($B$71:AH71)-SUM($A$78:AG78))</f>
        <v>-8809869.9184421003</v>
      </c>
      <c r="AI78" s="244">
        <f>IF(SUM($B$71:AI71)+SUM($A$78:AH78)&gt;0,0,SUM($B$71:AI71)-SUM($A$78:AH78))</f>
        <v>-9304746.2068564296</v>
      </c>
      <c r="AJ78" s="244">
        <f>IF(SUM($B$71:AJ71)+SUM($A$78:AI78)&gt;0,0,SUM($B$71:AJ71)-SUM($A$78:AI78))</f>
        <v>-9826840.6911335289</v>
      </c>
      <c r="AK78" s="244">
        <f>IF(SUM($B$71:AK71)+SUM($A$78:AJ78)&gt;0,0,SUM($B$71:AK71)-SUM($A$78:AJ78))</f>
        <v>-10377650.372045875</v>
      </c>
      <c r="AL78" s="244">
        <f>IF(SUM($B$71:AL71)+SUM($A$78:AK78)&gt;0,0,SUM($B$71:AL71)-SUM($A$78:AK78))</f>
        <v>-10958754.58540839</v>
      </c>
      <c r="AM78" s="244">
        <f>IF(SUM($B$71:AM71)+SUM($A$78:AL78)&gt;0,0,SUM($B$71:AM71)-SUM($A$78:AL78))</f>
        <v>-11571819.530505866</v>
      </c>
      <c r="AN78" s="244">
        <f>IF(SUM($B$71:AN71)+SUM($A$78:AM78)&gt;0,0,SUM($B$71:AN71)-SUM($A$78:AM78))</f>
        <v>-12218603.047583669</v>
      </c>
      <c r="AO78" s="244">
        <f>IF(SUM($B$71:AO71)+SUM($A$78:AN78)&gt;0,0,SUM($B$71:AO71)-SUM($A$78:AN78))</f>
        <v>-12900959.658100784</v>
      </c>
      <c r="AP78" s="244">
        <f>IF(SUM($B$71:AP71)+SUM($A$78:AO78)&gt;0,0,SUM($B$71:AP71)-SUM($A$78:AO78))</f>
        <v>-13620845.882196337</v>
      </c>
    </row>
    <row r="79" spans="1:45" x14ac:dyDescent="0.2">
      <c r="A79" s="252" t="s">
        <v>314</v>
      </c>
      <c r="B79" s="244">
        <f>IF(((SUM($B$59:B59)+SUM($B$61:B64))+SUM($B$81:B81))&lt;0,((SUM($B$59:B59)+SUM($B$61:B64))+SUM($B$81:B81))*0.18-SUM($A$79:A79),IF(SUM(A$79:$B79)&lt;0,0-SUM(A$79:$B79),0))</f>
        <v>-9.0000001341104512E-3</v>
      </c>
      <c r="C79" s="244">
        <f>IF(((SUM($B$59:C59)+SUM($B$61:C64))+SUM($B$81:C81))&lt;0,((SUM($B$59:C59)+SUM($B$61:C64))+SUM($B$81:C81))*0.18-SUM($A$79:B79),IF(SUM($B$79:B79)&lt;0,0-SUM($B$79:B79),0))</f>
        <v>9.0000001341104512E-3</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313</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564</v>
      </c>
      <c r="B81" s="244">
        <f>-$B$126</f>
        <v>-23485097.5</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-23485097.5</v>
      </c>
      <c r="AR81" s="256"/>
    </row>
    <row r="82" spans="1:45" x14ac:dyDescent="0.2">
      <c r="A82" s="252" t="s">
        <v>312</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311</v>
      </c>
      <c r="B83" s="251">
        <f>SUM(B75:B82)</f>
        <v>-4697019.5489999987</v>
      </c>
      <c r="C83" s="251">
        <f t="shared" ref="C83:V83" si="27">SUM(C75:C82)</f>
        <v>2313519.6926967967</v>
      </c>
      <c r="D83" s="251">
        <f t="shared" si="27"/>
        <v>4882689.514628442</v>
      </c>
      <c r="E83" s="251">
        <f t="shared" si="27"/>
        <v>7806435.9684984535</v>
      </c>
      <c r="F83" s="251">
        <f t="shared" si="27"/>
        <v>8225456.5038658688</v>
      </c>
      <c r="G83" s="251">
        <f t="shared" si="27"/>
        <v>8667523.1686784904</v>
      </c>
      <c r="H83" s="251">
        <f t="shared" si="27"/>
        <v>9133903.5000558067</v>
      </c>
      <c r="I83" s="251">
        <f t="shared" si="27"/>
        <v>9625934.749658877</v>
      </c>
      <c r="J83" s="251">
        <f t="shared" si="27"/>
        <v>10145027.717990115</v>
      </c>
      <c r="K83" s="251">
        <f t="shared" si="27"/>
        <v>10692670.79957957</v>
      </c>
      <c r="L83" s="251">
        <f t="shared" si="27"/>
        <v>11270434.250656445</v>
      </c>
      <c r="M83" s="251">
        <f t="shared" si="27"/>
        <v>11879974.691542549</v>
      </c>
      <c r="N83" s="251">
        <f t="shared" si="27"/>
        <v>12523039.856677391</v>
      </c>
      <c r="O83" s="251">
        <f t="shared" si="27"/>
        <v>13201473.605894646</v>
      </c>
      <c r="P83" s="251">
        <f t="shared" si="27"/>
        <v>13917221.211318847</v>
      </c>
      <c r="Q83" s="251">
        <f t="shared" si="27"/>
        <v>14672334.935041387</v>
      </c>
      <c r="R83" s="251">
        <f t="shared" si="27"/>
        <v>15468979.913568657</v>
      </c>
      <c r="S83" s="251">
        <f t="shared" si="27"/>
        <v>16309440.365914937</v>
      </c>
      <c r="T83" s="251">
        <f t="shared" si="27"/>
        <v>17196126.14314026</v>
      </c>
      <c r="U83" s="251">
        <f t="shared" si="27"/>
        <v>18131579.63811297</v>
      </c>
      <c r="V83" s="251">
        <f t="shared" si="27"/>
        <v>19118483.07530918</v>
      </c>
      <c r="W83" s="251">
        <f>SUM(W75:W82)</f>
        <v>20159666.20155118</v>
      </c>
      <c r="X83" s="251">
        <f>SUM(X75:X82)</f>
        <v>21258114.399736494</v>
      </c>
      <c r="Y83" s="251">
        <f>SUM(Y75:Y82)</f>
        <v>22416977.248822004</v>
      </c>
      <c r="Z83" s="251">
        <f>SUM(Z75:Z82)</f>
        <v>23639577.554607205</v>
      </c>
      <c r="AA83" s="251">
        <f t="shared" ref="AA83:AP83" si="28">SUM(AA75:AA82)</f>
        <v>24929420.877210598</v>
      </c>
      <c r="AB83" s="251">
        <f t="shared" si="28"/>
        <v>26290205.582557183</v>
      </c>
      <c r="AC83" s="251">
        <f t="shared" si="28"/>
        <v>27725833.446697824</v>
      </c>
      <c r="AD83" s="251">
        <f t="shared" si="28"/>
        <v>29240420.843366213</v>
      </c>
      <c r="AE83" s="251">
        <f t="shared" si="28"/>
        <v>30838310.546851344</v>
      </c>
      <c r="AF83" s="251">
        <f t="shared" si="28"/>
        <v>32524084.184028171</v>
      </c>
      <c r="AG83" s="251">
        <f t="shared" si="28"/>
        <v>34302575.37124972</v>
      </c>
      <c r="AH83" s="251">
        <f t="shared" si="28"/>
        <v>36178883.573768467</v>
      </c>
      <c r="AI83" s="251">
        <f t="shared" si="28"/>
        <v>38158388.727425717</v>
      </c>
      <c r="AJ83" s="251">
        <f t="shared" si="28"/>
        <v>40246766.664534137</v>
      </c>
      <c r="AK83" s="251">
        <f t="shared" si="28"/>
        <v>42450005.388183504</v>
      </c>
      <c r="AL83" s="251">
        <f t="shared" si="28"/>
        <v>44774422.241633601</v>
      </c>
      <c r="AM83" s="251">
        <f t="shared" si="28"/>
        <v>47226682.022023432</v>
      </c>
      <c r="AN83" s="251">
        <f t="shared" si="28"/>
        <v>49813816.090334736</v>
      </c>
      <c r="AO83" s="251">
        <f t="shared" si="28"/>
        <v>52543242.532403134</v>
      </c>
      <c r="AP83" s="251">
        <f t="shared" si="28"/>
        <v>55422787.428785309</v>
      </c>
    </row>
    <row r="84" spans="1:45" ht="14.25" x14ac:dyDescent="0.2">
      <c r="A84" s="253" t="s">
        <v>310</v>
      </c>
      <c r="B84" s="251">
        <f>SUM($B$83:B83)</f>
        <v>-4697019.5489999987</v>
      </c>
      <c r="C84" s="251">
        <f>SUM($B$83:C83)</f>
        <v>-2383499.856303202</v>
      </c>
      <c r="D84" s="251">
        <f>SUM($B$83:D83)</f>
        <v>2499189.65832524</v>
      </c>
      <c r="E84" s="251">
        <f>SUM($B$83:E83)</f>
        <v>10305625.626823694</v>
      </c>
      <c r="F84" s="251">
        <f>SUM($B$83:F83)</f>
        <v>18531082.130689561</v>
      </c>
      <c r="G84" s="251">
        <f>SUM($B$83:G83)</f>
        <v>27198605.299368054</v>
      </c>
      <c r="H84" s="251">
        <f>SUM($B$83:H83)</f>
        <v>36332508.799423859</v>
      </c>
      <c r="I84" s="251">
        <f>SUM($B$83:I83)</f>
        <v>45958443.549082734</v>
      </c>
      <c r="J84" s="251">
        <f>SUM($B$83:J83)</f>
        <v>56103471.267072849</v>
      </c>
      <c r="K84" s="251">
        <f>SUM($B$83:K83)</f>
        <v>66796142.066652417</v>
      </c>
      <c r="L84" s="251">
        <f>SUM($B$83:L83)</f>
        <v>78066576.317308858</v>
      </c>
      <c r="M84" s="251">
        <f>SUM($B$83:M83)</f>
        <v>89946551.008851409</v>
      </c>
      <c r="N84" s="251">
        <f>SUM($B$83:N83)</f>
        <v>102469590.86552879</v>
      </c>
      <c r="O84" s="251">
        <f>SUM($B$83:O83)</f>
        <v>115671064.47142343</v>
      </c>
      <c r="P84" s="251">
        <f>SUM($B$83:P83)</f>
        <v>129588285.68274228</v>
      </c>
      <c r="Q84" s="251">
        <f>SUM($B$83:Q83)</f>
        <v>144260620.61778367</v>
      </c>
      <c r="R84" s="251">
        <f>SUM($B$83:R83)</f>
        <v>159729600.53135231</v>
      </c>
      <c r="S84" s="251">
        <f>SUM($B$83:S83)</f>
        <v>176039040.89726725</v>
      </c>
      <c r="T84" s="251">
        <f>SUM($B$83:T83)</f>
        <v>193235167.04040751</v>
      </c>
      <c r="U84" s="251">
        <f>SUM($B$83:U83)</f>
        <v>211366746.67852047</v>
      </c>
      <c r="V84" s="251">
        <f>SUM($B$83:V83)</f>
        <v>230485229.75382966</v>
      </c>
      <c r="W84" s="251">
        <f>SUM($B$83:W83)</f>
        <v>250644895.95538083</v>
      </c>
      <c r="X84" s="251">
        <f>SUM($B$83:X83)</f>
        <v>271903010.35511732</v>
      </c>
      <c r="Y84" s="251">
        <f>SUM($B$83:Y83)</f>
        <v>294319987.60393929</v>
      </c>
      <c r="Z84" s="251">
        <f>SUM($B$83:Z83)</f>
        <v>317959565.15854651</v>
      </c>
      <c r="AA84" s="251">
        <f>SUM($B$83:AA83)</f>
        <v>342888986.03575712</v>
      </c>
      <c r="AB84" s="251">
        <f>SUM($B$83:AB83)</f>
        <v>369179191.61831433</v>
      </c>
      <c r="AC84" s="251">
        <f>SUM($B$83:AC83)</f>
        <v>396905025.06501216</v>
      </c>
      <c r="AD84" s="251">
        <f>SUM($B$83:AD83)</f>
        <v>426145445.90837836</v>
      </c>
      <c r="AE84" s="251">
        <f>SUM($B$83:AE83)</f>
        <v>456983756.4552297</v>
      </c>
      <c r="AF84" s="251">
        <f>SUM($B$83:AF83)</f>
        <v>489507840.63925785</v>
      </c>
      <c r="AG84" s="251">
        <f>SUM($B$83:AG83)</f>
        <v>523810416.01050758</v>
      </c>
      <c r="AH84" s="251">
        <f>SUM($B$83:AH83)</f>
        <v>559989299.58427608</v>
      </c>
      <c r="AI84" s="251">
        <f>SUM($B$83:AI83)</f>
        <v>598147688.31170177</v>
      </c>
      <c r="AJ84" s="251">
        <f>SUM($B$83:AJ83)</f>
        <v>638394454.97623587</v>
      </c>
      <c r="AK84" s="251">
        <f>SUM($B$83:AK83)</f>
        <v>680844460.36441934</v>
      </c>
      <c r="AL84" s="251">
        <f>SUM($B$83:AL83)</f>
        <v>725618882.60605299</v>
      </c>
      <c r="AM84" s="251">
        <f>SUM($B$83:AM83)</f>
        <v>772845564.62807643</v>
      </c>
      <c r="AN84" s="251">
        <f>SUM($B$83:AN83)</f>
        <v>822659380.71841121</v>
      </c>
      <c r="AO84" s="251">
        <f>SUM($B$83:AO83)</f>
        <v>875202623.25081432</v>
      </c>
      <c r="AP84" s="251">
        <f>SUM($B$83:AP83)</f>
        <v>930625410.67959964</v>
      </c>
    </row>
    <row r="85" spans="1:45" x14ac:dyDescent="0.2">
      <c r="A85" s="252" t="s">
        <v>565</v>
      </c>
      <c r="B85" s="261">
        <f t="shared" ref="B85:AP85" si="29">1/POWER((1+$B$44),B73)</f>
        <v>0.9109750373485539</v>
      </c>
      <c r="C85" s="261">
        <f t="shared" si="29"/>
        <v>0.75599588161705711</v>
      </c>
      <c r="D85" s="261">
        <f t="shared" si="29"/>
        <v>0.6273824743710017</v>
      </c>
      <c r="E85" s="261">
        <f t="shared" si="29"/>
        <v>0.52064935632448273</v>
      </c>
      <c r="F85" s="261">
        <f t="shared" si="29"/>
        <v>0.43207415462612664</v>
      </c>
      <c r="G85" s="261">
        <f t="shared" si="29"/>
        <v>0.35856776317520883</v>
      </c>
      <c r="H85" s="261">
        <f t="shared" si="29"/>
        <v>0.29756660844415667</v>
      </c>
      <c r="I85" s="261">
        <f t="shared" si="29"/>
        <v>0.24694324352212174</v>
      </c>
      <c r="J85" s="261">
        <f t="shared" si="29"/>
        <v>0.20493215230051592</v>
      </c>
      <c r="K85" s="261">
        <f t="shared" si="29"/>
        <v>0.1700681761830008</v>
      </c>
      <c r="L85" s="261">
        <f t="shared" si="29"/>
        <v>0.14113541591950271</v>
      </c>
      <c r="M85" s="261">
        <f t="shared" si="29"/>
        <v>0.11712482648921385</v>
      </c>
      <c r="N85" s="261">
        <f t="shared" si="29"/>
        <v>9.719902613212765E-2</v>
      </c>
      <c r="O85" s="261">
        <f t="shared" si="29"/>
        <v>8.0663092225832109E-2</v>
      </c>
      <c r="P85" s="261">
        <f t="shared" si="29"/>
        <v>6.6940325498615838E-2</v>
      </c>
      <c r="Q85" s="261">
        <f t="shared" si="29"/>
        <v>5.5552137343249659E-2</v>
      </c>
      <c r="R85" s="261">
        <f t="shared" si="29"/>
        <v>4.6101358791078552E-2</v>
      </c>
      <c r="S85" s="261">
        <f t="shared" si="29"/>
        <v>3.825838903823945E-2</v>
      </c>
      <c r="T85" s="261">
        <f t="shared" si="29"/>
        <v>3.174970044667174E-2</v>
      </c>
      <c r="U85" s="261">
        <f t="shared" si="29"/>
        <v>2.6348299125868668E-2</v>
      </c>
      <c r="V85" s="261">
        <f t="shared" si="29"/>
        <v>2.1865808403210511E-2</v>
      </c>
      <c r="W85" s="261">
        <f t="shared" si="29"/>
        <v>1.814589908980126E-2</v>
      </c>
      <c r="X85" s="261">
        <f t="shared" si="29"/>
        <v>1.5058837418922204E-2</v>
      </c>
      <c r="Y85" s="261">
        <f t="shared" si="29"/>
        <v>1.2496960513628384E-2</v>
      </c>
      <c r="Z85" s="261">
        <f t="shared" si="29"/>
        <v>1.0370921588073345E-2</v>
      </c>
      <c r="AA85" s="261">
        <f t="shared" si="29"/>
        <v>8.6065739320110735E-3</v>
      </c>
      <c r="AB85" s="261">
        <f t="shared" si="29"/>
        <v>7.1423850058183183E-3</v>
      </c>
      <c r="AC85" s="261">
        <f t="shared" si="29"/>
        <v>5.9272904612600145E-3</v>
      </c>
      <c r="AD85" s="261">
        <f t="shared" si="29"/>
        <v>4.9189132458589318E-3</v>
      </c>
      <c r="AE85" s="261">
        <f t="shared" si="29"/>
        <v>4.082085681210732E-3</v>
      </c>
      <c r="AF85" s="261">
        <f t="shared" si="29"/>
        <v>3.3876229719591129E-3</v>
      </c>
      <c r="AG85" s="261">
        <f t="shared" si="29"/>
        <v>2.8113053709204251E-3</v>
      </c>
      <c r="AH85" s="261">
        <f t="shared" si="29"/>
        <v>2.3330335028385286E-3</v>
      </c>
      <c r="AI85" s="261">
        <f t="shared" si="29"/>
        <v>1.9361273882477412E-3</v>
      </c>
      <c r="AJ85" s="261">
        <f t="shared" si="29"/>
        <v>1.6067447205375444E-3</v>
      </c>
      <c r="AK85" s="261">
        <f t="shared" si="29"/>
        <v>1.3333981083299121E-3</v>
      </c>
      <c r="AL85" s="261">
        <f t="shared" si="29"/>
        <v>1.1065544467468149E-3</v>
      </c>
      <c r="AM85" s="261">
        <f t="shared" si="29"/>
        <v>9.1830244543304122E-4</v>
      </c>
      <c r="AN85" s="261">
        <f t="shared" si="29"/>
        <v>7.6207671820169396E-4</v>
      </c>
      <c r="AO85" s="261">
        <f t="shared" si="29"/>
        <v>6.3242881178563804E-4</v>
      </c>
      <c r="AP85" s="261">
        <f t="shared" si="29"/>
        <v>5.2483718820384888E-4</v>
      </c>
    </row>
    <row r="86" spans="1:45" ht="28.5" x14ac:dyDescent="0.2">
      <c r="A86" s="250" t="s">
        <v>309</v>
      </c>
      <c r="B86" s="251">
        <f>B83*B85</f>
        <v>-4278867.5590771614</v>
      </c>
      <c r="C86" s="251">
        <f>C83*C85</f>
        <v>1749011.3597187379</v>
      </c>
      <c r="D86" s="251">
        <f t="shared" ref="D86:AO86" si="30">D83*D85</f>
        <v>3063313.829272937</v>
      </c>
      <c r="E86" s="251">
        <f t="shared" si="30"/>
        <v>4064415.8621870098</v>
      </c>
      <c r="F86" s="251">
        <f t="shared" si="30"/>
        <v>3554007.1653218204</v>
      </c>
      <c r="G86" s="251">
        <f t="shared" si="30"/>
        <v>3107894.3948623445</v>
      </c>
      <c r="H86" s="251">
        <f t="shared" si="30"/>
        <v>2717944.6863678182</v>
      </c>
      <c r="I86" s="251">
        <f t="shared" si="30"/>
        <v>2377059.5490130661</v>
      </c>
      <c r="J86" s="251">
        <f t="shared" si="30"/>
        <v>2079042.3653961059</v>
      </c>
      <c r="K86" s="251">
        <f t="shared" si="30"/>
        <v>1818483.0214097262</v>
      </c>
      <c r="L86" s="251">
        <f t="shared" si="30"/>
        <v>1590657.4255598062</v>
      </c>
      <c r="M86" s="251">
        <f t="shared" si="30"/>
        <v>1391439.9744431728</v>
      </c>
      <c r="N86" s="251">
        <f t="shared" si="30"/>
        <v>1217227.2782828617</v>
      </c>
      <c r="O86" s="251">
        <f t="shared" si="30"/>
        <v>1064871.6829891682</v>
      </c>
      <c r="P86" s="251">
        <f t="shared" si="30"/>
        <v>931623.31792192417</v>
      </c>
      <c r="Q86" s="251">
        <f t="shared" si="30"/>
        <v>815079.56545757921</v>
      </c>
      <c r="R86" s="251">
        <f t="shared" si="30"/>
        <v>713140.99312741589</v>
      </c>
      <c r="S86" s="251">
        <f t="shared" si="30"/>
        <v>623972.91451514</v>
      </c>
      <c r="T86" s="251">
        <f t="shared" si="30"/>
        <v>545971.85388788395</v>
      </c>
      <c r="U86" s="251">
        <f t="shared" si="30"/>
        <v>477736.2839295101</v>
      </c>
      <c r="V86" s="251">
        <f t="shared" si="30"/>
        <v>418041.0878847334</v>
      </c>
      <c r="W86" s="251">
        <f t="shared" si="30"/>
        <v>365815.26857742481</v>
      </c>
      <c r="X86" s="251">
        <f t="shared" si="30"/>
        <v>320122.48857848084</v>
      </c>
      <c r="Y86" s="251">
        <f t="shared" si="30"/>
        <v>280144.07951343444</v>
      </c>
      <c r="Z86" s="251">
        <f t="shared" si="30"/>
        <v>245164.20519400996</v>
      </c>
      <c r="AA86" s="251">
        <f t="shared" si="30"/>
        <v>214556.90386193336</v>
      </c>
      <c r="AB86" s="251">
        <f t="shared" si="30"/>
        <v>187774.77015273747</v>
      </c>
      <c r="AC86" s="251">
        <f t="shared" si="30"/>
        <v>164339.06811909587</v>
      </c>
      <c r="AD86" s="251">
        <f t="shared" si="30"/>
        <v>143831.09340092365</v>
      </c>
      <c r="AE86" s="251">
        <f t="shared" si="30"/>
        <v>125884.62591603177</v>
      </c>
      <c r="AF86" s="251">
        <f t="shared" si="30"/>
        <v>110179.33472374589</v>
      </c>
      <c r="AG86" s="251">
        <f t="shared" si="30"/>
        <v>96435.014377597035</v>
      </c>
      <c r="AH86" s="251">
        <f t="shared" si="30"/>
        <v>84406.547472896345</v>
      </c>
      <c r="AI86" s="251">
        <f t="shared" si="30"/>
        <v>73879.501506572808</v>
      </c>
      <c r="AJ86" s="251">
        <f t="shared" si="30"/>
        <v>64666.279856946654</v>
      </c>
      <c r="AK86" s="251">
        <f t="shared" si="30"/>
        <v>56602.756883198461</v>
      </c>
      <c r="AL86" s="251">
        <f t="shared" si="30"/>
        <v>49545.336031999155</v>
      </c>
      <c r="AM86" s="251">
        <f t="shared" si="30"/>
        <v>43368.377590512762</v>
      </c>
      <c r="AN86" s="251">
        <f t="shared" si="30"/>
        <v>37961.949487225036</v>
      </c>
      <c r="AO86" s="251">
        <f t="shared" si="30"/>
        <v>33229.860442132311</v>
      </c>
      <c r="AP86" s="251">
        <f>AP83*AP85</f>
        <v>29087.939916543306</v>
      </c>
    </row>
    <row r="87" spans="1:45" ht="14.25" x14ac:dyDescent="0.2">
      <c r="A87" s="250" t="s">
        <v>308</v>
      </c>
      <c r="B87" s="251">
        <f>SUM($B$86:B86)</f>
        <v>-4278867.5590771614</v>
      </c>
      <c r="C87" s="251">
        <f>SUM($B$86:C86)</f>
        <v>-2529856.1993584232</v>
      </c>
      <c r="D87" s="251">
        <f>SUM($B$86:D86)</f>
        <v>533457.62991451379</v>
      </c>
      <c r="E87" s="251">
        <f>SUM($B$86:E86)</f>
        <v>4597873.492101524</v>
      </c>
      <c r="F87" s="251">
        <f>SUM($B$86:F86)</f>
        <v>8151880.6574233444</v>
      </c>
      <c r="G87" s="251">
        <f>SUM($B$86:G86)</f>
        <v>11259775.05228569</v>
      </c>
      <c r="H87" s="251">
        <f>SUM($B$86:H86)</f>
        <v>13977719.738653507</v>
      </c>
      <c r="I87" s="251">
        <f>SUM($B$86:I86)</f>
        <v>16354779.287666574</v>
      </c>
      <c r="J87" s="251">
        <f>SUM($B$86:J86)</f>
        <v>18433821.653062679</v>
      </c>
      <c r="K87" s="251">
        <f>SUM($B$86:K86)</f>
        <v>20252304.674472407</v>
      </c>
      <c r="L87" s="251">
        <f>SUM($B$86:L86)</f>
        <v>21842962.100032214</v>
      </c>
      <c r="M87" s="251">
        <f>SUM($B$86:M86)</f>
        <v>23234402.074475385</v>
      </c>
      <c r="N87" s="251">
        <f>SUM($B$86:N86)</f>
        <v>24451629.352758247</v>
      </c>
      <c r="O87" s="251">
        <f>SUM($B$86:O86)</f>
        <v>25516501.035747416</v>
      </c>
      <c r="P87" s="251">
        <f>SUM($B$86:P86)</f>
        <v>26448124.353669342</v>
      </c>
      <c r="Q87" s="251">
        <f>SUM($B$86:Q86)</f>
        <v>27263203.91912692</v>
      </c>
      <c r="R87" s="251">
        <f>SUM($B$86:R86)</f>
        <v>27976344.912254337</v>
      </c>
      <c r="S87" s="251">
        <f>SUM($B$86:S86)</f>
        <v>28600317.826769479</v>
      </c>
      <c r="T87" s="251">
        <f>SUM($B$86:T86)</f>
        <v>29146289.680657364</v>
      </c>
      <c r="U87" s="251">
        <f>SUM($B$86:U86)</f>
        <v>29624025.964586876</v>
      </c>
      <c r="V87" s="251">
        <f>SUM($B$86:V86)</f>
        <v>30042067.052471608</v>
      </c>
      <c r="W87" s="251">
        <f>SUM($B$86:W86)</f>
        <v>30407882.321049035</v>
      </c>
      <c r="X87" s="251">
        <f>SUM($B$86:X86)</f>
        <v>30728004.809627514</v>
      </c>
      <c r="Y87" s="251">
        <f>SUM($B$86:Y86)</f>
        <v>31008148.889140949</v>
      </c>
      <c r="Z87" s="251">
        <f>SUM($B$86:Z86)</f>
        <v>31253313.09433496</v>
      </c>
      <c r="AA87" s="251">
        <f>SUM($B$86:AA86)</f>
        <v>31467869.998196892</v>
      </c>
      <c r="AB87" s="251">
        <f>SUM($B$86:AB86)</f>
        <v>31655644.768349629</v>
      </c>
      <c r="AC87" s="251">
        <f>SUM($B$86:AC86)</f>
        <v>31819983.836468726</v>
      </c>
      <c r="AD87" s="251">
        <f>SUM($B$86:AD86)</f>
        <v>31963814.929869652</v>
      </c>
      <c r="AE87" s="251">
        <f>SUM($B$86:AE86)</f>
        <v>32089699.555785682</v>
      </c>
      <c r="AF87" s="251">
        <f>SUM($B$86:AF86)</f>
        <v>32199878.890509427</v>
      </c>
      <c r="AG87" s="251">
        <f>SUM($B$86:AG86)</f>
        <v>32296313.904887024</v>
      </c>
      <c r="AH87" s="251">
        <f>SUM($B$86:AH86)</f>
        <v>32380720.452359922</v>
      </c>
      <c r="AI87" s="251">
        <f>SUM($B$86:AI86)</f>
        <v>32454599.953866497</v>
      </c>
      <c r="AJ87" s="251">
        <f>SUM($B$86:AJ86)</f>
        <v>32519266.233723443</v>
      </c>
      <c r="AK87" s="251">
        <f>SUM($B$86:AK86)</f>
        <v>32575868.990606643</v>
      </c>
      <c r="AL87" s="251">
        <f>SUM($B$86:AL86)</f>
        <v>32625414.326638643</v>
      </c>
      <c r="AM87" s="251">
        <f>SUM($B$86:AM86)</f>
        <v>32668782.704229154</v>
      </c>
      <c r="AN87" s="251">
        <f>SUM($B$86:AN86)</f>
        <v>32706744.653716378</v>
      </c>
      <c r="AO87" s="251">
        <f>SUM($B$86:AO86)</f>
        <v>32739974.51415851</v>
      </c>
      <c r="AP87" s="251">
        <f>SUM($B$86:AP86)</f>
        <v>32769062.454075053</v>
      </c>
    </row>
    <row r="88" spans="1:45" ht="14.25" x14ac:dyDescent="0.2">
      <c r="A88" s="250" t="s">
        <v>307</v>
      </c>
      <c r="B88" s="262">
        <f>IF((ISERR(IRR($B$83:B83))),0,IF(IRR($B$83:B83)&lt;0,0,IRR($B$83:B83)))</f>
        <v>0</v>
      </c>
      <c r="C88" s="262">
        <f>IF((ISERR(IRR($B$83:C83))),0,IF(IRR($B$83:C83)&lt;0,0,IRR($B$83:C83)))</f>
        <v>0</v>
      </c>
      <c r="D88" s="262">
        <f>IF((ISERR(IRR($B$83:D83))),0,IF(IRR($B$83:D83)&lt;0,0,IRR($B$83:D83)))</f>
        <v>0.29517034225946159</v>
      </c>
      <c r="E88" s="262">
        <f>IF((ISERR(IRR($B$83:E83))),0,IF(IRR($B$83:E83)&lt;0,0,IRR($B$83:E83)))</f>
        <v>0.68978969892879838</v>
      </c>
      <c r="F88" s="262">
        <f>IF((ISERR(IRR($B$83:F83))),0,IF(IRR($B$83:F83)&lt;0,0,IRR($B$83:F83)))</f>
        <v>0.83545538313017853</v>
      </c>
      <c r="G88" s="262">
        <f>IF((ISERR(IRR($B$83:G83))),0,IF(IRR($B$83:G83)&lt;0,0,IRR($B$83:G83)))</f>
        <v>0.89877684440187022</v>
      </c>
      <c r="H88" s="262">
        <f>IF((ISERR(IRR($B$83:H83))),0,IF(IRR($B$83:H83)&lt;0,0,IRR($B$83:H83)))</f>
        <v>0.92867057092673533</v>
      </c>
      <c r="I88" s="262">
        <f>IF((ISERR(IRR($B$83:I83))),0,IF(IRR($B$83:I83)&lt;0,0,IRR($B$83:I83)))</f>
        <v>0.94349522473764047</v>
      </c>
      <c r="J88" s="262">
        <f>IF((ISERR(IRR($B$83:J83))),0,IF(IRR($B$83:J83)&lt;0,0,IRR($B$83:J83)))</f>
        <v>0.95107541745562152</v>
      </c>
      <c r="K88" s="262">
        <f>IF((ISERR(IRR($B$83:K83))),0,IF(IRR($B$83:K83)&lt;0,0,IRR($B$83:K83)))</f>
        <v>0.95502671665094829</v>
      </c>
      <c r="L88" s="262">
        <f>IF((ISERR(IRR($B$83:L83))),0,IF(IRR($B$83:L83)&lt;0,0,IRR($B$83:L83)))</f>
        <v>0.95711150863875716</v>
      </c>
      <c r="M88" s="262">
        <f>IF((ISERR(IRR($B$83:M83))),0,IF(IRR($B$83:M83)&lt;0,0,IRR($B$83:M83)))</f>
        <v>0.95821986320119001</v>
      </c>
      <c r="N88" s="262">
        <f>IF((ISERR(IRR($B$83:N83))),0,IF(IRR($B$83:N83)&lt;0,0,IRR($B$83:N83)))</f>
        <v>0.9588118864873878</v>
      </c>
      <c r="O88" s="262">
        <f>IF((ISERR(IRR($B$83:O83))),0,IF(IRR($B$83:O83)&lt;0,0,IRR($B$83:O83)))</f>
        <v>0.95912903093668445</v>
      </c>
      <c r="P88" s="262">
        <f>IF((ISERR(IRR($B$83:P83))),0,IF(IRR($B$83:P83)&lt;0,0,IRR($B$83:P83)))</f>
        <v>0.95929922499871934</v>
      </c>
      <c r="Q88" s="262">
        <f>IF((ISERR(IRR($B$83:Q83))),0,IF(IRR($B$83:Q83)&lt;0,0,IRR($B$83:Q83)))</f>
        <v>0.95939065724169614</v>
      </c>
      <c r="R88" s="262">
        <f>IF((ISERR(IRR($B$83:R83))),0,IF(IRR($B$83:R83)&lt;0,0,IRR($B$83:R83)))</f>
        <v>0.95943980893328962</v>
      </c>
      <c r="S88" s="262">
        <f>IF((ISERR(IRR($B$83:S83))),0,IF(IRR($B$83:S83)&lt;0,0,IRR($B$83:S83)))</f>
        <v>0.95946624220451904</v>
      </c>
      <c r="T88" s="262">
        <f>IF((ISERR(IRR($B$83:T83))),0,IF(IRR($B$83:T83)&lt;0,0,IRR($B$83:T83)))</f>
        <v>0.95948046124763642</v>
      </c>
      <c r="U88" s="262">
        <f>IF((ISERR(IRR($B$83:U83))),0,IF(IRR($B$83:U83)&lt;0,0,IRR($B$83:U83)))</f>
        <v>0.95948811117575716</v>
      </c>
      <c r="V88" s="262">
        <f>IF((ISERR(IRR($B$83:V83))),0,IF(IRR($B$83:V83)&lt;0,0,IRR($B$83:V83)))</f>
        <v>0.95949222729950834</v>
      </c>
      <c r="W88" s="262">
        <f>IF((ISERR(IRR($B$83:W83))),0,IF(IRR($B$83:W83)&lt;0,0,IRR($B$83:W83)))</f>
        <v>0.95949444217674174</v>
      </c>
      <c r="X88" s="262">
        <f>IF((ISERR(IRR($B$83:X83))),0,IF(IRR($B$83:X83)&lt;0,0,IRR($B$83:X83)))</f>
        <v>0.95949563405734217</v>
      </c>
      <c r="Y88" s="262">
        <f>IF((ISERR(IRR($B$83:Y83))),0,IF(IRR($B$83:Y83)&lt;0,0,IRR($B$83:Y83)))</f>
        <v>0.95949627546283045</v>
      </c>
      <c r="Z88" s="262">
        <f>IF((ISERR(IRR($B$83:Z83))),0,IF(IRR($B$83:Z83)&lt;0,0,IRR($B$83:Z83)))</f>
        <v>0.95949662064339036</v>
      </c>
      <c r="AA88" s="262">
        <f>IF((ISERR(IRR($B$83:AA83))),0,IF(IRR($B$83:AA83)&lt;0,0,IRR($B$83:AA83)))</f>
        <v>0.95949680641173196</v>
      </c>
      <c r="AB88" s="262">
        <f>IF((ISERR(IRR($B$83:AB83))),0,IF(IRR($B$83:AB83)&lt;0,0,IRR($B$83:AB83)))</f>
        <v>0.9594969063904315</v>
      </c>
      <c r="AC88" s="262">
        <f>IF((ISERR(IRR($B$83:AC83))),0,IF(IRR($B$83:AC83)&lt;0,0,IRR($B$83:AC83)))</f>
        <v>0.95949696019915831</v>
      </c>
      <c r="AD88" s="262">
        <f>IF((ISERR(IRR($B$83:AD83))),0,IF(IRR($B$83:AD83)&lt;0,0,IRR($B$83:AD83)))</f>
        <v>0.95949698915969983</v>
      </c>
      <c r="AE88" s="262">
        <f>IF((ISERR(IRR($B$83:AE83))),0,IF(IRR($B$83:AE83)&lt;0,0,IRR($B$83:AE83)))</f>
        <v>0.95949700474692312</v>
      </c>
      <c r="AF88" s="262">
        <f>IF((ISERR(IRR($B$83:AF83))),0,IF(IRR($B$83:AF83)&lt;0,0,IRR($B$83:AF83)))</f>
        <v>0.95949701313647129</v>
      </c>
      <c r="AG88" s="262">
        <f>IF((ISERR(IRR($B$83:AG83))),0,IF(IRR($B$83:AG83)&lt;0,0,IRR($B$83:AG83)))</f>
        <v>0.95949701765207118</v>
      </c>
      <c r="AH88" s="262">
        <f>IF((ISERR(IRR($B$83:AH83))),0,IF(IRR($B$83:AH83)&lt;0,0,IRR($B$83:AH83)))</f>
        <v>0.95949702008259141</v>
      </c>
      <c r="AI88" s="262">
        <f>IF((ISERR(IRR($B$83:AI83))),0,IF(IRR($B$83:AI83)&lt;0,0,IRR($B$83:AI83)))</f>
        <v>0.95949702139083781</v>
      </c>
      <c r="AJ88" s="262">
        <f>IF((ISERR(IRR($B$83:AJ83))),0,IF(IRR($B$83:AJ83)&lt;0,0,IRR($B$83:AJ83)))</f>
        <v>0.95949702209502163</v>
      </c>
      <c r="AK88" s="262">
        <f>IF((ISERR(IRR($B$83:AK83))),0,IF(IRR($B$83:AK83)&lt;0,0,IRR($B$83:AK83)))</f>
        <v>0.95949702247406399</v>
      </c>
      <c r="AL88" s="262">
        <f>IF((ISERR(IRR($B$83:AL83))),0,IF(IRR($B$83:AL83)&lt;0,0,IRR($B$83:AL83)))</f>
        <v>0.95949702267809478</v>
      </c>
      <c r="AM88" s="262">
        <f>IF((ISERR(IRR($B$83:AM83))),0,IF(IRR($B$83:AM83)&lt;0,0,IRR($B$83:AM83)))</f>
        <v>0.95949702278792137</v>
      </c>
      <c r="AN88" s="262">
        <f>IF((ISERR(IRR($B$83:AN83))),0,IF(IRR($B$83:AN83)&lt;0,0,IRR($B$83:AN83)))</f>
        <v>0.95949702284704053</v>
      </c>
      <c r="AO88" s="262">
        <f>IF((ISERR(IRR($B$83:AO83))),0,IF(IRR($B$83:AO83)&lt;0,0,IRR($B$83:AO83)))</f>
        <v>0.95949702287886351</v>
      </c>
      <c r="AP88" s="262">
        <f>IF((ISERR(IRR($B$83:AP83))),0,IF(IRR($B$83:AP83)&lt;0,0,IRR($B$83:AP83)))</f>
        <v>0.95949702289599426</v>
      </c>
    </row>
    <row r="89" spans="1:45" ht="14.25" x14ac:dyDescent="0.2">
      <c r="A89" s="250" t="s">
        <v>306</v>
      </c>
      <c r="B89" s="263">
        <f>IF(AND(B84&gt;0,A84&lt;0),(B74-(B84/(B84-A84))),0)</f>
        <v>0</v>
      </c>
      <c r="C89" s="263">
        <f t="shared" ref="C89:AP89" si="31">IF(AND(C84&gt;0,B84&lt;0),(C74-(C84/(C84-B84))),0)</f>
        <v>0</v>
      </c>
      <c r="D89" s="263">
        <f t="shared" si="31"/>
        <v>2.4881530658794264</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305</v>
      </c>
      <c r="B90" s="265">
        <f t="shared" ref="B90:AP90" si="32">IF(AND(B87&gt;0,A87&lt;0),(B74-(B87/(B87-A87))),0)</f>
        <v>0</v>
      </c>
      <c r="C90" s="265">
        <f t="shared" si="32"/>
        <v>0</v>
      </c>
      <c r="D90" s="265">
        <f t="shared" si="32"/>
        <v>2.8258560305454803</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2016</v>
      </c>
      <c r="C91" s="266">
        <f>B91+1</f>
        <v>2017</v>
      </c>
      <c r="D91" s="195">
        <f t="shared" ref="D91:AP91" si="33">C91+1</f>
        <v>2018</v>
      </c>
      <c r="E91" s="195">
        <f t="shared" si="33"/>
        <v>2019</v>
      </c>
      <c r="F91" s="195">
        <f t="shared" si="33"/>
        <v>2020</v>
      </c>
      <c r="G91" s="195">
        <f t="shared" si="33"/>
        <v>2021</v>
      </c>
      <c r="H91" s="195">
        <f t="shared" si="33"/>
        <v>2022</v>
      </c>
      <c r="I91" s="195">
        <f t="shared" si="33"/>
        <v>2023</v>
      </c>
      <c r="J91" s="195">
        <f t="shared" si="33"/>
        <v>2024</v>
      </c>
      <c r="K91" s="195">
        <f t="shared" si="33"/>
        <v>2025</v>
      </c>
      <c r="L91" s="195">
        <f t="shared" si="33"/>
        <v>2026</v>
      </c>
      <c r="M91" s="195">
        <f t="shared" si="33"/>
        <v>2027</v>
      </c>
      <c r="N91" s="195">
        <f t="shared" si="33"/>
        <v>2028</v>
      </c>
      <c r="O91" s="195">
        <f t="shared" si="33"/>
        <v>2029</v>
      </c>
      <c r="P91" s="195">
        <f t="shared" si="33"/>
        <v>2030</v>
      </c>
      <c r="Q91" s="195">
        <f t="shared" si="33"/>
        <v>2031</v>
      </c>
      <c r="R91" s="195">
        <f t="shared" si="33"/>
        <v>2032</v>
      </c>
      <c r="S91" s="195">
        <f t="shared" si="33"/>
        <v>2033</v>
      </c>
      <c r="T91" s="195">
        <f t="shared" si="33"/>
        <v>2034</v>
      </c>
      <c r="U91" s="195">
        <f t="shared" si="33"/>
        <v>2035</v>
      </c>
      <c r="V91" s="195">
        <f t="shared" si="33"/>
        <v>2036</v>
      </c>
      <c r="W91" s="195">
        <f t="shared" si="33"/>
        <v>2037</v>
      </c>
      <c r="X91" s="195">
        <f t="shared" si="33"/>
        <v>2038</v>
      </c>
      <c r="Y91" s="195">
        <f t="shared" si="33"/>
        <v>2039</v>
      </c>
      <c r="Z91" s="195">
        <f t="shared" si="33"/>
        <v>2040</v>
      </c>
      <c r="AA91" s="195">
        <f t="shared" si="33"/>
        <v>2041</v>
      </c>
      <c r="AB91" s="195">
        <f t="shared" si="33"/>
        <v>2042</v>
      </c>
      <c r="AC91" s="195">
        <f t="shared" si="33"/>
        <v>2043</v>
      </c>
      <c r="AD91" s="195">
        <f t="shared" si="33"/>
        <v>2044</v>
      </c>
      <c r="AE91" s="195">
        <f t="shared" si="33"/>
        <v>2045</v>
      </c>
      <c r="AF91" s="195">
        <f t="shared" si="33"/>
        <v>2046</v>
      </c>
      <c r="AG91" s="195">
        <f t="shared" si="33"/>
        <v>2047</v>
      </c>
      <c r="AH91" s="195">
        <f t="shared" si="33"/>
        <v>2048</v>
      </c>
      <c r="AI91" s="195">
        <f t="shared" si="33"/>
        <v>2049</v>
      </c>
      <c r="AJ91" s="195">
        <f t="shared" si="33"/>
        <v>2050</v>
      </c>
      <c r="AK91" s="195">
        <f t="shared" si="33"/>
        <v>2051</v>
      </c>
      <c r="AL91" s="195">
        <f t="shared" si="33"/>
        <v>2052</v>
      </c>
      <c r="AM91" s="195">
        <f t="shared" si="33"/>
        <v>2053</v>
      </c>
      <c r="AN91" s="195">
        <f t="shared" si="33"/>
        <v>2054</v>
      </c>
      <c r="AO91" s="195">
        <f t="shared" si="33"/>
        <v>2055</v>
      </c>
      <c r="AP91" s="195">
        <f t="shared" si="33"/>
        <v>2056</v>
      </c>
      <c r="AQ91" s="196"/>
      <c r="AR91" s="196"/>
      <c r="AS91" s="196"/>
    </row>
    <row r="92" spans="1:45" ht="15.6" customHeight="1" x14ac:dyDescent="0.2">
      <c r="A92" s="267" t="s">
        <v>304</v>
      </c>
      <c r="B92" s="126"/>
      <c r="C92" s="126"/>
      <c r="D92" s="126"/>
      <c r="E92" s="126"/>
      <c r="F92" s="126"/>
      <c r="G92" s="126"/>
      <c r="H92" s="126"/>
      <c r="I92" s="126"/>
      <c r="J92" s="126"/>
      <c r="K92" s="126"/>
      <c r="L92" s="268">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303</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302</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301</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300</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31" t="s">
        <v>566</v>
      </c>
      <c r="B97" s="431"/>
      <c r="C97" s="431"/>
      <c r="D97" s="431"/>
      <c r="E97" s="431"/>
      <c r="F97" s="431"/>
      <c r="G97" s="431"/>
      <c r="H97" s="431"/>
      <c r="I97" s="431"/>
      <c r="J97" s="431"/>
      <c r="K97" s="431"/>
      <c r="L97" s="431"/>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x14ac:dyDescent="0.2">
      <c r="C98" s="269"/>
    </row>
    <row r="99" spans="1:71" s="275" customFormat="1" ht="16.5" hidden="1" thickTop="1" x14ac:dyDescent="0.2">
      <c r="A99" s="270" t="s">
        <v>567</v>
      </c>
      <c r="B99" s="271">
        <f>B81*B85</f>
        <v>-21394337.572196931</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-21394337.572196931</v>
      </c>
      <c r="AR99" s="274"/>
      <c r="AS99" s="274"/>
    </row>
    <row r="100" spans="1:71" s="278" customFormat="1" hidden="1" x14ac:dyDescent="0.2">
      <c r="A100" s="276">
        <f>AQ99</f>
        <v>-21394337.572196931</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hidden="1" x14ac:dyDescent="0.2">
      <c r="A101" s="276">
        <f>AP87</f>
        <v>32769062.454075053</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hidden="1" x14ac:dyDescent="0.2">
      <c r="A102" s="279" t="s">
        <v>568</v>
      </c>
      <c r="B102" s="280">
        <f>(A101+-A100)/-A100</f>
        <v>2.5316698796348889</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hidden="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hidden="1" x14ac:dyDescent="0.2">
      <c r="A104" s="282" t="s">
        <v>569</v>
      </c>
      <c r="B104" s="282" t="s">
        <v>570</v>
      </c>
      <c r="C104" s="282" t="s">
        <v>571</v>
      </c>
      <c r="D104" s="282" t="s">
        <v>572</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21.842962100032214</v>
      </c>
      <c r="B105" s="286">
        <f>L88</f>
        <v>0.95711150863875716</v>
      </c>
      <c r="C105" s="287">
        <f>G28</f>
        <v>2.4881530658794264</v>
      </c>
      <c r="D105" s="287">
        <f>G29</f>
        <v>2.8258560305454803</v>
      </c>
      <c r="E105" s="288" t="s">
        <v>573</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574</v>
      </c>
      <c r="B108" s="294"/>
      <c r="C108" s="294">
        <f>C109*$B$111*$B$112*1000</f>
        <v>2746239.0937344008</v>
      </c>
      <c r="D108" s="294">
        <f t="shared" ref="D108:AP108" si="36">D109*$B$111*$B$112*1000</f>
        <v>5492478.1874688016</v>
      </c>
      <c r="E108" s="294">
        <f>E109*$B$111*$B$112*1000</f>
        <v>8321936.6476800004</v>
      </c>
      <c r="F108" s="294">
        <f t="shared" si="36"/>
        <v>8321936.6476800004</v>
      </c>
      <c r="G108" s="294">
        <f t="shared" si="36"/>
        <v>8321936.6476800004</v>
      </c>
      <c r="H108" s="294">
        <f t="shared" si="36"/>
        <v>8321936.6476800004</v>
      </c>
      <c r="I108" s="294">
        <f t="shared" si="36"/>
        <v>8321936.6476800004</v>
      </c>
      <c r="J108" s="294">
        <f t="shared" si="36"/>
        <v>8321936.6476800004</v>
      </c>
      <c r="K108" s="294">
        <f t="shared" si="36"/>
        <v>8321936.6476800004</v>
      </c>
      <c r="L108" s="294">
        <f t="shared" si="36"/>
        <v>8321936.6476800004</v>
      </c>
      <c r="M108" s="294">
        <f t="shared" si="36"/>
        <v>8321936.6476800004</v>
      </c>
      <c r="N108" s="294">
        <f t="shared" si="36"/>
        <v>8321936.6476800004</v>
      </c>
      <c r="O108" s="294">
        <f t="shared" si="36"/>
        <v>8321936.6476800004</v>
      </c>
      <c r="P108" s="294">
        <f t="shared" si="36"/>
        <v>8321936.6476800004</v>
      </c>
      <c r="Q108" s="294">
        <f t="shared" si="36"/>
        <v>8321936.6476800004</v>
      </c>
      <c r="R108" s="294">
        <f t="shared" si="36"/>
        <v>8321936.6476800004</v>
      </c>
      <c r="S108" s="294">
        <f t="shared" si="36"/>
        <v>8321936.6476800004</v>
      </c>
      <c r="T108" s="294">
        <f t="shared" si="36"/>
        <v>8321936.6476800004</v>
      </c>
      <c r="U108" s="294">
        <f t="shared" si="36"/>
        <v>8321936.6476800004</v>
      </c>
      <c r="V108" s="294">
        <f t="shared" si="36"/>
        <v>8321936.6476800004</v>
      </c>
      <c r="W108" s="294">
        <f t="shared" si="36"/>
        <v>8321936.6476800004</v>
      </c>
      <c r="X108" s="294">
        <f t="shared" si="36"/>
        <v>8321936.6476800004</v>
      </c>
      <c r="Y108" s="294">
        <f t="shared" si="36"/>
        <v>8321936.6476800004</v>
      </c>
      <c r="Z108" s="294">
        <f t="shared" si="36"/>
        <v>8321936.6476800004</v>
      </c>
      <c r="AA108" s="294">
        <f t="shared" si="36"/>
        <v>8321936.6476800004</v>
      </c>
      <c r="AB108" s="294">
        <f t="shared" si="36"/>
        <v>8321936.6476800004</v>
      </c>
      <c r="AC108" s="294">
        <f t="shared" si="36"/>
        <v>8321936.6476800004</v>
      </c>
      <c r="AD108" s="294">
        <f t="shared" si="36"/>
        <v>8321936.6476800004</v>
      </c>
      <c r="AE108" s="294">
        <f t="shared" si="36"/>
        <v>8321936.6476800004</v>
      </c>
      <c r="AF108" s="294">
        <f t="shared" si="36"/>
        <v>8321936.6476800004</v>
      </c>
      <c r="AG108" s="294">
        <f t="shared" si="36"/>
        <v>8321936.6476800004</v>
      </c>
      <c r="AH108" s="294">
        <f t="shared" si="36"/>
        <v>8321936.6476800004</v>
      </c>
      <c r="AI108" s="294">
        <f t="shared" si="36"/>
        <v>8321936.6476800004</v>
      </c>
      <c r="AJ108" s="294">
        <f t="shared" si="36"/>
        <v>8321936.6476800004</v>
      </c>
      <c r="AK108" s="294">
        <f t="shared" si="36"/>
        <v>8321936.6476800004</v>
      </c>
      <c r="AL108" s="294">
        <f t="shared" si="36"/>
        <v>8321936.6476800004</v>
      </c>
      <c r="AM108" s="294">
        <f t="shared" si="36"/>
        <v>8321936.6476800004</v>
      </c>
      <c r="AN108" s="294">
        <f t="shared" si="36"/>
        <v>8321936.6476800004</v>
      </c>
      <c r="AO108" s="294">
        <f t="shared" si="36"/>
        <v>8321936.6476800004</v>
      </c>
      <c r="AP108" s="294">
        <f t="shared" si="36"/>
        <v>8321936.6476800004</v>
      </c>
      <c r="AT108" s="278"/>
      <c r="AU108" s="278"/>
      <c r="AV108" s="278"/>
      <c r="AW108" s="278"/>
      <c r="AX108" s="278"/>
      <c r="AY108" s="278"/>
      <c r="AZ108" s="278"/>
      <c r="BA108" s="278"/>
      <c r="BB108" s="278"/>
      <c r="BC108" s="278"/>
      <c r="BD108" s="278"/>
      <c r="BE108" s="278"/>
      <c r="BF108" s="278"/>
      <c r="BG108" s="278"/>
    </row>
    <row r="109" spans="1:71" ht="12.75" hidden="1" x14ac:dyDescent="0.2">
      <c r="A109" s="293" t="s">
        <v>575</v>
      </c>
      <c r="B109" s="292"/>
      <c r="C109" s="292">
        <f>B109+$I$120*C113</f>
        <v>0.50945400000000007</v>
      </c>
      <c r="D109" s="292">
        <f>C109+$I$120*D113</f>
        <v>1.0189080000000001</v>
      </c>
      <c r="E109" s="292">
        <f t="shared" ref="E109:AP109" si="37">D109+$I$120*E113</f>
        <v>1.5438000000000001</v>
      </c>
      <c r="F109" s="292">
        <f t="shared" si="37"/>
        <v>1.5438000000000001</v>
      </c>
      <c r="G109" s="292">
        <f t="shared" si="37"/>
        <v>1.5438000000000001</v>
      </c>
      <c r="H109" s="292">
        <f t="shared" si="37"/>
        <v>1.5438000000000001</v>
      </c>
      <c r="I109" s="292">
        <f t="shared" si="37"/>
        <v>1.5438000000000001</v>
      </c>
      <c r="J109" s="292">
        <f t="shared" si="37"/>
        <v>1.5438000000000001</v>
      </c>
      <c r="K109" s="292">
        <f t="shared" si="37"/>
        <v>1.5438000000000001</v>
      </c>
      <c r="L109" s="292">
        <f t="shared" si="37"/>
        <v>1.5438000000000001</v>
      </c>
      <c r="M109" s="292">
        <f t="shared" si="37"/>
        <v>1.5438000000000001</v>
      </c>
      <c r="N109" s="292">
        <f t="shared" si="37"/>
        <v>1.5438000000000001</v>
      </c>
      <c r="O109" s="292">
        <f t="shared" si="37"/>
        <v>1.5438000000000001</v>
      </c>
      <c r="P109" s="292">
        <f t="shared" si="37"/>
        <v>1.5438000000000001</v>
      </c>
      <c r="Q109" s="292">
        <f t="shared" si="37"/>
        <v>1.5438000000000001</v>
      </c>
      <c r="R109" s="292">
        <f t="shared" si="37"/>
        <v>1.5438000000000001</v>
      </c>
      <c r="S109" s="292">
        <f t="shared" si="37"/>
        <v>1.5438000000000001</v>
      </c>
      <c r="T109" s="292">
        <f t="shared" si="37"/>
        <v>1.5438000000000001</v>
      </c>
      <c r="U109" s="292">
        <f t="shared" si="37"/>
        <v>1.5438000000000001</v>
      </c>
      <c r="V109" s="292">
        <f t="shared" si="37"/>
        <v>1.5438000000000001</v>
      </c>
      <c r="W109" s="292">
        <f t="shared" si="37"/>
        <v>1.5438000000000001</v>
      </c>
      <c r="X109" s="292">
        <f t="shared" si="37"/>
        <v>1.5438000000000001</v>
      </c>
      <c r="Y109" s="292">
        <f t="shared" si="37"/>
        <v>1.5438000000000001</v>
      </c>
      <c r="Z109" s="292">
        <f t="shared" si="37"/>
        <v>1.5438000000000001</v>
      </c>
      <c r="AA109" s="292">
        <f t="shared" si="37"/>
        <v>1.5438000000000001</v>
      </c>
      <c r="AB109" s="292">
        <f t="shared" si="37"/>
        <v>1.5438000000000001</v>
      </c>
      <c r="AC109" s="292">
        <f t="shared" si="37"/>
        <v>1.5438000000000001</v>
      </c>
      <c r="AD109" s="292">
        <f t="shared" si="37"/>
        <v>1.5438000000000001</v>
      </c>
      <c r="AE109" s="292">
        <f t="shared" si="37"/>
        <v>1.5438000000000001</v>
      </c>
      <c r="AF109" s="292">
        <f t="shared" si="37"/>
        <v>1.5438000000000001</v>
      </c>
      <c r="AG109" s="292">
        <f t="shared" si="37"/>
        <v>1.5438000000000001</v>
      </c>
      <c r="AH109" s="292">
        <f t="shared" si="37"/>
        <v>1.5438000000000001</v>
      </c>
      <c r="AI109" s="292">
        <f t="shared" si="37"/>
        <v>1.5438000000000001</v>
      </c>
      <c r="AJ109" s="292">
        <f t="shared" si="37"/>
        <v>1.5438000000000001</v>
      </c>
      <c r="AK109" s="292">
        <f t="shared" si="37"/>
        <v>1.5438000000000001</v>
      </c>
      <c r="AL109" s="292">
        <f t="shared" si="37"/>
        <v>1.5438000000000001</v>
      </c>
      <c r="AM109" s="292">
        <f t="shared" si="37"/>
        <v>1.5438000000000001</v>
      </c>
      <c r="AN109" s="292">
        <f t="shared" si="37"/>
        <v>1.5438000000000001</v>
      </c>
      <c r="AO109" s="292">
        <f t="shared" si="37"/>
        <v>1.5438000000000001</v>
      </c>
      <c r="AP109" s="292">
        <f t="shared" si="37"/>
        <v>1.5438000000000001</v>
      </c>
      <c r="AT109" s="278"/>
      <c r="AU109" s="278"/>
      <c r="AV109" s="278"/>
      <c r="AW109" s="278"/>
      <c r="AX109" s="278"/>
      <c r="AY109" s="278"/>
      <c r="AZ109" s="278"/>
      <c r="BA109" s="278"/>
      <c r="BB109" s="278"/>
      <c r="BC109" s="278"/>
      <c r="BD109" s="278"/>
      <c r="BE109" s="278"/>
      <c r="BF109" s="278"/>
      <c r="BG109" s="278"/>
    </row>
    <row r="110" spans="1:71" ht="12.75" hidden="1" x14ac:dyDescent="0.2">
      <c r="A110" s="293" t="s">
        <v>576</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577</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578</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579</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419" t="s">
        <v>580</v>
      </c>
      <c r="C116" s="420"/>
      <c r="D116" s="419" t="s">
        <v>581</v>
      </c>
      <c r="E116" s="420"/>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582</v>
      </c>
      <c r="B117" s="299">
        <v>0</v>
      </c>
      <c r="C117" s="290" t="s">
        <v>583</v>
      </c>
      <c r="D117" s="299">
        <v>1.66</v>
      </c>
      <c r="E117" s="290" t="s">
        <v>583</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582</v>
      </c>
      <c r="B118" s="290">
        <f>$B$110*B117</f>
        <v>0</v>
      </c>
      <c r="C118" s="290" t="s">
        <v>133</v>
      </c>
      <c r="D118" s="290">
        <f>$B$110*D117</f>
        <v>1.5438000000000001</v>
      </c>
      <c r="E118" s="290" t="s">
        <v>133</v>
      </c>
      <c r="F118" s="293" t="s">
        <v>584</v>
      </c>
      <c r="G118" s="290">
        <f>D117-B117</f>
        <v>1.66</v>
      </c>
      <c r="H118" s="290" t="s">
        <v>583</v>
      </c>
      <c r="I118" s="300">
        <f>$B$110*G118</f>
        <v>1.5438000000000001</v>
      </c>
      <c r="J118" s="290" t="s">
        <v>133</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585</v>
      </c>
      <c r="G119" s="290">
        <f>I119/$B$110</f>
        <v>0</v>
      </c>
      <c r="H119" s="290" t="s">
        <v>583</v>
      </c>
      <c r="I119" s="299"/>
      <c r="J119" s="290" t="s">
        <v>133</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01"/>
      <c r="B120" s="302"/>
      <c r="C120" s="302"/>
      <c r="D120" s="302"/>
      <c r="E120" s="302"/>
      <c r="F120" s="303" t="s">
        <v>586</v>
      </c>
      <c r="G120" s="300">
        <f>G118</f>
        <v>1.66</v>
      </c>
      <c r="H120" s="290" t="s">
        <v>583</v>
      </c>
      <c r="I120" s="295">
        <f>I118</f>
        <v>1.5438000000000001</v>
      </c>
      <c r="J120" s="290" t="s">
        <v>133</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05" t="s">
        <v>587</v>
      </c>
      <c r="B122" s="306">
        <v>23.485097499999998</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hidden="1" x14ac:dyDescent="0.2">
      <c r="A123" s="305" t="s">
        <v>350</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hidden="1" x14ac:dyDescent="0.2">
      <c r="A124" s="305" t="s">
        <v>588</v>
      </c>
      <c r="B124" s="307" t="s">
        <v>600</v>
      </c>
      <c r="C124" s="308" t="s">
        <v>589</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hidden="1"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hidden="1" x14ac:dyDescent="0.2">
      <c r="A126" s="305" t="s">
        <v>590</v>
      </c>
      <c r="B126" s="313">
        <f>$B$122*1000*1000</f>
        <v>23485097.5</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591</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592</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hidden="1" x14ac:dyDescent="0.2">
      <c r="A131" s="319" t="s">
        <v>593</v>
      </c>
      <c r="B131" s="320">
        <v>1.23072</v>
      </c>
      <c r="C131" s="288" t="s">
        <v>594</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hidden="1" x14ac:dyDescent="0.2">
      <c r="A132" s="319" t="s">
        <v>595</v>
      </c>
      <c r="B132" s="320">
        <v>1.20268</v>
      </c>
      <c r="C132" s="288" t="s">
        <v>594</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hidden="1" x14ac:dyDescent="0.2">
      <c r="A134" s="305" t="s">
        <v>596</v>
      </c>
      <c r="C134" s="312" t="s">
        <v>597</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hidden="1"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5" t="s">
        <v>598</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hidden="1" x14ac:dyDescent="0.2">
      <c r="A137" s="305" t="s">
        <v>599</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hidden="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hidden="1"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80" zoomScaleSheetLayoutView="80" workbookViewId="0">
      <selection activeCell="C53" sqref="C53:D54"/>
    </sheetView>
  </sheetViews>
  <sheetFormatPr defaultRowHeight="15.75" x14ac:dyDescent="0.25"/>
  <cols>
    <col min="1" max="1" width="9.140625" style="70"/>
    <col min="2" max="2" width="37.7109375" style="70" customWidth="1"/>
    <col min="3" max="3" width="14" style="70"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76" t="s">
        <v>10</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78" t="str">
        <f>'1. паспорт местоположение'!A9:C9</f>
        <v xml:space="preserve">                         АО "Янтарьэнерго"                         </v>
      </c>
      <c r="B9" s="378"/>
      <c r="C9" s="378"/>
      <c r="D9" s="378"/>
      <c r="E9" s="378"/>
      <c r="F9" s="378"/>
      <c r="G9" s="378"/>
      <c r="H9" s="378"/>
      <c r="I9" s="378"/>
      <c r="J9" s="378"/>
      <c r="K9" s="378"/>
      <c r="L9" s="378"/>
    </row>
    <row r="10" spans="1:44" x14ac:dyDescent="0.25">
      <c r="A10" s="373" t="s">
        <v>9</v>
      </c>
      <c r="B10" s="373"/>
      <c r="C10" s="373"/>
      <c r="D10" s="373"/>
      <c r="E10" s="373"/>
      <c r="F10" s="373"/>
      <c r="G10" s="373"/>
      <c r="H10" s="373"/>
      <c r="I10" s="373"/>
      <c r="J10" s="373"/>
      <c r="K10" s="373"/>
      <c r="L10" s="373"/>
    </row>
    <row r="11" spans="1:44" ht="18.75" x14ac:dyDescent="0.25">
      <c r="A11" s="376"/>
      <c r="B11" s="376"/>
      <c r="C11" s="376"/>
      <c r="D11" s="376"/>
      <c r="E11" s="376"/>
      <c r="F11" s="376"/>
      <c r="G11" s="376"/>
      <c r="H11" s="376"/>
      <c r="I11" s="376"/>
      <c r="J11" s="376"/>
      <c r="K11" s="376"/>
      <c r="L11" s="376"/>
    </row>
    <row r="12" spans="1:44" x14ac:dyDescent="0.25">
      <c r="A12" s="378" t="str">
        <f>'1. паспорт местоположение'!A12:C12</f>
        <v>F_prj_111001_5350</v>
      </c>
      <c r="B12" s="378"/>
      <c r="C12" s="378"/>
      <c r="D12" s="378"/>
      <c r="E12" s="378"/>
      <c r="F12" s="378"/>
      <c r="G12" s="378"/>
      <c r="H12" s="378"/>
      <c r="I12" s="378"/>
      <c r="J12" s="378"/>
      <c r="K12" s="378"/>
      <c r="L12" s="378"/>
    </row>
    <row r="13" spans="1:44" x14ac:dyDescent="0.25">
      <c r="A13" s="373" t="s">
        <v>8</v>
      </c>
      <c r="B13" s="373"/>
      <c r="C13" s="373"/>
      <c r="D13" s="373"/>
      <c r="E13" s="373"/>
      <c r="F13" s="373"/>
      <c r="G13" s="373"/>
      <c r="H13" s="373"/>
      <c r="I13" s="373"/>
      <c r="J13" s="373"/>
      <c r="K13" s="373"/>
      <c r="L13" s="373"/>
    </row>
    <row r="14" spans="1:44" ht="18.75" x14ac:dyDescent="0.25">
      <c r="A14" s="382"/>
      <c r="B14" s="382"/>
      <c r="C14" s="382"/>
      <c r="D14" s="382"/>
      <c r="E14" s="382"/>
      <c r="F14" s="382"/>
      <c r="G14" s="382"/>
      <c r="H14" s="382"/>
      <c r="I14" s="382"/>
      <c r="J14" s="382"/>
      <c r="K14" s="382"/>
      <c r="L14" s="382"/>
    </row>
    <row r="15" spans="1:44" x14ac:dyDescent="0.25">
      <c r="A15" s="383"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3"/>
      <c r="C15" s="383"/>
      <c r="D15" s="383"/>
      <c r="E15" s="383"/>
      <c r="F15" s="383"/>
      <c r="G15" s="383"/>
      <c r="H15" s="383"/>
      <c r="I15" s="383"/>
      <c r="J15" s="383"/>
      <c r="K15" s="383"/>
      <c r="L15" s="383"/>
    </row>
    <row r="16" spans="1:44" x14ac:dyDescent="0.25">
      <c r="A16" s="373" t="s">
        <v>7</v>
      </c>
      <c r="B16" s="373"/>
      <c r="C16" s="373"/>
      <c r="D16" s="373"/>
      <c r="E16" s="373"/>
      <c r="F16" s="373"/>
      <c r="G16" s="373"/>
      <c r="H16" s="373"/>
      <c r="I16" s="373"/>
      <c r="J16" s="373"/>
      <c r="K16" s="373"/>
      <c r="L16" s="373"/>
    </row>
    <row r="17" spans="1:12" ht="15.75" customHeight="1" x14ac:dyDescent="0.25">
      <c r="L17" s="104"/>
    </row>
    <row r="18" spans="1:12" x14ac:dyDescent="0.25">
      <c r="K18" s="103"/>
    </row>
    <row r="19" spans="1:12" ht="15.75" customHeight="1" x14ac:dyDescent="0.25">
      <c r="A19" s="443" t="s">
        <v>507</v>
      </c>
      <c r="B19" s="443"/>
      <c r="C19" s="443"/>
      <c r="D19" s="443"/>
      <c r="E19" s="443"/>
      <c r="F19" s="443"/>
      <c r="G19" s="443"/>
      <c r="H19" s="443"/>
      <c r="I19" s="443"/>
      <c r="J19" s="443"/>
      <c r="K19" s="443"/>
      <c r="L19" s="443"/>
    </row>
    <row r="20" spans="1:12" x14ac:dyDescent="0.25">
      <c r="A20" s="72"/>
      <c r="B20" s="72"/>
      <c r="C20" s="102"/>
      <c r="D20" s="102"/>
      <c r="E20" s="102"/>
      <c r="F20" s="102"/>
      <c r="G20" s="102"/>
      <c r="H20" s="102"/>
      <c r="I20" s="102"/>
      <c r="J20" s="102"/>
      <c r="K20" s="102"/>
      <c r="L20" s="102"/>
    </row>
    <row r="21" spans="1:12" ht="28.5" customHeight="1" x14ac:dyDescent="0.25">
      <c r="A21" s="433" t="s">
        <v>227</v>
      </c>
      <c r="B21" s="433" t="s">
        <v>226</v>
      </c>
      <c r="C21" s="439" t="s">
        <v>439</v>
      </c>
      <c r="D21" s="439"/>
      <c r="E21" s="439"/>
      <c r="F21" s="439"/>
      <c r="G21" s="439"/>
      <c r="H21" s="439"/>
      <c r="I21" s="434" t="s">
        <v>225</v>
      </c>
      <c r="J21" s="436" t="s">
        <v>441</v>
      </c>
      <c r="K21" s="433" t="s">
        <v>224</v>
      </c>
      <c r="L21" s="435" t="s">
        <v>440</v>
      </c>
    </row>
    <row r="22" spans="1:12" ht="58.5" customHeight="1" x14ac:dyDescent="0.25">
      <c r="A22" s="433"/>
      <c r="B22" s="433"/>
      <c r="C22" s="440" t="s">
        <v>3</v>
      </c>
      <c r="D22" s="440"/>
      <c r="E22" s="158"/>
      <c r="F22" s="159"/>
      <c r="G22" s="441" t="s">
        <v>2</v>
      </c>
      <c r="H22" s="442"/>
      <c r="I22" s="434"/>
      <c r="J22" s="437"/>
      <c r="K22" s="433"/>
      <c r="L22" s="435"/>
    </row>
    <row r="23" spans="1:12" ht="47.25" x14ac:dyDescent="0.25">
      <c r="A23" s="433"/>
      <c r="B23" s="433"/>
      <c r="C23" s="101" t="s">
        <v>223</v>
      </c>
      <c r="D23" s="101" t="s">
        <v>222</v>
      </c>
      <c r="E23" s="101" t="s">
        <v>223</v>
      </c>
      <c r="F23" s="101" t="s">
        <v>222</v>
      </c>
      <c r="G23" s="101" t="s">
        <v>223</v>
      </c>
      <c r="H23" s="101" t="s">
        <v>222</v>
      </c>
      <c r="I23" s="434"/>
      <c r="J23" s="438"/>
      <c r="K23" s="433"/>
      <c r="L23" s="435"/>
    </row>
    <row r="24" spans="1:12" x14ac:dyDescent="0.25">
      <c r="A24" s="78">
        <v>1</v>
      </c>
      <c r="B24" s="78">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0"/>
      <c r="L25" s="113"/>
    </row>
    <row r="26" spans="1:12" ht="21.75" customHeight="1" x14ac:dyDescent="0.25">
      <c r="A26" s="93" t="s">
        <v>220</v>
      </c>
      <c r="B26" s="100" t="s">
        <v>446</v>
      </c>
      <c r="C26" s="91">
        <v>0</v>
      </c>
      <c r="D26" s="356">
        <v>0</v>
      </c>
      <c r="E26" s="99"/>
      <c r="F26" s="99"/>
      <c r="G26" s="99"/>
      <c r="H26" s="99"/>
      <c r="I26" s="99"/>
      <c r="J26" s="99"/>
      <c r="K26" s="90"/>
      <c r="L26" s="90"/>
    </row>
    <row r="27" spans="1:12" s="74" customFormat="1" ht="39" customHeight="1" x14ac:dyDescent="0.25">
      <c r="A27" s="93" t="s">
        <v>219</v>
      </c>
      <c r="B27" s="100" t="s">
        <v>448</v>
      </c>
      <c r="C27" s="91">
        <v>0</v>
      </c>
      <c r="D27" s="356">
        <v>0</v>
      </c>
      <c r="E27" s="99"/>
      <c r="F27" s="99"/>
      <c r="G27" s="99"/>
      <c r="H27" s="99"/>
      <c r="I27" s="99"/>
      <c r="J27" s="99"/>
      <c r="K27" s="90"/>
      <c r="L27" s="90"/>
    </row>
    <row r="28" spans="1:12" s="74" customFormat="1" ht="70.5" customHeight="1" x14ac:dyDescent="0.25">
      <c r="A28" s="93" t="s">
        <v>447</v>
      </c>
      <c r="B28" s="100" t="s">
        <v>452</v>
      </c>
      <c r="C28" s="91">
        <v>0</v>
      </c>
      <c r="D28" s="356">
        <v>0</v>
      </c>
      <c r="E28" s="99"/>
      <c r="F28" s="99"/>
      <c r="G28" s="99"/>
      <c r="H28" s="99"/>
      <c r="I28" s="99"/>
      <c r="J28" s="99"/>
      <c r="K28" s="90"/>
      <c r="L28" s="90"/>
    </row>
    <row r="29" spans="1:12" s="74" customFormat="1" ht="54" customHeight="1" x14ac:dyDescent="0.25">
      <c r="A29" s="93" t="s">
        <v>218</v>
      </c>
      <c r="B29" s="100" t="s">
        <v>451</v>
      </c>
      <c r="C29" s="91">
        <v>0</v>
      </c>
      <c r="D29" s="356">
        <v>0</v>
      </c>
      <c r="E29" s="99"/>
      <c r="F29" s="99"/>
      <c r="G29" s="99"/>
      <c r="H29" s="99"/>
      <c r="I29" s="99"/>
      <c r="J29" s="99"/>
      <c r="K29" s="90"/>
      <c r="L29" s="90"/>
    </row>
    <row r="30" spans="1:12" s="74" customFormat="1" ht="42" customHeight="1" x14ac:dyDescent="0.25">
      <c r="A30" s="93" t="s">
        <v>217</v>
      </c>
      <c r="B30" s="100" t="s">
        <v>453</v>
      </c>
      <c r="C30" s="91">
        <v>0</v>
      </c>
      <c r="D30" s="356">
        <v>0</v>
      </c>
      <c r="E30" s="99"/>
      <c r="F30" s="99"/>
      <c r="G30" s="99"/>
      <c r="H30" s="99"/>
      <c r="I30" s="99"/>
      <c r="J30" s="99"/>
      <c r="K30" s="90"/>
      <c r="L30" s="90"/>
    </row>
    <row r="31" spans="1:12" s="74" customFormat="1" ht="37.5" customHeight="1" x14ac:dyDescent="0.25">
      <c r="A31" s="93" t="s">
        <v>216</v>
      </c>
      <c r="B31" s="92" t="s">
        <v>449</v>
      </c>
      <c r="C31" s="355">
        <v>41379</v>
      </c>
      <c r="D31" s="355">
        <v>41379</v>
      </c>
      <c r="E31" s="99"/>
      <c r="F31" s="99"/>
      <c r="G31" s="99"/>
      <c r="H31" s="99"/>
      <c r="I31" s="99"/>
      <c r="J31" s="99"/>
      <c r="K31" s="90"/>
      <c r="L31" s="90"/>
    </row>
    <row r="32" spans="1:12" s="74" customFormat="1" ht="31.5" x14ac:dyDescent="0.25">
      <c r="A32" s="93" t="s">
        <v>214</v>
      </c>
      <c r="B32" s="92" t="s">
        <v>454</v>
      </c>
      <c r="C32" s="355">
        <v>41501</v>
      </c>
      <c r="D32" s="355">
        <v>41511</v>
      </c>
      <c r="E32" s="99"/>
      <c r="F32" s="99"/>
      <c r="G32" s="99"/>
      <c r="H32" s="99"/>
      <c r="I32" s="99"/>
      <c r="J32" s="99"/>
      <c r="K32" s="90"/>
      <c r="L32" s="90"/>
    </row>
    <row r="33" spans="1:12" s="74" customFormat="1" ht="37.5" customHeight="1" x14ac:dyDescent="0.25">
      <c r="A33" s="93" t="s">
        <v>465</v>
      </c>
      <c r="B33" s="92" t="s">
        <v>379</v>
      </c>
      <c r="C33" s="357" t="s">
        <v>619</v>
      </c>
      <c r="D33" s="357" t="s">
        <v>619</v>
      </c>
      <c r="E33" s="99"/>
      <c r="F33" s="99"/>
      <c r="G33" s="99"/>
      <c r="H33" s="99"/>
      <c r="I33" s="99"/>
      <c r="J33" s="99"/>
      <c r="K33" s="90"/>
      <c r="L33" s="90"/>
    </row>
    <row r="34" spans="1:12" s="74" customFormat="1" ht="47.25" customHeight="1" x14ac:dyDescent="0.25">
      <c r="A34" s="93" t="s">
        <v>466</v>
      </c>
      <c r="B34" s="92" t="s">
        <v>458</v>
      </c>
      <c r="C34" s="357" t="s">
        <v>619</v>
      </c>
      <c r="D34" s="357" t="s">
        <v>619</v>
      </c>
      <c r="E34" s="98"/>
      <c r="F34" s="98"/>
      <c r="G34" s="98"/>
      <c r="H34" s="98"/>
      <c r="I34" s="98"/>
      <c r="J34" s="98"/>
      <c r="K34" s="98"/>
      <c r="L34" s="90"/>
    </row>
    <row r="35" spans="1:12" s="74" customFormat="1" ht="49.5" customHeight="1" x14ac:dyDescent="0.25">
      <c r="A35" s="93" t="s">
        <v>467</v>
      </c>
      <c r="B35" s="92" t="s">
        <v>215</v>
      </c>
      <c r="C35" s="358">
        <v>41501</v>
      </c>
      <c r="D35" s="358">
        <v>41511</v>
      </c>
      <c r="E35" s="98"/>
      <c r="F35" s="98"/>
      <c r="G35" s="98"/>
      <c r="H35" s="98"/>
      <c r="I35" s="98"/>
      <c r="J35" s="98"/>
      <c r="K35" s="98"/>
      <c r="L35" s="90"/>
    </row>
    <row r="36" spans="1:12" ht="37.5" customHeight="1" x14ac:dyDescent="0.25">
      <c r="A36" s="93" t="s">
        <v>468</v>
      </c>
      <c r="B36" s="92" t="s">
        <v>450</v>
      </c>
      <c r="C36" s="357" t="s">
        <v>619</v>
      </c>
      <c r="D36" s="357" t="s">
        <v>619</v>
      </c>
      <c r="E36" s="97"/>
      <c r="F36" s="96"/>
      <c r="G36" s="96"/>
      <c r="H36" s="96"/>
      <c r="I36" s="95"/>
      <c r="J36" s="95"/>
      <c r="K36" s="90"/>
      <c r="L36" s="90"/>
    </row>
    <row r="37" spans="1:12" x14ac:dyDescent="0.25">
      <c r="A37" s="93" t="s">
        <v>469</v>
      </c>
      <c r="B37" s="92" t="s">
        <v>213</v>
      </c>
      <c r="C37" s="355">
        <v>41379</v>
      </c>
      <c r="D37" s="355">
        <v>41501</v>
      </c>
      <c r="E37" s="97"/>
      <c r="F37" s="96"/>
      <c r="G37" s="96"/>
      <c r="H37" s="96"/>
      <c r="I37" s="95"/>
      <c r="J37" s="95"/>
      <c r="K37" s="90"/>
      <c r="L37" s="90"/>
    </row>
    <row r="38" spans="1:12" x14ac:dyDescent="0.25">
      <c r="A38" s="93" t="s">
        <v>470</v>
      </c>
      <c r="B38" s="94" t="s">
        <v>212</v>
      </c>
      <c r="C38" s="91"/>
      <c r="D38" s="90"/>
      <c r="E38" s="90"/>
      <c r="F38" s="90"/>
      <c r="G38" s="90"/>
      <c r="H38" s="90"/>
      <c r="I38" s="90"/>
      <c r="J38" s="90"/>
      <c r="K38" s="90"/>
      <c r="L38" s="90"/>
    </row>
    <row r="39" spans="1:12" ht="63" x14ac:dyDescent="0.25">
      <c r="A39" s="93">
        <v>2</v>
      </c>
      <c r="B39" s="92" t="s">
        <v>455</v>
      </c>
      <c r="C39" s="358">
        <v>41607</v>
      </c>
      <c r="D39" s="358">
        <v>41607</v>
      </c>
      <c r="E39" s="90"/>
      <c r="F39" s="90"/>
      <c r="G39" s="90"/>
      <c r="H39" s="90"/>
      <c r="I39" s="90"/>
      <c r="J39" s="90"/>
      <c r="K39" s="90"/>
      <c r="L39" s="90"/>
    </row>
    <row r="40" spans="1:12" ht="33.75" customHeight="1" x14ac:dyDescent="0.25">
      <c r="A40" s="93" t="s">
        <v>211</v>
      </c>
      <c r="B40" s="92" t="s">
        <v>457</v>
      </c>
      <c r="C40" s="358">
        <v>41607</v>
      </c>
      <c r="D40" s="91" t="s">
        <v>624</v>
      </c>
      <c r="E40" s="90"/>
      <c r="F40" s="90"/>
      <c r="G40" s="90"/>
      <c r="H40" s="90"/>
      <c r="I40" s="90"/>
      <c r="J40" s="90"/>
      <c r="K40" s="90"/>
      <c r="L40" s="90"/>
    </row>
    <row r="41" spans="1:12" ht="63" customHeight="1" x14ac:dyDescent="0.25">
      <c r="A41" s="93" t="s">
        <v>210</v>
      </c>
      <c r="B41" s="94" t="s">
        <v>538</v>
      </c>
      <c r="C41" s="357" t="s">
        <v>624</v>
      </c>
      <c r="D41" s="358">
        <v>42398</v>
      </c>
      <c r="E41" s="90"/>
      <c r="F41" s="90"/>
      <c r="G41" s="90"/>
      <c r="H41" s="90"/>
      <c r="I41" s="90"/>
      <c r="J41" s="90"/>
      <c r="K41" s="90"/>
      <c r="L41" s="90"/>
    </row>
    <row r="42" spans="1:12" ht="58.5" customHeight="1" x14ac:dyDescent="0.25">
      <c r="A42" s="93">
        <v>3</v>
      </c>
      <c r="B42" s="92" t="s">
        <v>456</v>
      </c>
      <c r="C42" s="357" t="s">
        <v>624</v>
      </c>
      <c r="D42" s="358">
        <v>41758</v>
      </c>
      <c r="E42" s="90"/>
      <c r="F42" s="90"/>
      <c r="G42" s="90"/>
      <c r="H42" s="90"/>
      <c r="I42" s="90"/>
      <c r="J42" s="90"/>
      <c r="K42" s="90"/>
      <c r="L42" s="90"/>
    </row>
    <row r="43" spans="1:12" ht="34.5" customHeight="1" x14ac:dyDescent="0.25">
      <c r="A43" s="93" t="s">
        <v>209</v>
      </c>
      <c r="B43" s="92" t="s">
        <v>207</v>
      </c>
      <c r="C43" s="358">
        <v>41758</v>
      </c>
      <c r="D43" s="358">
        <v>41819</v>
      </c>
      <c r="E43" s="90"/>
      <c r="F43" s="90"/>
      <c r="G43" s="90"/>
      <c r="H43" s="90"/>
      <c r="I43" s="90"/>
      <c r="J43" s="90"/>
      <c r="K43" s="90"/>
      <c r="L43" s="90"/>
    </row>
    <row r="44" spans="1:12" ht="24.75" customHeight="1" x14ac:dyDescent="0.25">
      <c r="A44" s="93" t="s">
        <v>208</v>
      </c>
      <c r="B44" s="92" t="s">
        <v>205</v>
      </c>
      <c r="C44" s="358">
        <v>41819</v>
      </c>
      <c r="D44" s="358">
        <v>42398</v>
      </c>
      <c r="E44" s="90"/>
      <c r="F44" s="90"/>
      <c r="G44" s="90"/>
      <c r="H44" s="90"/>
      <c r="I44" s="90"/>
      <c r="J44" s="90"/>
      <c r="K44" s="90"/>
      <c r="L44" s="90"/>
    </row>
    <row r="45" spans="1:12" ht="90.75" customHeight="1" x14ac:dyDescent="0.25">
      <c r="A45" s="93" t="s">
        <v>206</v>
      </c>
      <c r="B45" s="92" t="s">
        <v>461</v>
      </c>
      <c r="C45" s="359" t="s">
        <v>619</v>
      </c>
      <c r="D45" s="359" t="s">
        <v>619</v>
      </c>
      <c r="E45" s="90"/>
      <c r="F45" s="90"/>
      <c r="G45" s="90"/>
      <c r="H45" s="90"/>
      <c r="I45" s="90"/>
      <c r="J45" s="90"/>
      <c r="K45" s="90"/>
      <c r="L45" s="90"/>
    </row>
    <row r="46" spans="1:12" ht="167.25" customHeight="1" x14ac:dyDescent="0.25">
      <c r="A46" s="93" t="s">
        <v>204</v>
      </c>
      <c r="B46" s="92" t="s">
        <v>459</v>
      </c>
      <c r="C46" s="359" t="s">
        <v>619</v>
      </c>
      <c r="D46" s="359" t="s">
        <v>619</v>
      </c>
      <c r="E46" s="90"/>
      <c r="F46" s="90"/>
      <c r="G46" s="90"/>
      <c r="H46" s="90"/>
      <c r="I46" s="90"/>
      <c r="J46" s="90"/>
      <c r="K46" s="90"/>
      <c r="L46" s="90"/>
    </row>
    <row r="47" spans="1:12" ht="30.75" customHeight="1" x14ac:dyDescent="0.25">
      <c r="A47" s="93" t="s">
        <v>202</v>
      </c>
      <c r="B47" s="92" t="s">
        <v>203</v>
      </c>
      <c r="C47" s="359">
        <v>42389</v>
      </c>
      <c r="D47" s="359">
        <v>42398</v>
      </c>
      <c r="E47" s="90"/>
      <c r="F47" s="90"/>
      <c r="G47" s="90"/>
      <c r="H47" s="90"/>
      <c r="I47" s="90"/>
      <c r="J47" s="90"/>
      <c r="K47" s="90"/>
      <c r="L47" s="90"/>
    </row>
    <row r="48" spans="1:12" ht="37.5" customHeight="1" x14ac:dyDescent="0.25">
      <c r="A48" s="93" t="s">
        <v>471</v>
      </c>
      <c r="B48" s="94" t="s">
        <v>201</v>
      </c>
      <c r="C48" s="359">
        <v>42389</v>
      </c>
      <c r="D48" s="359">
        <v>42398</v>
      </c>
      <c r="E48" s="90"/>
      <c r="F48" s="90"/>
      <c r="G48" s="90"/>
      <c r="H48" s="90"/>
      <c r="I48" s="90"/>
      <c r="J48" s="90"/>
      <c r="K48" s="90"/>
      <c r="L48" s="90"/>
    </row>
    <row r="49" spans="1:12" ht="35.25" customHeight="1" x14ac:dyDescent="0.25">
      <c r="A49" s="93">
        <v>4</v>
      </c>
      <c r="B49" s="92" t="s">
        <v>199</v>
      </c>
      <c r="C49" s="359">
        <v>42389</v>
      </c>
      <c r="D49" s="359">
        <v>42398</v>
      </c>
      <c r="E49" s="90"/>
      <c r="F49" s="90"/>
      <c r="G49" s="90"/>
      <c r="H49" s="90"/>
      <c r="I49" s="90"/>
      <c r="J49" s="90"/>
      <c r="K49" s="90"/>
      <c r="L49" s="90"/>
    </row>
    <row r="50" spans="1:12" ht="86.25" customHeight="1" x14ac:dyDescent="0.25">
      <c r="A50" s="93" t="s">
        <v>200</v>
      </c>
      <c r="B50" s="92" t="s">
        <v>460</v>
      </c>
      <c r="C50" s="359">
        <v>42398</v>
      </c>
      <c r="D50" s="360">
        <v>42403</v>
      </c>
      <c r="E50" s="90"/>
      <c r="F50" s="90"/>
      <c r="G50" s="90"/>
      <c r="H50" s="90"/>
      <c r="I50" s="90"/>
      <c r="J50" s="90"/>
      <c r="K50" s="90"/>
      <c r="L50" s="90"/>
    </row>
    <row r="51" spans="1:12" ht="77.25" customHeight="1" x14ac:dyDescent="0.25">
      <c r="A51" s="93" t="s">
        <v>198</v>
      </c>
      <c r="B51" s="92" t="s">
        <v>462</v>
      </c>
      <c r="C51" s="359" t="s">
        <v>619</v>
      </c>
      <c r="D51" s="359" t="s">
        <v>619</v>
      </c>
      <c r="E51" s="90"/>
      <c r="F51" s="90"/>
      <c r="G51" s="90"/>
      <c r="H51" s="90"/>
      <c r="I51" s="90"/>
      <c r="J51" s="90"/>
      <c r="K51" s="90"/>
      <c r="L51" s="90"/>
    </row>
    <row r="52" spans="1:12" ht="71.25" customHeight="1" x14ac:dyDescent="0.25">
      <c r="A52" s="93" t="s">
        <v>196</v>
      </c>
      <c r="B52" s="92" t="s">
        <v>197</v>
      </c>
      <c r="C52" s="359">
        <v>42398</v>
      </c>
      <c r="D52" s="360">
        <v>42403</v>
      </c>
      <c r="E52" s="90"/>
      <c r="F52" s="90"/>
      <c r="G52" s="90"/>
      <c r="H52" s="90"/>
      <c r="I52" s="90"/>
      <c r="J52" s="90"/>
      <c r="K52" s="90"/>
      <c r="L52" s="90"/>
    </row>
    <row r="53" spans="1:12" ht="48" customHeight="1" x14ac:dyDescent="0.25">
      <c r="A53" s="93" t="s">
        <v>194</v>
      </c>
      <c r="B53" s="162" t="s">
        <v>463</v>
      </c>
      <c r="C53" s="359">
        <v>42398</v>
      </c>
      <c r="D53" s="360">
        <v>42403</v>
      </c>
      <c r="E53" s="90"/>
      <c r="F53" s="90"/>
      <c r="G53" s="90"/>
      <c r="H53" s="90"/>
      <c r="I53" s="90"/>
      <c r="J53" s="90"/>
      <c r="K53" s="90"/>
      <c r="L53" s="90"/>
    </row>
    <row r="54" spans="1:12" ht="46.5" customHeight="1" x14ac:dyDescent="0.25">
      <c r="A54" s="93" t="s">
        <v>464</v>
      </c>
      <c r="B54" s="92" t="s">
        <v>195</v>
      </c>
      <c r="C54" s="359">
        <v>42398</v>
      </c>
      <c r="D54" s="360">
        <v>42403</v>
      </c>
      <c r="E54" s="90"/>
      <c r="F54" s="90"/>
      <c r="G54" s="90"/>
      <c r="H54" s="90"/>
      <c r="I54" s="90"/>
      <c r="J54" s="90"/>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2016-10-25T09:08:24Z</dcterms:modified>
</cp:coreProperties>
</file>