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4" l="1"/>
  <c r="C49" i="7" l="1"/>
  <c r="C48" i="7"/>
  <c r="AB25" i="23" l="1"/>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A15" i="26" l="1"/>
  <c r="A12" i="26"/>
  <c r="A9" i="26"/>
  <c r="B83" i="26"/>
  <c r="B82" i="26"/>
  <c r="B81" i="26"/>
  <c r="B80" i="26"/>
  <c r="B68" i="26"/>
  <c r="B60" i="26"/>
  <c r="B58" i="26"/>
  <c r="B55" i="26"/>
  <c r="B47" i="26"/>
  <c r="B41" i="26"/>
  <c r="B34" i="26"/>
  <c r="B32" i="26"/>
  <c r="B30" i="26"/>
  <c r="B27" i="26"/>
  <c r="B72" i="26" s="1"/>
  <c r="B21" i="26"/>
  <c r="A5" i="26"/>
  <c r="B38" i="26" l="1"/>
  <c r="B43" i="26"/>
  <c r="B51" i="26"/>
  <c r="B64" i="26"/>
  <c r="A15" i="24" l="1"/>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B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A62" i="24"/>
  <c r="B60" i="24"/>
  <c r="C58" i="24"/>
  <c r="C74" i="24" s="1"/>
  <c r="B52" i="24"/>
  <c r="B50" i="24"/>
  <c r="B59" i="24" s="1"/>
  <c r="F48" i="24"/>
  <c r="E48" i="24"/>
  <c r="D48" i="24"/>
  <c r="C48" i="24"/>
  <c r="B48" i="24"/>
  <c r="B47" i="24"/>
  <c r="B45" i="24"/>
  <c r="B46" i="24" s="1"/>
  <c r="B44" i="24"/>
  <c r="B29" i="24"/>
  <c r="B27" i="24"/>
  <c r="B54" i="24"/>
  <c r="B55" i="24" s="1"/>
  <c r="B56" i="24" s="1"/>
  <c r="B69" i="24" s="1"/>
  <c r="B77" i="24" s="1"/>
  <c r="A7" i="24"/>
  <c r="A5" i="24"/>
  <c r="C141" i="24" l="1"/>
  <c r="C67" i="24"/>
  <c r="D67" i="24" s="1"/>
  <c r="I118" i="24"/>
  <c r="I120" i="24" s="1"/>
  <c r="C109" i="24" s="1"/>
  <c r="AQ81" i="24"/>
  <c r="K136" i="24"/>
  <c r="H48" i="24"/>
  <c r="E140" i="24"/>
  <c r="B82" i="24"/>
  <c r="C53" i="24"/>
  <c r="G48" i="24"/>
  <c r="D58" i="24"/>
  <c r="C52" i="24"/>
  <c r="C47" i="24"/>
  <c r="B80" i="24"/>
  <c r="B66" i="24"/>
  <c r="B68" i="24" s="1"/>
  <c r="B79" i="24"/>
  <c r="E137" i="24"/>
  <c r="D141" i="24"/>
  <c r="B73" i="24" s="1"/>
  <c r="B85" i="24" s="1"/>
  <c r="B99" i="24" s="1"/>
  <c r="C76" i="24" l="1"/>
  <c r="F76" i="24"/>
  <c r="D109" i="24"/>
  <c r="C108" i="24"/>
  <c r="F140" i="24"/>
  <c r="L136" i="24"/>
  <c r="I48" i="24"/>
  <c r="D76" i="24"/>
  <c r="E67" i="24"/>
  <c r="F137" i="24"/>
  <c r="C49" i="24"/>
  <c r="B70" i="24"/>
  <c r="B75" i="24"/>
  <c r="D74" i="24"/>
  <c r="E58" i="24"/>
  <c r="D52" i="24"/>
  <c r="D47" i="24"/>
  <c r="C55" i="24"/>
  <c r="E141" i="24"/>
  <c r="C73" i="24" s="1"/>
  <c r="C85" i="24" s="1"/>
  <c r="C99" i="24" s="1"/>
  <c r="C50" i="24" l="1"/>
  <c r="C59" i="24" s="1"/>
  <c r="D108" i="24"/>
  <c r="E109" i="24"/>
  <c r="C82" i="24"/>
  <c r="C56" i="24"/>
  <c r="C69" i="24" s="1"/>
  <c r="C77" i="24" s="1"/>
  <c r="C80" i="24"/>
  <c r="F67" i="24"/>
  <c r="E76" i="24"/>
  <c r="G140" i="24"/>
  <c r="G141" i="24" s="1"/>
  <c r="E73" i="24" s="1"/>
  <c r="E85" i="24" s="1"/>
  <c r="E99" i="24" s="1"/>
  <c r="D53" i="24"/>
  <c r="F58" i="24"/>
  <c r="E52" i="24"/>
  <c r="E47" i="24"/>
  <c r="E74" i="24"/>
  <c r="C61" i="24"/>
  <c r="C60" i="24" s="1"/>
  <c r="C66" i="24" s="1"/>
  <c r="C68" i="24" s="1"/>
  <c r="B71" i="24"/>
  <c r="B72" i="24" s="1"/>
  <c r="G137" i="24"/>
  <c r="D49" i="24"/>
  <c r="D61" i="24" s="1"/>
  <c r="D60" i="24" s="1"/>
  <c r="M136" i="24"/>
  <c r="J48" i="24"/>
  <c r="F141" i="24"/>
  <c r="D73" i="24" s="1"/>
  <c r="D85" i="24" s="1"/>
  <c r="D99" i="24" s="1"/>
  <c r="D50" i="24" l="1"/>
  <c r="D59" i="24" s="1"/>
  <c r="D80" i="24" s="1"/>
  <c r="F109" i="24"/>
  <c r="E108" i="24"/>
  <c r="N136" i="24"/>
  <c r="K48" i="24"/>
  <c r="D66" i="24"/>
  <c r="D68" i="24" s="1"/>
  <c r="B78" i="24"/>
  <c r="B83" i="24" s="1"/>
  <c r="F74" i="24"/>
  <c r="G58" i="24"/>
  <c r="F52" i="24"/>
  <c r="F47" i="24"/>
  <c r="D55" i="24"/>
  <c r="C79" i="24"/>
  <c r="D79" i="24" s="1"/>
  <c r="H137" i="24"/>
  <c r="E49" i="24"/>
  <c r="E50" i="24" s="1"/>
  <c r="E59" i="24" s="1"/>
  <c r="H140" i="24"/>
  <c r="G67" i="24"/>
  <c r="C75" i="24"/>
  <c r="C70" i="24"/>
  <c r="F108" i="24" l="1"/>
  <c r="G109" i="24"/>
  <c r="I140" i="24"/>
  <c r="I141" i="24"/>
  <c r="G73" i="24" s="1"/>
  <c r="G85" i="24" s="1"/>
  <c r="G99" i="24" s="1"/>
  <c r="E80" i="24"/>
  <c r="D56" i="24"/>
  <c r="D69" i="24" s="1"/>
  <c r="D77" i="24" s="1"/>
  <c r="D82" i="24"/>
  <c r="H58" i="24"/>
  <c r="G52" i="24"/>
  <c r="G47" i="24"/>
  <c r="G74" i="24"/>
  <c r="E61" i="24"/>
  <c r="E60" i="24" s="1"/>
  <c r="E66" i="24" s="1"/>
  <c r="E68" i="24" s="1"/>
  <c r="D75" i="24"/>
  <c r="C71" i="24"/>
  <c r="H67" i="24"/>
  <c r="G76" i="24"/>
  <c r="H141" i="24"/>
  <c r="F73" i="24" s="1"/>
  <c r="F85" i="24" s="1"/>
  <c r="F99" i="24" s="1"/>
  <c r="I137" i="24"/>
  <c r="F49" i="24"/>
  <c r="F50" i="24" s="1"/>
  <c r="F59" i="24" s="1"/>
  <c r="E53" i="24"/>
  <c r="B86" i="24"/>
  <c r="B84" i="24"/>
  <c r="B89" i="24" s="1"/>
  <c r="B88" i="24"/>
  <c r="O136" i="24"/>
  <c r="L48" i="24"/>
  <c r="D70" i="24" l="1"/>
  <c r="G108" i="24"/>
  <c r="H109" i="24"/>
  <c r="P136" i="24"/>
  <c r="M48" i="24"/>
  <c r="E55" i="24"/>
  <c r="F53" i="24" s="1"/>
  <c r="F80" i="24"/>
  <c r="H76" i="24"/>
  <c r="I67" i="24"/>
  <c r="C78" i="24"/>
  <c r="C83" i="24" s="1"/>
  <c r="D71" i="24"/>
  <c r="F61" i="24"/>
  <c r="F60" i="24" s="1"/>
  <c r="F66" i="24" s="1"/>
  <c r="F68" i="24" s="1"/>
  <c r="E75" i="24"/>
  <c r="B87" i="24"/>
  <c r="B90" i="24" s="1"/>
  <c r="G49" i="24"/>
  <c r="G50" i="24" s="1"/>
  <c r="G59" i="24" s="1"/>
  <c r="J137" i="24"/>
  <c r="C72" i="24"/>
  <c r="G61" i="24"/>
  <c r="G60" i="24" s="1"/>
  <c r="H74" i="24"/>
  <c r="I58" i="24"/>
  <c r="H52" i="24"/>
  <c r="H47" i="24"/>
  <c r="E79" i="24"/>
  <c r="J140" i="24"/>
  <c r="F79" i="24" l="1"/>
  <c r="G79" i="24"/>
  <c r="I109" i="24"/>
  <c r="H108" i="24"/>
  <c r="K140" i="24"/>
  <c r="K141" i="24"/>
  <c r="I73" i="24" s="1"/>
  <c r="I85" i="24" s="1"/>
  <c r="I99" i="24" s="1"/>
  <c r="K137" i="24"/>
  <c r="H49" i="24"/>
  <c r="H50" i="24" s="1"/>
  <c r="H59" i="24" s="1"/>
  <c r="D78" i="24"/>
  <c r="D83" i="24" s="1"/>
  <c r="D86" i="24" s="1"/>
  <c r="J67" i="24"/>
  <c r="I76" i="24"/>
  <c r="F75" i="24"/>
  <c r="F55" i="24"/>
  <c r="N48" i="24"/>
  <c r="Q136" i="24"/>
  <c r="J141" i="24"/>
  <c r="H73" i="24" s="1"/>
  <c r="H85" i="24" s="1"/>
  <c r="H99" i="24" s="1"/>
  <c r="J58" i="24"/>
  <c r="I52" i="24"/>
  <c r="I47" i="24"/>
  <c r="I74" i="24"/>
  <c r="G80" i="24"/>
  <c r="G66" i="24"/>
  <c r="G68" i="24" s="1"/>
  <c r="D72" i="24"/>
  <c r="C86" i="24"/>
  <c r="C88" i="24"/>
  <c r="C84" i="24"/>
  <c r="C89" i="24" s="1"/>
  <c r="E82" i="24"/>
  <c r="E56" i="24"/>
  <c r="E69" i="24" s="1"/>
  <c r="D84" i="24" l="1"/>
  <c r="I108" i="24"/>
  <c r="J109" i="24"/>
  <c r="D88" i="24"/>
  <c r="E77" i="24"/>
  <c r="E70" i="24"/>
  <c r="J74" i="24"/>
  <c r="K58" i="24"/>
  <c r="J52" i="24"/>
  <c r="J47" i="24"/>
  <c r="R136" i="24"/>
  <c r="O48" i="24"/>
  <c r="F82" i="24"/>
  <c r="F56" i="24"/>
  <c r="F69" i="24" s="1"/>
  <c r="J76" i="24"/>
  <c r="K67" i="24"/>
  <c r="H80" i="24"/>
  <c r="D89" i="24"/>
  <c r="C87" i="24"/>
  <c r="C90" i="24" s="1"/>
  <c r="D87" i="24"/>
  <c r="D90" i="24" s="1"/>
  <c r="G75" i="24"/>
  <c r="H61" i="24"/>
  <c r="H60" i="24" s="1"/>
  <c r="H66" i="24" s="1"/>
  <c r="H68" i="24" s="1"/>
  <c r="G53" i="24"/>
  <c r="L137" i="24"/>
  <c r="I49" i="24"/>
  <c r="L140" i="24"/>
  <c r="I50" i="24" l="1"/>
  <c r="I59" i="24" s="1"/>
  <c r="K109" i="24"/>
  <c r="J108" i="24"/>
  <c r="H75" i="24"/>
  <c r="M140" i="24"/>
  <c r="M141" i="24" s="1"/>
  <c r="K73" i="24" s="1"/>
  <c r="K85" i="24" s="1"/>
  <c r="K99" i="24" s="1"/>
  <c r="I80" i="24"/>
  <c r="G55" i="24"/>
  <c r="L67" i="24"/>
  <c r="K76" i="24"/>
  <c r="S136" i="24"/>
  <c r="P48" i="24"/>
  <c r="L141" i="24"/>
  <c r="J73" i="24" s="1"/>
  <c r="J85" i="24" s="1"/>
  <c r="J99" i="24" s="1"/>
  <c r="M137" i="24"/>
  <c r="J49" i="24"/>
  <c r="J50" i="24" s="1"/>
  <c r="J59" i="24" s="1"/>
  <c r="H79" i="24"/>
  <c r="F77" i="24"/>
  <c r="F70" i="24"/>
  <c r="L58" i="24"/>
  <c r="K52" i="24"/>
  <c r="K47" i="24"/>
  <c r="K74" i="24"/>
  <c r="I61" i="24"/>
  <c r="I60" i="24" s="1"/>
  <c r="I66" i="24" s="1"/>
  <c r="I68" i="24" s="1"/>
  <c r="E71" i="24"/>
  <c r="E72" i="24" s="1"/>
  <c r="K108" i="24" l="1"/>
  <c r="L109" i="24"/>
  <c r="I75" i="24"/>
  <c r="L74" i="24"/>
  <c r="M58" i="24"/>
  <c r="L52" i="24"/>
  <c r="L47" i="24"/>
  <c r="F71" i="24"/>
  <c r="F72" i="24" s="1"/>
  <c r="J80" i="24"/>
  <c r="T136" i="24"/>
  <c r="Q48" i="24"/>
  <c r="L76" i="24"/>
  <c r="M67" i="24"/>
  <c r="G82" i="24"/>
  <c r="G56" i="24"/>
  <c r="G69" i="24" s="1"/>
  <c r="E78" i="24"/>
  <c r="E83" i="24" s="1"/>
  <c r="J61" i="24"/>
  <c r="J60" i="24" s="1"/>
  <c r="J66" i="24" s="1"/>
  <c r="J68" i="24" s="1"/>
  <c r="N137" i="24"/>
  <c r="K49" i="24"/>
  <c r="H53" i="24"/>
  <c r="I79" i="24"/>
  <c r="N140" i="24"/>
  <c r="K50" i="24" l="1"/>
  <c r="K59" i="24" s="1"/>
  <c r="L108" i="24"/>
  <c r="M109" i="24"/>
  <c r="O140" i="24"/>
  <c r="K80" i="24"/>
  <c r="U136" i="24"/>
  <c r="R48" i="24"/>
  <c r="J75" i="24"/>
  <c r="N58" i="24"/>
  <c r="M52" i="24"/>
  <c r="M47" i="24"/>
  <c r="M74" i="24"/>
  <c r="K61" i="24"/>
  <c r="K60" i="24" s="1"/>
  <c r="K66" i="24" s="1"/>
  <c r="K68" i="24" s="1"/>
  <c r="N141" i="24"/>
  <c r="L73" i="24" s="1"/>
  <c r="L85" i="24" s="1"/>
  <c r="L99" i="24" s="1"/>
  <c r="H55" i="24"/>
  <c r="I53" i="24" s="1"/>
  <c r="O137" i="24"/>
  <c r="L49" i="24"/>
  <c r="L50" i="24" s="1"/>
  <c r="L59" i="24" s="1"/>
  <c r="E86" i="24"/>
  <c r="E88" i="24"/>
  <c r="E84" i="24"/>
  <c r="E89" i="24" s="1"/>
  <c r="F78" i="24"/>
  <c r="F83" i="24" s="1"/>
  <c r="F86" i="24" s="1"/>
  <c r="G77" i="24"/>
  <c r="G70" i="24"/>
  <c r="N67" i="24"/>
  <c r="M76" i="24"/>
  <c r="J79" i="24"/>
  <c r="M108" i="24" l="1"/>
  <c r="N109" i="24"/>
  <c r="K75" i="24"/>
  <c r="N76" i="24"/>
  <c r="O67" i="24"/>
  <c r="E87" i="24"/>
  <c r="E90" i="24" s="1"/>
  <c r="F87" i="24"/>
  <c r="P137" i="24"/>
  <c r="M49" i="24"/>
  <c r="M50" i="24" s="1"/>
  <c r="M59" i="24" s="1"/>
  <c r="I55" i="24"/>
  <c r="M61" i="24"/>
  <c r="M60" i="24" s="1"/>
  <c r="N74" i="24"/>
  <c r="O58" i="24"/>
  <c r="N52" i="24"/>
  <c r="N47" i="24"/>
  <c r="K79" i="24"/>
  <c r="L79" i="24" s="1"/>
  <c r="P140" i="24"/>
  <c r="G71" i="24"/>
  <c r="G72" i="24" s="1"/>
  <c r="F84" i="24"/>
  <c r="F89" i="24" s="1"/>
  <c r="F88" i="24"/>
  <c r="L80" i="24"/>
  <c r="H56" i="24"/>
  <c r="H69" i="24" s="1"/>
  <c r="H82" i="24"/>
  <c r="L61" i="24"/>
  <c r="L60" i="24" s="1"/>
  <c r="L66" i="24" s="1"/>
  <c r="L68" i="24" s="1"/>
  <c r="V136" i="24"/>
  <c r="S48" i="24"/>
  <c r="O141" i="24"/>
  <c r="M73" i="24" s="1"/>
  <c r="M85" i="24" s="1"/>
  <c r="M99" i="24" s="1"/>
  <c r="F90" i="24" l="1"/>
  <c r="N108" i="24"/>
  <c r="O109" i="24"/>
  <c r="L75" i="24"/>
  <c r="W136" i="24"/>
  <c r="T48" i="24"/>
  <c r="Q140" i="24"/>
  <c r="P58" i="24"/>
  <c r="O52" i="24"/>
  <c r="O47" i="24"/>
  <c r="O74" i="24"/>
  <c r="I82" i="24"/>
  <c r="I56" i="24"/>
  <c r="I69" i="24" s="1"/>
  <c r="Q137" i="24"/>
  <c r="N49" i="24"/>
  <c r="N50" i="24" s="1"/>
  <c r="N59" i="24" s="1"/>
  <c r="H77" i="24"/>
  <c r="H70" i="24"/>
  <c r="G78" i="24"/>
  <c r="G83" i="24" s="1"/>
  <c r="P141" i="24"/>
  <c r="N73" i="24" s="1"/>
  <c r="N85" i="24" s="1"/>
  <c r="N99" i="24" s="1"/>
  <c r="J53" i="24"/>
  <c r="M80" i="24"/>
  <c r="M66" i="24"/>
  <c r="M68" i="24" s="1"/>
  <c r="M79" i="24"/>
  <c r="P67" i="24"/>
  <c r="O76" i="24"/>
  <c r="O108" i="24" l="1"/>
  <c r="P109" i="24"/>
  <c r="M75" i="24"/>
  <c r="J55" i="24"/>
  <c r="K53" i="24" s="1"/>
  <c r="N80" i="24"/>
  <c r="I77" i="24"/>
  <c r="I70" i="24"/>
  <c r="N61" i="24"/>
  <c r="N60" i="24" s="1"/>
  <c r="N66" i="24" s="1"/>
  <c r="N68" i="24" s="1"/>
  <c r="R140" i="24"/>
  <c r="X136" i="24"/>
  <c r="U48" i="24"/>
  <c r="P76" i="24"/>
  <c r="Q67" i="24"/>
  <c r="G86" i="24"/>
  <c r="G88" i="24"/>
  <c r="G84" i="24"/>
  <c r="G89" i="24" s="1"/>
  <c r="H71" i="24"/>
  <c r="H78" i="24" s="1"/>
  <c r="H83" i="24" s="1"/>
  <c r="O49" i="24"/>
  <c r="O50" i="24" s="1"/>
  <c r="O59" i="24" s="1"/>
  <c r="R137" i="24"/>
  <c r="O61" i="24"/>
  <c r="O60" i="24" s="1"/>
  <c r="P74" i="24"/>
  <c r="Q58" i="24"/>
  <c r="P52" i="24"/>
  <c r="P47" i="24"/>
  <c r="Q141" i="24"/>
  <c r="O73" i="24" s="1"/>
  <c r="O85" i="24" s="1"/>
  <c r="O99" i="24" s="1"/>
  <c r="H86" i="24" l="1"/>
  <c r="H88" i="24"/>
  <c r="H72" i="24"/>
  <c r="Q109" i="24"/>
  <c r="P108" i="24"/>
  <c r="N75" i="24"/>
  <c r="R58" i="24"/>
  <c r="Q52" i="24"/>
  <c r="Q47" i="24"/>
  <c r="Q74" i="24"/>
  <c r="O80" i="24"/>
  <c r="O66" i="24"/>
  <c r="O68" i="24" s="1"/>
  <c r="R67" i="24"/>
  <c r="Q76" i="24"/>
  <c r="S140" i="24"/>
  <c r="K55" i="24"/>
  <c r="L53" i="24" s="1"/>
  <c r="S137" i="24"/>
  <c r="P49" i="24"/>
  <c r="P50" i="24" s="1"/>
  <c r="P59" i="24" s="1"/>
  <c r="H84" i="24"/>
  <c r="H89" i="24" s="1"/>
  <c r="H87" i="24"/>
  <c r="G87" i="24"/>
  <c r="G90" i="24" s="1"/>
  <c r="V48" i="24"/>
  <c r="Y136" i="24"/>
  <c r="R141" i="24"/>
  <c r="P73" i="24" s="1"/>
  <c r="P85" i="24" s="1"/>
  <c r="P99" i="24" s="1"/>
  <c r="I71" i="24"/>
  <c r="I78" i="24" s="1"/>
  <c r="I83" i="24" s="1"/>
  <c r="N79" i="24"/>
  <c r="O79" i="24" s="1"/>
  <c r="J82" i="24"/>
  <c r="J56" i="24"/>
  <c r="J69" i="24" s="1"/>
  <c r="P61" i="24" l="1"/>
  <c r="P60" i="24" s="1"/>
  <c r="Q108" i="24"/>
  <c r="R109" i="24"/>
  <c r="I72" i="24"/>
  <c r="Z136" i="24"/>
  <c r="W48" i="24"/>
  <c r="H90" i="24"/>
  <c r="T137" i="24"/>
  <c r="Q49" i="24"/>
  <c r="L55" i="24"/>
  <c r="I86" i="24"/>
  <c r="I84" i="24"/>
  <c r="I89" i="24" s="1"/>
  <c r="I88" i="24"/>
  <c r="T140" i="24"/>
  <c r="T141" i="24" s="1"/>
  <c r="R73" i="24" s="1"/>
  <c r="R85" i="24" s="1"/>
  <c r="R99" i="24" s="1"/>
  <c r="R76" i="24"/>
  <c r="S67" i="24"/>
  <c r="O75" i="24"/>
  <c r="J77" i="24"/>
  <c r="J70" i="24"/>
  <c r="P80" i="24"/>
  <c r="P66" i="24"/>
  <c r="P68" i="24" s="1"/>
  <c r="P79" i="24"/>
  <c r="K82" i="24"/>
  <c r="K56" i="24"/>
  <c r="K69" i="24" s="1"/>
  <c r="S141" i="24"/>
  <c r="Q73" i="24" s="1"/>
  <c r="Q85" i="24" s="1"/>
  <c r="Q99" i="24" s="1"/>
  <c r="R74" i="24"/>
  <c r="S58" i="24"/>
  <c r="R52" i="24"/>
  <c r="R47" i="24"/>
  <c r="Q50" i="24" l="1"/>
  <c r="Q59" i="24" s="1"/>
  <c r="Q80" i="24" s="1"/>
  <c r="S109" i="24"/>
  <c r="R108" i="24"/>
  <c r="K77" i="24"/>
  <c r="K70" i="24"/>
  <c r="L56" i="24"/>
  <c r="L69" i="24" s="1"/>
  <c r="L82" i="24"/>
  <c r="AA136" i="24"/>
  <c r="X48" i="24"/>
  <c r="T58" i="24"/>
  <c r="S52" i="24"/>
  <c r="S47" i="24"/>
  <c r="S74" i="24"/>
  <c r="Q61" i="24"/>
  <c r="Q60" i="24" s="1"/>
  <c r="P75" i="24"/>
  <c r="J71" i="24"/>
  <c r="J78" i="24" s="1"/>
  <c r="J83" i="24" s="1"/>
  <c r="T67" i="24"/>
  <c r="S76" i="24"/>
  <c r="U140" i="24"/>
  <c r="I87" i="24"/>
  <c r="I90" i="24" s="1"/>
  <c r="M53" i="24"/>
  <c r="U137" i="24"/>
  <c r="R49" i="24"/>
  <c r="R50" i="24" s="1"/>
  <c r="R59" i="24" s="1"/>
  <c r="Q66" i="24" l="1"/>
  <c r="Q68" i="24" s="1"/>
  <c r="J72" i="24"/>
  <c r="S108" i="24"/>
  <c r="T109" i="24"/>
  <c r="R80" i="24"/>
  <c r="M55" i="24"/>
  <c r="N53" i="24" s="1"/>
  <c r="V140" i="24"/>
  <c r="T76" i="24"/>
  <c r="U67" i="24"/>
  <c r="R61" i="24"/>
  <c r="R60" i="24" s="1"/>
  <c r="R66" i="24" s="1"/>
  <c r="R68" i="24" s="1"/>
  <c r="AB136" i="24"/>
  <c r="Y48" i="24"/>
  <c r="Q75" i="24"/>
  <c r="J86" i="24"/>
  <c r="J87" i="24" s="1"/>
  <c r="J90" i="24" s="1"/>
  <c r="J84" i="24"/>
  <c r="J89" i="24" s="1"/>
  <c r="J88" i="24"/>
  <c r="V137" i="24"/>
  <c r="S49" i="24"/>
  <c r="S50" i="24" s="1"/>
  <c r="S59" i="24" s="1"/>
  <c r="U141" i="24"/>
  <c r="S73" i="24" s="1"/>
  <c r="S85" i="24" s="1"/>
  <c r="S99" i="24" s="1"/>
  <c r="S61" i="24"/>
  <c r="S60" i="24" s="1"/>
  <c r="T74" i="24"/>
  <c r="U58" i="24"/>
  <c r="T52" i="24"/>
  <c r="T47" i="24"/>
  <c r="Q79" i="24"/>
  <c r="L77" i="24"/>
  <c r="L70" i="24"/>
  <c r="K71" i="24"/>
  <c r="K78" i="24" s="1"/>
  <c r="K83" i="24" s="1"/>
  <c r="R79" i="24" l="1"/>
  <c r="K72" i="24"/>
  <c r="T108" i="24"/>
  <c r="U109" i="24"/>
  <c r="K86" i="24"/>
  <c r="K87" i="24" s="1"/>
  <c r="K90" i="24" s="1"/>
  <c r="K84" i="24"/>
  <c r="K89" i="24" s="1"/>
  <c r="K88" i="24"/>
  <c r="R75" i="24"/>
  <c r="L71" i="24"/>
  <c r="L78" i="24" s="1"/>
  <c r="W137" i="24"/>
  <c r="T49" i="24"/>
  <c r="T50" i="24" s="1"/>
  <c r="T59" i="24" s="1"/>
  <c r="AC136" i="24"/>
  <c r="Z48" i="24"/>
  <c r="V67" i="24"/>
  <c r="U76" i="24"/>
  <c r="W140" i="24"/>
  <c r="N55" i="24"/>
  <c r="O53" i="24" s="1"/>
  <c r="L83" i="24"/>
  <c r="V58" i="24"/>
  <c r="U52" i="24"/>
  <c r="U47" i="24"/>
  <c r="U74" i="24"/>
  <c r="S80" i="24"/>
  <c r="S66" i="24"/>
  <c r="S68" i="24" s="1"/>
  <c r="S79" i="24"/>
  <c r="V141" i="24"/>
  <c r="T73" i="24" s="1"/>
  <c r="T85" i="24" s="1"/>
  <c r="T99" i="24" s="1"/>
  <c r="M82" i="24"/>
  <c r="M56" i="24"/>
  <c r="M69" i="24" s="1"/>
  <c r="V109" i="24" l="1"/>
  <c r="U108" i="24"/>
  <c r="M77" i="24"/>
  <c r="M70" i="24"/>
  <c r="V74" i="24"/>
  <c r="W58" i="24"/>
  <c r="V52" i="24"/>
  <c r="V47" i="24"/>
  <c r="L86" i="24"/>
  <c r="L87" i="24" s="1"/>
  <c r="L88" i="24"/>
  <c r="B105" i="24" s="1"/>
  <c r="L84" i="24"/>
  <c r="L89" i="24" s="1"/>
  <c r="G28" i="24" s="1"/>
  <c r="C105" i="24" s="1"/>
  <c r="O55" i="24"/>
  <c r="X140" i="24"/>
  <c r="X141" i="24" s="1"/>
  <c r="V73" i="24" s="1"/>
  <c r="V85" i="24" s="1"/>
  <c r="V99" i="24" s="1"/>
  <c r="V76" i="24"/>
  <c r="W67" i="24"/>
  <c r="AD136" i="24"/>
  <c r="AA48" i="24"/>
  <c r="T80" i="24"/>
  <c r="S75" i="24"/>
  <c r="T61" i="24"/>
  <c r="T60" i="24" s="1"/>
  <c r="T66" i="24" s="1"/>
  <c r="T68" i="24" s="1"/>
  <c r="N82" i="24"/>
  <c r="N56" i="24"/>
  <c r="N69" i="24" s="1"/>
  <c r="W141" i="24"/>
  <c r="U73" i="24" s="1"/>
  <c r="U85" i="24" s="1"/>
  <c r="U99" i="24" s="1"/>
  <c r="X137" i="24"/>
  <c r="U49" i="24"/>
  <c r="U50" i="24" s="1"/>
  <c r="U59" i="24" s="1"/>
  <c r="L72" i="24"/>
  <c r="W109" i="24" l="1"/>
  <c r="V108" i="24"/>
  <c r="T75" i="24"/>
  <c r="U80" i="24"/>
  <c r="N77" i="24"/>
  <c r="N70" i="24"/>
  <c r="T79" i="24"/>
  <c r="AE136" i="24"/>
  <c r="AB48" i="24"/>
  <c r="O82" i="24"/>
  <c r="O56" i="24"/>
  <c r="O69" i="24" s="1"/>
  <c r="X58" i="24"/>
  <c r="W52" i="24"/>
  <c r="W47" i="24"/>
  <c r="W74" i="24"/>
  <c r="U61" i="24"/>
  <c r="U60" i="24" s="1"/>
  <c r="U66" i="24" s="1"/>
  <c r="U68" i="24" s="1"/>
  <c r="Y137" i="24"/>
  <c r="V49" i="24"/>
  <c r="V50" i="24" s="1"/>
  <c r="V59" i="24" s="1"/>
  <c r="X67" i="24"/>
  <c r="W76" i="24"/>
  <c r="Y140" i="24"/>
  <c r="Y141" i="24" s="1"/>
  <c r="W73" i="24" s="1"/>
  <c r="W85" i="24" s="1"/>
  <c r="W99" i="24" s="1"/>
  <c r="P53" i="24"/>
  <c r="L90" i="24"/>
  <c r="G29" i="24" s="1"/>
  <c r="D105" i="24" s="1"/>
  <c r="G30" i="24"/>
  <c r="A105" i="24" s="1"/>
  <c r="M71" i="24"/>
  <c r="M78" i="24" s="1"/>
  <c r="M83" i="24" s="1"/>
  <c r="U79" i="24" l="1"/>
  <c r="X109" i="24"/>
  <c r="W108" i="24"/>
  <c r="M86" i="24"/>
  <c r="M87" i="24" s="1"/>
  <c r="M90" i="24" s="1"/>
  <c r="M88" i="24"/>
  <c r="M84" i="24"/>
  <c r="M89" i="24" s="1"/>
  <c r="U75" i="24"/>
  <c r="V80" i="24"/>
  <c r="V61" i="24"/>
  <c r="V60" i="24" s="1"/>
  <c r="V66" i="24" s="1"/>
  <c r="V68" i="24" s="1"/>
  <c r="N71" i="24"/>
  <c r="N78" i="24" s="1"/>
  <c r="N83" i="24" s="1"/>
  <c r="M72" i="24"/>
  <c r="P55" i="24"/>
  <c r="Z140" i="24"/>
  <c r="X76" i="24"/>
  <c r="Y67" i="24"/>
  <c r="W49" i="24"/>
  <c r="W50" i="24" s="1"/>
  <c r="W59" i="24" s="1"/>
  <c r="Z137" i="24"/>
  <c r="W61" i="24"/>
  <c r="W60" i="24" s="1"/>
  <c r="X74" i="24"/>
  <c r="Y58" i="24"/>
  <c r="X52" i="24"/>
  <c r="X47" i="24"/>
  <c r="O77" i="24"/>
  <c r="O70" i="24"/>
  <c r="AF136" i="24"/>
  <c r="AC48" i="24"/>
  <c r="V79" i="24" l="1"/>
  <c r="N72" i="24"/>
  <c r="X108" i="24"/>
  <c r="Y109" i="24"/>
  <c r="V75" i="24"/>
  <c r="N86" i="24"/>
  <c r="N87" i="24" s="1"/>
  <c r="N90" i="24" s="1"/>
  <c r="N84" i="24"/>
  <c r="N89" i="24" s="1"/>
  <c r="N88" i="24"/>
  <c r="AD48" i="24"/>
  <c r="AG136" i="24"/>
  <c r="AA137" i="24"/>
  <c r="X49" i="24"/>
  <c r="X50" i="24" s="1"/>
  <c r="X59" i="24" s="1"/>
  <c r="Z67" i="24"/>
  <c r="Y76" i="24"/>
  <c r="AA140" i="24"/>
  <c r="P56" i="24"/>
  <c r="P69" i="24" s="1"/>
  <c r="P82" i="24"/>
  <c r="O71" i="24"/>
  <c r="O78" i="24" s="1"/>
  <c r="O83" i="24" s="1"/>
  <c r="Z58" i="24"/>
  <c r="Y52" i="24"/>
  <c r="Y47" i="24"/>
  <c r="Y74" i="24"/>
  <c r="W80" i="24"/>
  <c r="W66" i="24"/>
  <c r="W68" i="24" s="1"/>
  <c r="W79" i="24"/>
  <c r="Z141" i="24"/>
  <c r="X73" i="24" s="1"/>
  <c r="X85" i="24" s="1"/>
  <c r="X99" i="24" s="1"/>
  <c r="Q53" i="24"/>
  <c r="X61" i="24" l="1"/>
  <c r="X60" i="24" s="1"/>
  <c r="Z109" i="24"/>
  <c r="Y108" i="24"/>
  <c r="O86" i="24"/>
  <c r="O87" i="24" s="1"/>
  <c r="O90" i="24" s="1"/>
  <c r="O84" i="24"/>
  <c r="O89" i="24" s="1"/>
  <c r="O88" i="24"/>
  <c r="Q55" i="24"/>
  <c r="R53" i="24" s="1"/>
  <c r="W75" i="24"/>
  <c r="P77" i="24"/>
  <c r="P70" i="24"/>
  <c r="AB140" i="24"/>
  <c r="Z76" i="24"/>
  <c r="AA67" i="24"/>
  <c r="AB137" i="24"/>
  <c r="Y49" i="24"/>
  <c r="AH136" i="24"/>
  <c r="AE48" i="24"/>
  <c r="Z74" i="24"/>
  <c r="AA58" i="24"/>
  <c r="Z52" i="24"/>
  <c r="Z47" i="24"/>
  <c r="O72" i="24"/>
  <c r="AA141" i="24"/>
  <c r="Y73" i="24" s="1"/>
  <c r="Y85" i="24" s="1"/>
  <c r="Y99" i="24" s="1"/>
  <c r="X80" i="24"/>
  <c r="X66" i="24"/>
  <c r="X68" i="24" s="1"/>
  <c r="X79" i="24"/>
  <c r="Y50" i="24" l="1"/>
  <c r="Y59" i="24" s="1"/>
  <c r="Z108" i="24"/>
  <c r="AA109" i="24"/>
  <c r="X75" i="24"/>
  <c r="Y80" i="24"/>
  <c r="AB67" i="24"/>
  <c r="AA76" i="24"/>
  <c r="AQ67" i="24"/>
  <c r="AC140" i="24"/>
  <c r="P71" i="24"/>
  <c r="P78" i="24" s="1"/>
  <c r="P83" i="24" s="1"/>
  <c r="R55" i="24"/>
  <c r="S53" i="24" s="1"/>
  <c r="AB58" i="24"/>
  <c r="AA52" i="24"/>
  <c r="AA47" i="24"/>
  <c r="AA74" i="24"/>
  <c r="Y61" i="24"/>
  <c r="Y60" i="24" s="1"/>
  <c r="Y66" i="24" s="1"/>
  <c r="Y68" i="24" s="1"/>
  <c r="AI136" i="24"/>
  <c r="AF48" i="24"/>
  <c r="AC137" i="24"/>
  <c r="Z49" i="24"/>
  <c r="Z61" i="24" s="1"/>
  <c r="Z60" i="24" s="1"/>
  <c r="AB141" i="24"/>
  <c r="Z73" i="24" s="1"/>
  <c r="Z85" i="24" s="1"/>
  <c r="Z99" i="24" s="1"/>
  <c r="Q82" i="24"/>
  <c r="Q56" i="24"/>
  <c r="Q69" i="24" s="1"/>
  <c r="Y79" i="24" l="1"/>
  <c r="Z50" i="24"/>
  <c r="Z59" i="24" s="1"/>
  <c r="P72" i="24"/>
  <c r="AB109" i="24"/>
  <c r="AA108" i="24"/>
  <c r="Y75" i="24"/>
  <c r="P86" i="24"/>
  <c r="P87" i="24" s="1"/>
  <c r="P90" i="24" s="1"/>
  <c r="P88" i="24"/>
  <c r="P84" i="24"/>
  <c r="P89" i="24" s="1"/>
  <c r="AD137" i="24"/>
  <c r="AA49" i="24"/>
  <c r="AA50" i="24" s="1"/>
  <c r="AA59" i="24" s="1"/>
  <c r="AJ136" i="24"/>
  <c r="AG48" i="24"/>
  <c r="S55" i="24"/>
  <c r="T53" i="24" s="1"/>
  <c r="AD140" i="24"/>
  <c r="Q77" i="24"/>
  <c r="Q70" i="24"/>
  <c r="Z80" i="24"/>
  <c r="Z66" i="24"/>
  <c r="Z68" i="24" s="1"/>
  <c r="Z79" i="24"/>
  <c r="AA61" i="24"/>
  <c r="AA60" i="24" s="1"/>
  <c r="AB74" i="24"/>
  <c r="AC58" i="24"/>
  <c r="AB52" i="24"/>
  <c r="AB47" i="24"/>
  <c r="R82" i="24"/>
  <c r="R56" i="24"/>
  <c r="R69" i="24" s="1"/>
  <c r="AC141" i="24"/>
  <c r="AA73" i="24" s="1"/>
  <c r="AA85" i="24" s="1"/>
  <c r="AA99" i="24" s="1"/>
  <c r="AB76" i="24"/>
  <c r="AC67" i="24"/>
  <c r="AB108" i="24" l="1"/>
  <c r="AC109" i="24"/>
  <c r="AD67" i="24"/>
  <c r="AC76" i="24"/>
  <c r="R77" i="24"/>
  <c r="R70" i="24"/>
  <c r="AD58" i="24"/>
  <c r="AC52" i="24"/>
  <c r="AC47" i="24"/>
  <c r="AC74" i="24"/>
  <c r="Z75" i="24"/>
  <c r="Q71" i="24"/>
  <c r="Q78" i="24" s="1"/>
  <c r="Q83" i="24" s="1"/>
  <c r="AE140" i="24"/>
  <c r="AE141" i="24"/>
  <c r="AC73" i="24" s="1"/>
  <c r="AC85" i="24" s="1"/>
  <c r="AC99" i="24" s="1"/>
  <c r="T55" i="24"/>
  <c r="AA80" i="24"/>
  <c r="AA66" i="24"/>
  <c r="AA68" i="24" s="1"/>
  <c r="AA79" i="24"/>
  <c r="AD141" i="24"/>
  <c r="AB73" i="24" s="1"/>
  <c r="AB85" i="24" s="1"/>
  <c r="AB99" i="24" s="1"/>
  <c r="S82" i="24"/>
  <c r="S56" i="24"/>
  <c r="S69" i="24" s="1"/>
  <c r="AK136" i="24"/>
  <c r="AH48" i="24"/>
  <c r="AE137" i="24"/>
  <c r="AB49" i="24"/>
  <c r="AB50" i="24" s="1"/>
  <c r="AB59" i="24" s="1"/>
  <c r="AB61" i="24" l="1"/>
  <c r="AB60" i="24" s="1"/>
  <c r="Q72" i="24"/>
  <c r="AC108" i="24"/>
  <c r="AD109" i="24"/>
  <c r="AF137" i="24"/>
  <c r="AC49" i="24"/>
  <c r="AL136" i="24"/>
  <c r="AI48" i="24"/>
  <c r="AA75" i="24"/>
  <c r="T56" i="24"/>
  <c r="T69" i="24" s="1"/>
  <c r="T82" i="24"/>
  <c r="AD76" i="24"/>
  <c r="AE67" i="24"/>
  <c r="AB80" i="24"/>
  <c r="AB66" i="24"/>
  <c r="AB68" i="24" s="1"/>
  <c r="AB79" i="24"/>
  <c r="S77" i="24"/>
  <c r="S70" i="24"/>
  <c r="Q86" i="24"/>
  <c r="Q87" i="24" s="1"/>
  <c r="Q90" i="24" s="1"/>
  <c r="Q84" i="24"/>
  <c r="Q89" i="24" s="1"/>
  <c r="Q88" i="24"/>
  <c r="U53" i="24"/>
  <c r="AF141" i="24"/>
  <c r="AD73" i="24" s="1"/>
  <c r="AD85" i="24" s="1"/>
  <c r="AD99" i="24" s="1"/>
  <c r="AF140" i="24"/>
  <c r="AC61" i="24"/>
  <c r="AC60" i="24" s="1"/>
  <c r="AD74" i="24"/>
  <c r="AE58" i="24"/>
  <c r="AD52" i="24"/>
  <c r="AD47" i="24"/>
  <c r="R71" i="24"/>
  <c r="R78" i="24" s="1"/>
  <c r="R83" i="24" s="1"/>
  <c r="AC50" i="24" l="1"/>
  <c r="AC59" i="24" s="1"/>
  <c r="AD108" i="24"/>
  <c r="AE109" i="24"/>
  <c r="R86" i="24"/>
  <c r="R87" i="24" s="1"/>
  <c r="R90" i="24" s="1"/>
  <c r="R88" i="24"/>
  <c r="R84" i="24"/>
  <c r="R89" i="24" s="1"/>
  <c r="AF58" i="24"/>
  <c r="AE52" i="24"/>
  <c r="AE47" i="24"/>
  <c r="AE74" i="24"/>
  <c r="AB75" i="24"/>
  <c r="AF67" i="24"/>
  <c r="AE76" i="24"/>
  <c r="T77" i="24"/>
  <c r="T70" i="24"/>
  <c r="AM136" i="24"/>
  <c r="AJ48" i="24"/>
  <c r="AG137" i="24"/>
  <c r="AD49" i="24"/>
  <c r="AD50" i="24" s="1"/>
  <c r="AD59" i="24" s="1"/>
  <c r="R72" i="24"/>
  <c r="AG140" i="24"/>
  <c r="U55" i="24"/>
  <c r="S71" i="24"/>
  <c r="S78" i="24" s="1"/>
  <c r="S83" i="24" s="1"/>
  <c r="AC80" i="24"/>
  <c r="AC66" i="24"/>
  <c r="AC68" i="24" s="1"/>
  <c r="AC79" i="24"/>
  <c r="AF109" i="24" l="1"/>
  <c r="AE108" i="24"/>
  <c r="S86" i="24"/>
  <c r="S87" i="24" s="1"/>
  <c r="S90" i="24" s="1"/>
  <c r="S88" i="24"/>
  <c r="S84" i="24"/>
  <c r="S89" i="24" s="1"/>
  <c r="U82" i="24"/>
  <c r="U56" i="24"/>
  <c r="U69" i="24" s="1"/>
  <c r="AH140" i="24"/>
  <c r="AD80" i="24"/>
  <c r="AF76" i="24"/>
  <c r="AG67" i="24"/>
  <c r="AR67" i="24"/>
  <c r="AF74" i="24"/>
  <c r="AG58" i="24"/>
  <c r="AF52" i="24"/>
  <c r="AF47" i="24"/>
  <c r="AC75" i="24"/>
  <c r="S72" i="24"/>
  <c r="V53" i="24"/>
  <c r="AG141" i="24"/>
  <c r="AE73" i="24" s="1"/>
  <c r="AE85" i="24" s="1"/>
  <c r="AE99" i="24" s="1"/>
  <c r="AH137" i="24"/>
  <c r="AE49" i="24"/>
  <c r="AE50" i="24" s="1"/>
  <c r="AE59" i="24" s="1"/>
  <c r="AN136" i="24"/>
  <c r="AK48" i="24"/>
  <c r="T71" i="24"/>
  <c r="T78" i="24" s="1"/>
  <c r="T83" i="24" s="1"/>
  <c r="AD61" i="24"/>
  <c r="AD60" i="24" s="1"/>
  <c r="AD66" i="24" s="1"/>
  <c r="AD68" i="24" s="1"/>
  <c r="AG109" i="24" l="1"/>
  <c r="AF108" i="24"/>
  <c r="T86" i="24"/>
  <c r="T87" i="24" s="1"/>
  <c r="T90" i="24" s="1"/>
  <c r="T84" i="24"/>
  <c r="T89" i="24" s="1"/>
  <c r="T88" i="24"/>
  <c r="AD75" i="24"/>
  <c r="AE80" i="24"/>
  <c r="V55" i="24"/>
  <c r="W53" i="24" s="1"/>
  <c r="AH58" i="24"/>
  <c r="AG52" i="24"/>
  <c r="AG47" i="24"/>
  <c r="AG74" i="24"/>
  <c r="AE61" i="24"/>
  <c r="AE60" i="24" s="1"/>
  <c r="AE66" i="24" s="1"/>
  <c r="AE68" i="24" s="1"/>
  <c r="AH67" i="24"/>
  <c r="AG76" i="24"/>
  <c r="AI140" i="24"/>
  <c r="U77" i="24"/>
  <c r="U70" i="24"/>
  <c r="T72" i="24"/>
  <c r="AL48" i="24"/>
  <c r="AO136" i="24"/>
  <c r="AI137" i="24"/>
  <c r="AF49" i="24"/>
  <c r="AD79" i="24"/>
  <c r="AH141" i="24"/>
  <c r="AF73" i="24" s="1"/>
  <c r="AF85" i="24" s="1"/>
  <c r="AF99" i="24" s="1"/>
  <c r="AF50" i="24" l="1"/>
  <c r="AF59" i="24" s="1"/>
  <c r="AG108" i="24"/>
  <c r="AH109" i="24"/>
  <c r="AF80" i="24"/>
  <c r="AP136" i="24"/>
  <c r="AM48" i="24"/>
  <c r="AJ141" i="24"/>
  <c r="AH73" i="24" s="1"/>
  <c r="AH85" i="24" s="1"/>
  <c r="AH99" i="24" s="1"/>
  <c r="AJ140" i="24"/>
  <c r="AH76" i="24"/>
  <c r="AI67" i="24"/>
  <c r="AF61" i="24"/>
  <c r="AF60" i="24" s="1"/>
  <c r="AF66" i="24" s="1"/>
  <c r="AF68" i="24" s="1"/>
  <c r="W55" i="24"/>
  <c r="X53" i="24" s="1"/>
  <c r="AE75" i="24"/>
  <c r="AJ137" i="24"/>
  <c r="AG49" i="24"/>
  <c r="AG50" i="24" s="1"/>
  <c r="AG59" i="24" s="1"/>
  <c r="U71" i="24"/>
  <c r="U78" i="24" s="1"/>
  <c r="U83" i="24" s="1"/>
  <c r="AI141" i="24"/>
  <c r="AG73" i="24" s="1"/>
  <c r="AG85" i="24" s="1"/>
  <c r="AG99" i="24" s="1"/>
  <c r="AG61" i="24"/>
  <c r="AG60" i="24" s="1"/>
  <c r="AH74" i="24"/>
  <c r="AI58" i="24"/>
  <c r="AH52" i="24"/>
  <c r="AH47" i="24"/>
  <c r="V82" i="24"/>
  <c r="V56" i="24"/>
  <c r="V69" i="24" s="1"/>
  <c r="AE79" i="24"/>
  <c r="AH108" i="24" l="1"/>
  <c r="AI109" i="24"/>
  <c r="U86" i="24"/>
  <c r="U87" i="24" s="1"/>
  <c r="U90" i="24" s="1"/>
  <c r="U88" i="24"/>
  <c r="U84" i="24"/>
  <c r="U89" i="24" s="1"/>
  <c r="AF75" i="24"/>
  <c r="V77" i="24"/>
  <c r="V70" i="24"/>
  <c r="AJ58" i="24"/>
  <c r="AI52" i="24"/>
  <c r="AI47" i="24"/>
  <c r="AI74" i="24"/>
  <c r="AK137" i="24"/>
  <c r="AH49" i="24"/>
  <c r="AH50" i="24" s="1"/>
  <c r="AH59" i="24" s="1"/>
  <c r="X55" i="24"/>
  <c r="Y53" i="24" s="1"/>
  <c r="AF79" i="24"/>
  <c r="U72" i="24"/>
  <c r="AG80" i="24"/>
  <c r="AG66" i="24"/>
  <c r="AG68" i="24" s="1"/>
  <c r="AG79" i="24"/>
  <c r="W82" i="24"/>
  <c r="W56" i="24"/>
  <c r="W69" i="24" s="1"/>
  <c r="AJ67" i="24"/>
  <c r="AI76" i="24"/>
  <c r="AK140" i="24"/>
  <c r="AK141" i="24"/>
  <c r="AI73" i="24" s="1"/>
  <c r="AI85" i="24" s="1"/>
  <c r="AI99" i="24" s="1"/>
  <c r="AQ136" i="24"/>
  <c r="AN48" i="24"/>
  <c r="AJ109" i="24" l="1"/>
  <c r="AI108" i="24"/>
  <c r="W77" i="24"/>
  <c r="W70" i="24"/>
  <c r="AG75" i="24"/>
  <c r="Y55" i="24"/>
  <c r="Z53" i="24" s="1"/>
  <c r="AL137" i="24"/>
  <c r="AI49" i="24"/>
  <c r="AJ74" i="24"/>
  <c r="AK58" i="24"/>
  <c r="AJ52" i="24"/>
  <c r="AJ47" i="24"/>
  <c r="V71" i="24"/>
  <c r="V78" i="24" s="1"/>
  <c r="V83" i="24" s="1"/>
  <c r="AR136" i="24"/>
  <c r="AO48" i="24"/>
  <c r="AL140" i="24"/>
  <c r="AJ76" i="24"/>
  <c r="AK67" i="24"/>
  <c r="X56" i="24"/>
  <c r="X69" i="24" s="1"/>
  <c r="X82" i="24"/>
  <c r="AH80" i="24"/>
  <c r="AH61" i="24"/>
  <c r="AH60" i="24" s="1"/>
  <c r="AH66" i="24" s="1"/>
  <c r="AH68" i="24" s="1"/>
  <c r="AI50" i="24" l="1"/>
  <c r="AI59" i="24" s="1"/>
  <c r="V72" i="24"/>
  <c r="AK109" i="24"/>
  <c r="AJ108" i="24"/>
  <c r="AH75" i="24"/>
  <c r="AL67" i="24"/>
  <c r="AK76" i="24"/>
  <c r="AM140" i="24"/>
  <c r="AI80" i="24"/>
  <c r="Z55" i="24"/>
  <c r="W71" i="24"/>
  <c r="W78" i="24" s="1"/>
  <c r="W83" i="24" s="1"/>
  <c r="V86" i="24"/>
  <c r="V87" i="24" s="1"/>
  <c r="V90" i="24" s="1"/>
  <c r="V84" i="24"/>
  <c r="V89" i="24" s="1"/>
  <c r="V88" i="24"/>
  <c r="AH79" i="24"/>
  <c r="X77" i="24"/>
  <c r="X70" i="24"/>
  <c r="AL141" i="24"/>
  <c r="AJ73" i="24" s="1"/>
  <c r="AJ85" i="24" s="1"/>
  <c r="AJ99" i="24" s="1"/>
  <c r="AS136" i="24"/>
  <c r="AT136" i="24" s="1"/>
  <c r="AU136" i="24" s="1"/>
  <c r="AV136" i="24" s="1"/>
  <c r="AW136" i="24" s="1"/>
  <c r="AX136" i="24" s="1"/>
  <c r="AY136" i="24" s="1"/>
  <c r="AP48" i="24"/>
  <c r="AL58" i="24"/>
  <c r="AK52" i="24"/>
  <c r="AK47" i="24"/>
  <c r="AK74" i="24"/>
  <c r="AI61" i="24"/>
  <c r="AI60" i="24" s="1"/>
  <c r="AI66" i="24" s="1"/>
  <c r="AI68" i="24" s="1"/>
  <c r="AM137" i="24"/>
  <c r="AJ49" i="24"/>
  <c r="Y82" i="24"/>
  <c r="Y56" i="24"/>
  <c r="Y69" i="24" s="1"/>
  <c r="AJ50" i="24" l="1"/>
  <c r="AJ59" i="24" s="1"/>
  <c r="AK108" i="24"/>
  <c r="AL109" i="24"/>
  <c r="W72" i="24"/>
  <c r="AI75" i="24"/>
  <c r="W86" i="24"/>
  <c r="W87" i="24" s="1"/>
  <c r="W90" i="24" s="1"/>
  <c r="W84" i="24"/>
  <c r="W89" i="24" s="1"/>
  <c r="W88" i="24"/>
  <c r="Y77" i="24"/>
  <c r="Y70" i="24"/>
  <c r="AJ80" i="24"/>
  <c r="AL74" i="24"/>
  <c r="AM58" i="24"/>
  <c r="AL52" i="24"/>
  <c r="AL47" i="24"/>
  <c r="X71" i="24"/>
  <c r="X78" i="24" s="1"/>
  <c r="X83" i="24" s="1"/>
  <c r="Z82" i="24"/>
  <c r="Z56" i="24"/>
  <c r="Z69" i="24" s="1"/>
  <c r="AI79" i="24"/>
  <c r="AN140" i="24"/>
  <c r="AN141" i="24" s="1"/>
  <c r="AL73" i="24" s="1"/>
  <c r="AL85" i="24" s="1"/>
  <c r="AL99" i="24" s="1"/>
  <c r="AL76" i="24"/>
  <c r="AM67" i="24"/>
  <c r="AN137" i="24"/>
  <c r="AK49" i="24"/>
  <c r="AK50" i="24" s="1"/>
  <c r="AK59" i="24" s="1"/>
  <c r="AJ61" i="24"/>
  <c r="AJ60" i="24" s="1"/>
  <c r="AJ66" i="24" s="1"/>
  <c r="AJ68" i="24" s="1"/>
  <c r="AA53" i="24"/>
  <c r="AM141" i="24"/>
  <c r="AK73" i="24" s="1"/>
  <c r="AK85" i="24" s="1"/>
  <c r="AK99" i="24" s="1"/>
  <c r="AK61" i="24" l="1"/>
  <c r="AK60" i="24" s="1"/>
  <c r="AM109" i="24"/>
  <c r="AL108" i="24"/>
  <c r="AJ75" i="24"/>
  <c r="X86" i="24"/>
  <c r="X87" i="24" s="1"/>
  <c r="X90" i="24" s="1"/>
  <c r="X84" i="24"/>
  <c r="X89" i="24" s="1"/>
  <c r="X88" i="24"/>
  <c r="AK80" i="24"/>
  <c r="AK66" i="24"/>
  <c r="AK68" i="24" s="1"/>
  <c r="AN67" i="24"/>
  <c r="AM76" i="24"/>
  <c r="AO140" i="24"/>
  <c r="AO141" i="24"/>
  <c r="AM73" i="24" s="1"/>
  <c r="AM85" i="24" s="1"/>
  <c r="AM99" i="24" s="1"/>
  <c r="X72" i="24"/>
  <c r="AJ79" i="24"/>
  <c r="AK79" i="24" s="1"/>
  <c r="AA55" i="24"/>
  <c r="AB53" i="24" s="1"/>
  <c r="AO137" i="24"/>
  <c r="AL49" i="24"/>
  <c r="Z77" i="24"/>
  <c r="Z70" i="24"/>
  <c r="AL61" i="24"/>
  <c r="AL60" i="24" s="1"/>
  <c r="AN58" i="24"/>
  <c r="AM52" i="24"/>
  <c r="AM47" i="24"/>
  <c r="AM74" i="24"/>
  <c r="Y71" i="24"/>
  <c r="Y78" i="24" s="1"/>
  <c r="Y83" i="24" s="1"/>
  <c r="AL50" i="24" l="1"/>
  <c r="AL59" i="24" s="1"/>
  <c r="AN109" i="24"/>
  <c r="AM108" i="24"/>
  <c r="Y86" i="24"/>
  <c r="Y87" i="24" s="1"/>
  <c r="Y90" i="24" s="1"/>
  <c r="Y84" i="24"/>
  <c r="Y89" i="24" s="1"/>
  <c r="Y88" i="24"/>
  <c r="AB55" i="24"/>
  <c r="AC53" i="24" s="1"/>
  <c r="Y72" i="24"/>
  <c r="AL80" i="24"/>
  <c r="AL66" i="24"/>
  <c r="AL68" i="24" s="1"/>
  <c r="AL79" i="24"/>
  <c r="AP141" i="24"/>
  <c r="AN73" i="24" s="1"/>
  <c r="AN85" i="24" s="1"/>
  <c r="AN99" i="24" s="1"/>
  <c r="AP140" i="24"/>
  <c r="AN76" i="24"/>
  <c r="AO67" i="24"/>
  <c r="AK75" i="24"/>
  <c r="AN74" i="24"/>
  <c r="AO58" i="24"/>
  <c r="AN52" i="24"/>
  <c r="AN47" i="24"/>
  <c r="Z71" i="24"/>
  <c r="Z78" i="24" s="1"/>
  <c r="Z83" i="24" s="1"/>
  <c r="AP137" i="24"/>
  <c r="AM49" i="24"/>
  <c r="AM50" i="24" s="1"/>
  <c r="AM59" i="24" s="1"/>
  <c r="AA82" i="24"/>
  <c r="AA56" i="24"/>
  <c r="AA69" i="24" s="1"/>
  <c r="AN108" i="24" l="1"/>
  <c r="AO109" i="24"/>
  <c r="Z86" i="24"/>
  <c r="Z87" i="24" s="1"/>
  <c r="Z90" i="24" s="1"/>
  <c r="Z84" i="24"/>
  <c r="Z89" i="24" s="1"/>
  <c r="Z88" i="24"/>
  <c r="AC55" i="24"/>
  <c r="AD53" i="24"/>
  <c r="AQ137" i="24"/>
  <c r="AN49" i="24"/>
  <c r="AN50" i="24" s="1"/>
  <c r="AN59" i="24" s="1"/>
  <c r="Z72" i="24"/>
  <c r="AQ140" i="24"/>
  <c r="AQ141" i="24" s="1"/>
  <c r="AO73" i="24" s="1"/>
  <c r="AO85" i="24" s="1"/>
  <c r="AO99" i="24" s="1"/>
  <c r="AA77" i="24"/>
  <c r="AA70" i="24"/>
  <c r="AM80" i="24"/>
  <c r="AP58" i="24"/>
  <c r="AO52" i="24"/>
  <c r="AO47" i="24"/>
  <c r="AO74" i="24"/>
  <c r="AM61" i="24"/>
  <c r="AM60" i="24" s="1"/>
  <c r="AM66" i="24" s="1"/>
  <c r="AM68" i="24" s="1"/>
  <c r="AP67" i="24"/>
  <c r="AO76" i="24"/>
  <c r="AL75" i="24"/>
  <c r="AB56" i="24"/>
  <c r="AB69" i="24" s="1"/>
  <c r="AB82" i="24"/>
  <c r="AN61" i="24" l="1"/>
  <c r="AN60" i="24" s="1"/>
  <c r="AP109" i="24"/>
  <c r="AP108" i="24" s="1"/>
  <c r="AO108" i="24"/>
  <c r="AP74" i="24"/>
  <c r="AP52" i="24"/>
  <c r="AP47" i="24"/>
  <c r="AM79" i="24"/>
  <c r="AN79" i="24" s="1"/>
  <c r="AR140" i="24"/>
  <c r="AR141" i="24" s="1"/>
  <c r="AP73" i="24" s="1"/>
  <c r="AP85" i="24" s="1"/>
  <c r="AP99" i="24" s="1"/>
  <c r="AQ99" i="24" s="1"/>
  <c r="A100" i="24" s="1"/>
  <c r="AR137" i="24"/>
  <c r="AO49" i="24"/>
  <c r="AO61" i="24" s="1"/>
  <c r="AO60" i="24" s="1"/>
  <c r="AC82" i="24"/>
  <c r="AC56" i="24"/>
  <c r="AC69" i="24" s="1"/>
  <c r="AB77" i="24"/>
  <c r="AB70" i="24"/>
  <c r="AP76" i="24"/>
  <c r="AS67" i="24"/>
  <c r="AM75" i="24"/>
  <c r="AA71" i="24"/>
  <c r="AA78" i="24" s="1"/>
  <c r="AA83" i="24" s="1"/>
  <c r="AN80" i="24"/>
  <c r="AN66" i="24"/>
  <c r="AN68" i="24" s="1"/>
  <c r="AD55" i="24"/>
  <c r="AO50" i="24" l="1"/>
  <c r="AO59" i="24" s="1"/>
  <c r="AA86" i="24"/>
  <c r="AA87" i="24" s="1"/>
  <c r="AA90" i="24" s="1"/>
  <c r="AA88" i="24"/>
  <c r="AA84" i="24"/>
  <c r="AA89" i="24" s="1"/>
  <c r="AD82" i="24"/>
  <c r="AD56" i="24"/>
  <c r="AD69" i="24" s="1"/>
  <c r="AS137" i="24"/>
  <c r="AT137" i="24" s="1"/>
  <c r="AU137" i="24" s="1"/>
  <c r="AV137" i="24" s="1"/>
  <c r="AW137" i="24" s="1"/>
  <c r="AX137" i="24" s="1"/>
  <c r="AY137" i="24" s="1"/>
  <c r="AP49" i="24"/>
  <c r="AP50" i="24" s="1"/>
  <c r="AP59" i="24" s="1"/>
  <c r="AE53" i="24"/>
  <c r="AN75" i="24"/>
  <c r="AA72" i="24"/>
  <c r="AB71" i="24"/>
  <c r="AB78" i="24" s="1"/>
  <c r="AB83" i="24" s="1"/>
  <c r="AC77" i="24"/>
  <c r="AC70" i="24"/>
  <c r="AO80" i="24"/>
  <c r="AO66" i="24"/>
  <c r="AO68" i="24" s="1"/>
  <c r="AO79" i="24"/>
  <c r="AS140" i="24"/>
  <c r="AS141" i="24"/>
  <c r="AP61" i="24"/>
  <c r="AP60" i="24" s="1"/>
  <c r="AB72" i="24" l="1"/>
  <c r="AB86" i="24"/>
  <c r="AB87" i="24" s="1"/>
  <c r="AB90" i="24" s="1"/>
  <c r="AB88" i="24"/>
  <c r="AB84" i="24"/>
  <c r="AB89" i="24" s="1"/>
  <c r="AE55" i="24"/>
  <c r="AT141" i="24"/>
  <c r="AT140" i="24"/>
  <c r="AO75" i="24"/>
  <c r="AC71" i="24"/>
  <c r="AC78" i="24" s="1"/>
  <c r="AC83" i="24" s="1"/>
  <c r="AP80" i="24"/>
  <c r="AP66" i="24"/>
  <c r="AP68" i="24" s="1"/>
  <c r="AP79" i="24"/>
  <c r="AD77" i="24"/>
  <c r="AD70" i="24"/>
  <c r="AC86" i="24" l="1"/>
  <c r="AC87" i="24" s="1"/>
  <c r="AC90" i="24" s="1"/>
  <c r="AC88" i="24"/>
  <c r="AC84" i="24"/>
  <c r="AC89" i="24" s="1"/>
  <c r="AD72" i="24"/>
  <c r="AD71" i="24"/>
  <c r="AD78" i="24" s="1"/>
  <c r="AE82" i="24"/>
  <c r="AE56" i="24"/>
  <c r="AE69" i="24" s="1"/>
  <c r="AD83" i="24"/>
  <c r="AP75" i="24"/>
  <c r="AC72" i="24"/>
  <c r="AU140" i="24"/>
  <c r="AU141" i="24"/>
  <c r="AF53" i="24"/>
  <c r="AE77" i="24" l="1"/>
  <c r="AE70" i="24"/>
  <c r="AF55" i="24"/>
  <c r="AG53" i="24" s="1"/>
  <c r="AV140" i="24"/>
  <c r="AV141" i="24" s="1"/>
  <c r="AD86" i="24"/>
  <c r="AD87" i="24" s="1"/>
  <c r="AD90" i="24" s="1"/>
  <c r="AD88" i="24"/>
  <c r="AD84" i="24"/>
  <c r="AD89" i="24" s="1"/>
  <c r="AG55" i="24" l="1"/>
  <c r="AW140" i="24"/>
  <c r="AW141" i="24"/>
  <c r="AF56" i="24"/>
  <c r="AF69" i="24" s="1"/>
  <c r="AF82" i="24"/>
  <c r="AE71" i="24"/>
  <c r="AE78" i="24" s="1"/>
  <c r="AE83" i="24" s="1"/>
  <c r="AE72" i="24" l="1"/>
  <c r="AE86" i="24"/>
  <c r="AE87" i="24" s="1"/>
  <c r="AE90" i="24" s="1"/>
  <c r="AE88" i="24"/>
  <c r="AE84" i="24"/>
  <c r="AE89" i="24" s="1"/>
  <c r="AG82" i="24"/>
  <c r="AG56" i="24"/>
  <c r="AG69" i="24" s="1"/>
  <c r="AF77" i="24"/>
  <c r="AF70" i="24"/>
  <c r="AX141" i="24"/>
  <c r="AX140" i="24"/>
  <c r="AH53" i="24"/>
  <c r="AH55" i="24" l="1"/>
  <c r="AI53" i="24" s="1"/>
  <c r="AY140" i="24"/>
  <c r="AY141" i="24"/>
  <c r="AF71" i="24"/>
  <c r="AF78" i="24" s="1"/>
  <c r="AF83" i="24" s="1"/>
  <c r="AG77" i="24"/>
  <c r="AG70" i="24"/>
  <c r="AF86" i="24" l="1"/>
  <c r="AF87" i="24" s="1"/>
  <c r="AF90" i="24" s="1"/>
  <c r="AF84" i="24"/>
  <c r="AF89" i="24" s="1"/>
  <c r="AF88" i="24"/>
  <c r="AG71" i="24"/>
  <c r="AG78" i="24" s="1"/>
  <c r="AI55" i="24"/>
  <c r="AJ53" i="24" s="1"/>
  <c r="AG83" i="24"/>
  <c r="AF72" i="24"/>
  <c r="AH82" i="24"/>
  <c r="AH56" i="24"/>
  <c r="AH69" i="24" s="1"/>
  <c r="AG72" i="24" l="1"/>
  <c r="AH77" i="24"/>
  <c r="AH70" i="24"/>
  <c r="AJ55" i="24"/>
  <c r="AK53" i="24" s="1"/>
  <c r="AG86" i="24"/>
  <c r="AG87" i="24" s="1"/>
  <c r="AG90" i="24" s="1"/>
  <c r="AG88" i="24"/>
  <c r="AG84" i="24"/>
  <c r="AG89" i="24" s="1"/>
  <c r="AI82" i="24"/>
  <c r="AI56" i="24"/>
  <c r="AI69" i="24" s="1"/>
  <c r="AJ56" i="24" l="1"/>
  <c r="AJ69" i="24" s="1"/>
  <c r="AJ82" i="24"/>
  <c r="AH71" i="24"/>
  <c r="AH78" i="24" s="1"/>
  <c r="AH83" i="24" s="1"/>
  <c r="AI77" i="24"/>
  <c r="AI70" i="24"/>
  <c r="AK55" i="24"/>
  <c r="AH72" i="24" l="1"/>
  <c r="AH86" i="24"/>
  <c r="AH87" i="24" s="1"/>
  <c r="AH90" i="24" s="1"/>
  <c r="AH88" i="24"/>
  <c r="AH84" i="24"/>
  <c r="AH89" i="24" s="1"/>
  <c r="AK82" i="24"/>
  <c r="AK56" i="24"/>
  <c r="AK69" i="24" s="1"/>
  <c r="AJ77" i="24"/>
  <c r="AJ70" i="24"/>
  <c r="AL53" i="24"/>
  <c r="AI71" i="24"/>
  <c r="AI78" i="24" s="1"/>
  <c r="AI83" i="24" s="1"/>
  <c r="AI86" i="24" l="1"/>
  <c r="AI87" i="24" s="1"/>
  <c r="AI90" i="24" s="1"/>
  <c r="AI84" i="24"/>
  <c r="AI89" i="24" s="1"/>
  <c r="AI88" i="24"/>
  <c r="AJ71" i="24"/>
  <c r="AJ78" i="24" s="1"/>
  <c r="AI72" i="24"/>
  <c r="AL55" i="24"/>
  <c r="AM53" i="24" s="1"/>
  <c r="AJ83" i="24"/>
  <c r="AK77" i="24"/>
  <c r="AK70" i="24"/>
  <c r="AK71" i="24" l="1"/>
  <c r="AK78" i="24" s="1"/>
  <c r="AJ86" i="24"/>
  <c r="AJ87" i="24" s="1"/>
  <c r="AJ90" i="24" s="1"/>
  <c r="AJ88" i="24"/>
  <c r="AJ84" i="24"/>
  <c r="AJ89" i="24" s="1"/>
  <c r="AM55" i="24"/>
  <c r="AK83" i="24"/>
  <c r="AL82" i="24"/>
  <c r="AL56" i="24"/>
  <c r="AL69" i="24" s="1"/>
  <c r="AJ72" i="24"/>
  <c r="AK72" i="24" l="1"/>
  <c r="AL77" i="24"/>
  <c r="AL70" i="24"/>
  <c r="AK86" i="24"/>
  <c r="AK87" i="24" s="1"/>
  <c r="AK90" i="24" s="1"/>
  <c r="AK84" i="24"/>
  <c r="AK89" i="24" s="1"/>
  <c r="AK88" i="24"/>
  <c r="AM82" i="24"/>
  <c r="AM56" i="24"/>
  <c r="AM69" i="24" s="1"/>
  <c r="AN53" i="24"/>
  <c r="AM77" i="24" l="1"/>
  <c r="AM70" i="24"/>
  <c r="AN55" i="24"/>
  <c r="AL71" i="24"/>
  <c r="AL78" i="24" s="1"/>
  <c r="AL83" i="24" s="1"/>
  <c r="AL86" i="24" l="1"/>
  <c r="AL87" i="24" s="1"/>
  <c r="AL90" i="24" s="1"/>
  <c r="AL84" i="24"/>
  <c r="AL89" i="24" s="1"/>
  <c r="AL88" i="24"/>
  <c r="AN56" i="24"/>
  <c r="AN69" i="24" s="1"/>
  <c r="AN82" i="24"/>
  <c r="AM71" i="24"/>
  <c r="AM78" i="24" s="1"/>
  <c r="AM83" i="24" s="1"/>
  <c r="AL72" i="24"/>
  <c r="AO53" i="24"/>
  <c r="AM72" i="24" l="1"/>
  <c r="AM86" i="24"/>
  <c r="AM87" i="24" s="1"/>
  <c r="AM90" i="24" s="1"/>
  <c r="AM88" i="24"/>
  <c r="AM84" i="24"/>
  <c r="AM89" i="24" s="1"/>
  <c r="AN77" i="24"/>
  <c r="AN70" i="24"/>
  <c r="AO55" i="24"/>
  <c r="AO82" i="24" l="1"/>
  <c r="AO56" i="24"/>
  <c r="AO69" i="24" s="1"/>
  <c r="AP53" i="24"/>
  <c r="AP55" i="24" s="1"/>
  <c r="AN71" i="24"/>
  <c r="AN78" i="24" s="1"/>
  <c r="AN83" i="24" s="1"/>
  <c r="AN72" i="24" l="1"/>
  <c r="AN86" i="24"/>
  <c r="AN87" i="24" s="1"/>
  <c r="AN90" i="24" s="1"/>
  <c r="AN84" i="24"/>
  <c r="AN89" i="24" s="1"/>
  <c r="AN88" i="24"/>
  <c r="AP82" i="24"/>
  <c r="AP56" i="24"/>
  <c r="AP69" i="24" s="1"/>
  <c r="AO77" i="24"/>
  <c r="AO70" i="24"/>
  <c r="AO71" i="24" l="1"/>
  <c r="AO78" i="24" s="1"/>
  <c r="AO83" i="24" s="1"/>
  <c r="AP77" i="24"/>
  <c r="AP70" i="24"/>
  <c r="AO72" i="24" l="1"/>
  <c r="AP71" i="24"/>
  <c r="AP78" i="24" s="1"/>
  <c r="AO86" i="24"/>
  <c r="AO87" i="24" s="1"/>
  <c r="AO90" i="24" s="1"/>
  <c r="AO88" i="24"/>
  <c r="AO84" i="24"/>
  <c r="AO89" i="24" s="1"/>
  <c r="AP83" i="24"/>
  <c r="AP72" i="24" l="1"/>
  <c r="AP86" i="24"/>
  <c r="AP87" i="24" s="1"/>
  <c r="AP84" i="24"/>
  <c r="AP89" i="24" s="1"/>
  <c r="AP88" i="24"/>
  <c r="A101" i="24" l="1"/>
  <c r="B102" i="24" s="1"/>
  <c r="AP90" i="24"/>
  <c r="A14" i="23" l="1"/>
  <c r="A11" i="23"/>
  <c r="A8" i="23"/>
  <c r="G30" i="23"/>
  <c r="G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<sst xmlns="http://schemas.openxmlformats.org/spreadsheetml/2006/main" count="1045" uniqueCount="649">
  <si>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</si>
  <si>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</si>
  <si>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</si>
  <si>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</si>
  <si>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</si>
  <si>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</si>
  <si>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</si>
  <si>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</si>
  <si>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</si>
  <si>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</si>
  <si>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</si>
  <si>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</si>
  <si>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</si>
  <si>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</si>
  <si>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</si>
  <si>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</si>
  <si>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</si>
  <si>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</si>
  <si>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</si>
  <si>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</si>
  <si>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</si>
  <si>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</si>
  <si>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</si>
  <si>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</si>
  <si>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</si>
  <si>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</si>
  <si>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</si>
  <si>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</si>
  <si>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</si>
  <si>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</si>
  <si>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</si>
  <si>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</si>
  <si>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</si>
  <si>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</si>
  <si>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</si>
  <si>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</si>
  <si>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</si>
  <si>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</si>
  <si>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</si>
  <si>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</si>
  <si>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</si>
  <si>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</si>
  <si>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</si>
  <si>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</si>
  <si>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</si>
  <si>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</si>
  <si>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</si>
  <si>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</si>
  <si>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</si>
  <si>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</si>
  <si>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</si>
  <si>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</si>
  <si>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</si>
  <si>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</si>
  <si>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</si>
  <si>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</si>
  <si>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</si>
  <si>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</si>
  <si>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</si>
  <si>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</si>
  <si>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</si>
  <si>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</si>
  <si>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</si>
  <si>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</si>
  <si>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</si>
  <si>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</si>
  <si>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</si>
  <si>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</si>
  <si>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</si>
  <si>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</si>
  <si>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</si>
  <si>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</si>
  <si>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</si>
  <si>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</si>
  <si>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</si>
  <si>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</si>
  <si>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</si>
  <si>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</si>
  <si>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</si>
  <si>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</si>
  <si>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</si>
  <si>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</si>
  <si>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</si>
  <si>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</si>
  <si>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</si>
  <si>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</si>
  <si>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</si>
  <si>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</si>
  <si>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</si>
  <si>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</si>
  <si>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</si>
  <si>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</si>
  <si>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</si>
  <si>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</si>
  <si>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</si>
  <si>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</si>
  <si>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</si>
  <si>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</si>
  <si>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</si>
  <si>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</si>
  <si>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</si>
  <si>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</si>
  <si>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</si>
  <si>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</si>
  <si>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</si>
  <si>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</si>
  <si>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</si>
  <si>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</si>
  <si>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</si>
  <si>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</si>
  <si>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</si>
  <si>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</si>
  <si>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</si>
  <si>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</si>
  <si>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</si>
  <si>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</si>
  <si>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</si>
  <si>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</si>
  <si>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</si>
  <si>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</si>
  <si>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</si>
  <si>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</si>
  <si>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</si>
  <si>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</si>
  <si>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</si>
  <si>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</si>
  <si>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</si>
  <si>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</si>
  <si>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</si>
  <si>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</si>
  <si>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</si>
  <si>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</si>
  <si>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</si>
  <si>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</si>
  <si>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</si>
  <si>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</si>
  <si>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</si>
  <si>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</si>
  <si>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</si>
  <si>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</si>
  <si>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</si>
  <si>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</si>
  <si>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</si>
  <si>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</si>
  <si>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</si>
  <si>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</si>
  <si>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</si>
  <si>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</si>
  <si>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</si>
  <si>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</si>
  <si>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</si>
  <si>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</si>
  <si>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</si>
  <si>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</si>
  <si>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</si>
  <si>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</si>
  <si>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</si>
  <si>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</si>
  <si>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</si>
  <si>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</si>
  <si>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</si>
  <si>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</si>
  <si>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</si>
  <si>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</si>
  <si>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</si>
  <si>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</si>
  <si>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</si>
  <si>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</si>
  <si>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</si>
  <si>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</si>
  <si>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</si>
  <si>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</si>
  <si>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</si>
  <si>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</si>
  <si>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</si>
  <si>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</si>
  <si>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</si>
  <si>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</si>
  <si>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</si>
  <si>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</si>
  <si>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</si>
  <si>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</si>
  <si>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</si>
  <si>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</si>
  <si>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</si>
  <si>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</si>
  <si>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</si>
  <si>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</si>
  <si>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</si>
  <si>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</si>
  <si>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</si>
  <si>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</si>
  <si>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</si>
  <si>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</si>
  <si>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</si>
  <si>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</si>
  <si>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</si>
  <si>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</si>
  <si>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</si>
  <si>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</si>
  <si>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</si>
  <si>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</si>
  <si>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</si>
  <si>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</si>
  <si>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</si>
  <si>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</si>
  <si>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</si>
  <si>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</si>
  <si>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</si>
  <si>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</si>
  <si>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</si>
  <si>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</si>
  <si>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</si>
  <si>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</si>
  <si>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</si>
  <si>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</si>
  <si>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</si>
  <si>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</si>
  <si>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</si>
  <si>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</si>
  <si>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</si>
  <si>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</si>
  <si>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</si>
  <si>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</si>
  <si>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</si>
  <si>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</si>
  <si>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</si>
  <si>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</si>
  <si>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</si>
  <si>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</si>
  <si>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</si>
  <si>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</si>
  <si>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</si>
  <si>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</si>
  <si>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</si>
  <si>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</si>
  <si>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</si>
  <si>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</si>
  <si>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</si>
  <si>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</si>
  <si>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</si>
  <si>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</si>
  <si>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</si>
  <si>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</si>
  <si>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</si>
  <si>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</si>
  <si>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</si>
  <si>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</si>
  <si>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</si>
  <si>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</si>
  <si>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</si>
  <si>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</si>
  <si>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</si>
  <si>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</si>
  <si>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</si>
  <si>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</si>
  <si>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</si>
  <si>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</si>
  <si>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</si>
  <si>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</si>
  <si>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</si>
  <si>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</si>
  <si>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</si>
  <si>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</si>
  <si>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</si>
  <si>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</si>
  <si>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</si>
  <si>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</si>
  <si>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</si>
  <si>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</si>
  <si>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</si>
  <si>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</si>
  <si>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</si>
  <si>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</si>
  <si>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</si>
  <si>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</si>
  <si>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</si>
  <si>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</si>
  <si>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</si>
  <si>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</si>
  <si>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</si>
  <si>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</si>
  <si>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</si>
  <si>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</si>
  <si>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</si>
  <si>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</si>
  <si>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</si>
  <si>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</si>
  <si>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</si>
  <si>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</si>
  <si>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</si>
  <si>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</si>
  <si>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</si>
  <si>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</si>
  <si>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</si>
  <si>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</si>
  <si>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</si>
  <si>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</si>
  <si>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</si>
  <si>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</si>
  <si>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</si>
  <si>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</si>
  <si>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</si>
  <si>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</si>
  <si>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</si>
  <si>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</si>
  <si>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</si>
  <si>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</si>
  <si>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</si>
  <si>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</si>
  <si>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</si>
  <si>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</si>
  <si>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</si>
  <si>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</si>
  <si>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</si>
  <si>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</si>
  <si>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</si>
  <si>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</si>
  <si>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</si>
  <si>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</si>
  <si>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</si>
  <si>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</si>
  <si>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</si>
  <si>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</si>
  <si>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</si>
  <si>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</si>
  <si>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</si>
  <si>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</si>
  <si>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</si>
  <si>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</si>
  <si>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</si>
  <si>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</si>
  <si>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</si>
  <si>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</si>
  <si>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</si>
  <si>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</si>
  <si>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</si>
  <si>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</si>
  <si>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</si>
  <si>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</si>
  <si>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</si>
  <si>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</si>
  <si>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</si>
  <si>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</si>
  <si>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</si>
  <si>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</si>
  <si>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</si>
  <si>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</si>
  <si>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</si>
  <si>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</si>
  <si>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</si>
  <si>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</si>
  <si>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</si>
  <si>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</si>
  <si>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</si>
  <si>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</si>
  <si>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</si>
  <si>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</si>
  <si>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</si>
  <si>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</si>
  <si>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</si>
  <si>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</si>
  <si>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</si>
  <si>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</si>
  <si>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</si>
  <si>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</si>
  <si>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</si>
  <si>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</si>
  <si>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</si>
  <si>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</si>
  <si>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</si>
  <si>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</si>
  <si>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</si>
  <si>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</si>
  <si>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</si>
  <si>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</si>
  <si>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</si>
  <si>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</si>
  <si>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</si>
  <si>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</si>
  <si>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</si>
  <si>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</si>
  <si>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</si>
  <si>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</si>
  <si>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</si>
  <si>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</si>
  <si>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</si>
  <si>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</si>
  <si>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</si>
  <si>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</si>
  <si>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</si>
  <si>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</si>
  <si>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</si>
  <si>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</si>
  <si>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</si>
  <si>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</si>
  <si>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</si>
  <si>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</si>
  <si>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</si>
  <si>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</si>
  <si>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</si>
  <si>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</si>
  <si>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</si>
  <si>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</si>
  <si>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</si>
  <si>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</si>
  <si>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</si>
  <si>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</si>
  <si>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</si>
  <si>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</si>
  <si>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</si>
  <si>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</si>
  <si>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</si>
  <si>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</si>
  <si>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</si>
  <si>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</si>
  <si>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</si>
  <si>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</si>
  <si>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</si>
  <si>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</si>
  <si>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</si>
  <si>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</si>
  <si>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</si>
  <si>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</si>
  <si>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</si>
  <si>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</si>
  <si>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</si>
  <si>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</si>
  <si>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</si>
  <si>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</si>
  <si>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</si>
  <si>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</si>
  <si>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</si>
  <si>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</si>
  <si>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</si>
  <si>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</si>
  <si>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</si>
  <si>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</si>
  <si>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</si>
  <si>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</si>
  <si>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</si>
  <si>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</si>
  <si>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</si>
  <si>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</si>
  <si>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</si>
  <si>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</si>
  <si>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</si>
  <si>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</si>
  <si>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</si>
  <si>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</si>
  <si>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</si>
  <si>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</si>
  <si>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</si>
  <si>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</si>
  <si>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</si>
  <si>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</si>
  <si>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</si>
  <si>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</si>
  <si>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</si>
  <si>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</si>
  <si>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</si>
  <si>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</si>
  <si>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</si>
  <si>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</si>
  <si>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</si>
  <si>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</si>
  <si>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</si>
  <si>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</si>
  <si>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</si>
  <si>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</si>
  <si>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</si>
  <si>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</si>
  <si>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</si>
  <si>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</si>
  <si>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</si>
  <si>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</si>
  <si>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</si>
  <si>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</si>
  <si>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</si>
  <si>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</si>
  <si>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</si>
  <si>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</si>
  <si>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</si>
  <si>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</si>
  <si>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</si>
  <si>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</si>
  <si>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</si>
  <si>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</si>
  <si>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</si>
  <si>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</si>
  <si>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</si>
  <si>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</si>
  <si>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</si>
  <si>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</si>
  <si>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</si>
  <si>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</si>
  <si>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</si>
  <si>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</si>
  <si>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</si>
  <si>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</si>
  <si>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</si>
  <si>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</si>
  <si>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</si>
  <si>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</si>
  <si>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</si>
  <si>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</si>
  <si>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</si>
  <si>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</si>
  <si>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</si>
  <si>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</si>
  <si>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</si>
  <si>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</si>
  <si>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</si>
  <si>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</si>
  <si>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</si>
  <si>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</si>
  <si>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</si>
  <si>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</si>
  <si>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</si>
  <si>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</si>
  <si>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</si>
  <si>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</si>
  <si>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</si>
  <si>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</si>
  <si>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</si>
  <si>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</si>
  <si>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</si>
  <si>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</si>
  <si>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</si>
  <si>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</si>
  <si>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</si>
  <si>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</si>
  <si>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</si>
  <si>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</si>
  <si>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</si>
  <si>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</si>
  <si>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</si>
  <si>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</si>
  <si>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</si>
  <si>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</si>
  <si>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</si>
  <si>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</si>
  <si>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</si>
  <si>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</si>
  <si>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Д/с отправлено в архив</t>
  </si>
  <si>
    <t>Торгово-развлекательный комплекс</t>
  </si>
  <si>
    <t>0.4 кВ</t>
  </si>
  <si>
    <t>Снятие сетевых ограничений на возможность присоединения к электрическим сетям.</t>
  </si>
  <si>
    <t>АО "Янтарьэнерго"</t>
  </si>
  <si>
    <t>Калининградская область</t>
  </si>
  <si>
    <t>г. Советск</t>
  </si>
  <si>
    <t>Не требуется</t>
  </si>
  <si>
    <t>Да</t>
  </si>
  <si>
    <t>Увеличение объема услуг по передаче электрической энергии.</t>
  </si>
  <si>
    <t>договоры на технологическое присоединение</t>
  </si>
  <si>
    <t>2014 г.</t>
  </si>
  <si>
    <t>строительство</t>
  </si>
  <si>
    <t>2019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</si>
  <si>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</si>
  <si>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</si>
  <si>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</si>
  <si>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</si>
  <si>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</si>
  <si>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</si>
  <si>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</si>
  <si>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</si>
  <si>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</si>
  <si>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t>0.8 МВА (0.8 МВА) / 4.158 км (4.158 км)</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</si>
  <si>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</si>
  <si>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</si>
  <si>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</si>
  <si>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</si>
  <si>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</si>
  <si>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</si>
  <si>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</si>
  <si>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</si>
  <si>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</si>
  <si>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</si>
  <si>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</si>
  <si>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</si>
  <si>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</si>
  <si>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</si>
  <si>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</si>
  <si>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</si>
  <si>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</si>
  <si>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</si>
  <si>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</si>
  <si>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</si>
  <si>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</si>
  <si>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</si>
  <si>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</si>
  <si>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</si>
  <si>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</si>
  <si>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</si>
  <si>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</si>
  <si>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</si>
  <si>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</si>
  <si>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</si>
  <si>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</si>
  <si>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</si>
  <si>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</si>
  <si>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</si>
  <si>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</si>
  <si>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</si>
  <si>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</si>
  <si>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</si>
  <si>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</si>
  <si>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</si>
  <si>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</si>
  <si>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</si>
  <si>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</si>
  <si>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</si>
  <si>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</si>
  <si>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 xml:space="preserve">Строительство БКТП 6/0,4 кВ,  реконструкция КЛ 6 кВ ф.12, строительство участка КЛ 6 кВ от ТПн до места рассечки КЛ 6 кВ ф.12 по ул. Искры в г.Советск </t>
  </si>
  <si>
    <t>УСР</t>
  </si>
  <si>
    <t>Азимут-Электропроект  договор  № 285  от  05/03/2012-   в ценах 2012 года с НДС, млн. руб.</t>
  </si>
  <si>
    <t>№ В-376/11/10 д/с 1 от 04.07.2011</t>
  </si>
  <si>
    <t>Дог № В-376/11/10  от 13.01.2011</t>
  </si>
  <si>
    <t>г.Советск, ул.Искры, кадастровый номер 39:16:010515:27</t>
  </si>
  <si>
    <t>5.1. Нижние контакты стоек предохранителей в РУ 0,4 кВ проектируемой ТП 6/0,4 кВ (п. 8.2)</t>
  </si>
  <si>
    <t xml:space="preserve">    </t>
  </si>
  <si>
    <t>7.1. От точки присоединения до вводного щита объекта построить ЛЭП напряжением до 1000 В с исполнением СИП или кабелем. Тип и трассу ЛЭП, марку и сечение проводников определить проектной документацией. Подходы ЛЭП к точке присоединения согласовать с Сове тским РЭС. 7.2. Для повышения надежности электроснабжения рекомендуем дополнительно установить независимый источник питания. Мощность независимого источника питания определить проектной документацией.    В случае установки независимого источника п итания, проектной документацией предусмотреть установку вводного распределительного устройства с оборудованием, исключающим несанкционированную (ошибочную) подачу электроэнергии в сеть энергосистемы. 7.3. На объекте предусмотреть мероприятия по обеспече  8.1. Для создания технической возможности присоединения к электрическим сетям ОАО "Янтарьэнерго" дополнительной мощности (снятия нагрузки с ПС 110/15/6 кВ "Советск" О-5): 8.1.1. Вариант №1: ОАО "Янтарьэнерго" заключить договор технологического присоедин ения с ОАО "РЭК"; 8.2.1.1. выполнить перезаводку КЛ 6 кВ ТП 96 - ТП 14  в ПС 110/6 кВ "Советск-2".; 8.1.2. Вариант №2: Произвести проектирование и строительство новой ПС 110/6 кВ "Советск-3", с устройством связей с существующей схемой распределительных сетей 6 кВ г. Советска для снятия нагрузки с ПС 110/15/6 кВ "Советск" О-5.;  8.2. У границы участка, на котором расположены энергопринимающие устройства заявителя, в рассечку кабельной линии (КЛ) 6 кВ ф. №12 построить блочную комплектную трансформаторную             5.1. Нижние контакты стоек предохранителей в РУ 0,4 кВ проектируемой ТП 6/0,4 кВ (п. 8.2)</t>
  </si>
  <si>
    <t>F_prj_111001_5326</t>
  </si>
  <si>
    <t>не требуется</t>
  </si>
  <si>
    <t>1С, 2З</t>
  </si>
  <si>
    <t>Технологическое присоединение энергопринимающих устройств потребителей свыше 150 кВт</t>
  </si>
  <si>
    <t>нд</t>
  </si>
  <si>
    <t>нет</t>
  </si>
  <si>
    <t>КТП новая</t>
  </si>
  <si>
    <t>ТМГ 400кВА 6/0.4 кВ</t>
  </si>
  <si>
    <t>Т-1</t>
  </si>
  <si>
    <t>Т-2</t>
  </si>
  <si>
    <t>2018</t>
  </si>
  <si>
    <t>КЛ 6 кВ ф.12</t>
  </si>
  <si>
    <t>в траншее</t>
  </si>
  <si>
    <t>КЛ 6 кВ от КТП новой до КЛ 6 кВ ф.12</t>
  </si>
  <si>
    <t>по состоянию на 01.01.2016</t>
  </si>
  <si>
    <t xml:space="preserve">Факт </t>
  </si>
  <si>
    <t>СМР</t>
  </si>
  <si>
    <t xml:space="preserve">СМР "Строительство БКТП 6/0,4 кВ,  реконструкция КЛ 6 кВ ф.12, строительство участка КЛ 6 кВ от ТПн до места рассечки КЛ 6 кВ ф.12 по ул. Искры в г.Советск </t>
  </si>
  <si>
    <t>АО "Янтарьэнерго"/ДКС</t>
  </si>
  <si>
    <t>ПСД</t>
  </si>
  <si>
    <t>ООК</t>
  </si>
  <si>
    <t>0</t>
  </si>
  <si>
    <t>48985</t>
  </si>
  <si>
    <t>b2b-mrsk.ru</t>
  </si>
  <si>
    <t>13.04.2016</t>
  </si>
  <si>
    <t>05.05.2016</t>
  </si>
  <si>
    <t>Признана несостоявшейся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</si>
</sst>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_-* #,##0.00\ _р_._-;\-* #,##0.00\ _р_._-;_-* &quot;-&quot;??\ _р_._-;_-@_-"/>
    <numFmt numFmtId="165" formatCode="#,##0_ ;\-#,##0\ "/>
    <numFmt numFmtId="166" formatCode="#,##0.0"/>
    <numFmt numFmtId="167" formatCode="######0.0#####"/>
    <numFmt numFmtId="168" formatCode="_-* #,##0.0_р_._-;\-* #,##0.0_р_._-;_-* &quot;-&quot;_р_._-;_-@_-"/>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8"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NumberFormat="1"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9" borderId="1" xfId="2" applyFont="1" applyFill="1" applyBorder="1" applyAlignment="1">
      <alignment horizontal="center" vertical="center" wrapText="1"/>
    </xf>
    <xf numFmtId="14" fontId="11" fillId="29" borderId="1" xfId="2" applyNumberFormat="1" applyFont="1" applyFill="1" applyBorder="1" applyAlignment="1">
      <alignment horizontal="center" vertical="center" wrapText="1"/>
    </xf>
    <xf numFmtId="14" fontId="11" fillId="29" borderId="1" xfId="2" applyNumberFormat="1" applyFont="1" applyFill="1" applyBorder="1" applyAlignment="1">
      <alignment horizontal="center" vertical="center"/>
    </xf>
    <xf numFmtId="0" fontId="11" fillId="29"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74" fontId="40" fillId="30" borderId="31" xfId="2" applyNumberFormat="1" applyFont="1" applyFill="1" applyBorder="1" applyAlignment="1">
      <alignment horizontal="justify" vertical="top" wrapText="1"/>
    </xf>
    <xf numFmtId="41" fontId="11" fillId="0" borderId="1" xfId="0" applyNumberFormat="1" applyFont="1" applyFill="1" applyBorder="1" applyAlignment="1">
      <alignment horizontal="center" vertical="center" wrapText="1"/>
    </xf>
    <xf numFmtId="0" fontId="4" fillId="0" borderId="0" xfId="0" applyFont="1"/>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42" fillId="0" borderId="1" xfId="2" applyNumberFormat="1" applyFont="1" applyBorder="1" applyAlignment="1">
      <alignment horizontal="center" vertical="center"/>
    </xf>
    <xf numFmtId="175" fontId="11" fillId="0" borderId="1" xfId="45"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175" fontId="11"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54693432"/>
        <c:axId val="354694216"/>
      </c:lineChart>
      <c:catAx>
        <c:axId val="354693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54694216"/>
        <c:crosses val="autoZero"/>
        <c:auto val="1"/>
        <c:lblAlgn val="ctr"/>
        <c:lblOffset val="100"/>
        <c:noMultiLvlLbl val="0"/>
      </c:catAx>
      <c:valAx>
        <c:axId val="354694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546934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460_F_prj_111001_5326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24.1747245710744</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8" t="s">
        <v>543</v>
      </c>
      <c r="B5" s="378"/>
      <c r="C5" s="378"/>
      <c r="D5" s="168"/>
      <c r="E5" s="168"/>
      <c r="F5" s="168"/>
      <c r="G5" s="168"/>
      <c r="H5" s="168"/>
      <c r="I5" s="168"/>
      <c r="J5" s="168"/>
    </row>
    <row r="6" spans="1:22" s="12" customFormat="1" ht="18.75" x14ac:dyDescent="0.3">
      <c r="A6" s="17"/>
      <c r="F6" s="16"/>
      <c r="G6" s="16"/>
      <c r="H6" s="15"/>
    </row>
    <row r="7" spans="1:22" s="12" customFormat="1" ht="18.75" x14ac:dyDescent="0.2">
      <c r="A7" s="382" t="s">
        <v>10</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1" t="s">
        <v>542</v>
      </c>
      <c r="B9" s="381"/>
      <c r="C9" s="381"/>
      <c r="D9" s="8"/>
      <c r="E9" s="8"/>
      <c r="F9" s="8"/>
      <c r="G9" s="8"/>
      <c r="H9" s="8"/>
      <c r="I9" s="13"/>
      <c r="J9" s="13"/>
      <c r="K9" s="13"/>
      <c r="L9" s="13"/>
      <c r="M9" s="13"/>
      <c r="N9" s="13"/>
      <c r="O9" s="13"/>
      <c r="P9" s="13"/>
      <c r="Q9" s="13"/>
      <c r="R9" s="13"/>
      <c r="S9" s="13"/>
      <c r="T9" s="13"/>
      <c r="U9" s="13"/>
      <c r="V9" s="13"/>
    </row>
    <row r="10" spans="1:22" s="12" customFormat="1" ht="18.75" x14ac:dyDescent="0.2">
      <c r="A10" s="379" t="s">
        <v>9</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622</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8</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0" t="s">
        <v>613</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7</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524</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356</v>
      </c>
      <c r="C22" s="46" t="s">
        <v>625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5"/>
      <c r="B24" s="376"/>
      <c r="C24" s="37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5" t="s">
        <v>473</v>
      </c>
      <c r="C25" s="40" t="s">
        <v>548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5" t="s">
        <v>76</v>
      </c>
      <c r="C26" s="40" t="s">
        <v>549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5" t="s">
        <v>75</v>
      </c>
      <c r="C27" s="40" t="s">
        <v>550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5" t="s">
        <v>474</v>
      </c>
      <c r="C28" s="40" t="s">
        <v>551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5" t="s">
        <v>475</v>
      </c>
      <c r="C29" s="40" t="s">
        <v>551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5" t="s">
        <v>476</v>
      </c>
      <c r="C30" s="40" t="s">
        <v>551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477</v>
      </c>
      <c r="C31" s="40" t="s">
        <v>551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478</v>
      </c>
      <c r="C32" s="40" t="s">
        <v>551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479</v>
      </c>
      <c r="C33" s="45" t="s">
        <v>627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493</v>
      </c>
      <c r="B34" s="45" t="s">
        <v>480</v>
      </c>
      <c r="C34" s="29" t="s">
        <v>551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5" t="s">
        <v>73</v>
      </c>
      <c r="C35" s="29" t="s">
        <v>551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5" t="s">
        <v>481</v>
      </c>
      <c r="C36" s="29" t="s">
        <v>551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5" t="s">
        <v>482</v>
      </c>
      <c r="C37" s="29" t="s">
        <v>552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5" t="s">
        <v>237</v>
      </c>
      <c r="C38" s="29" t="s">
        <v>551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5"/>
      <c r="B39" s="376"/>
      <c r="C39" s="377"/>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5" t="s">
        <v>537</v>
      </c>
      <c r="C40" s="2" t="s">
        <v>626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5" t="s">
        <v>519</v>
      </c>
      <c r="C41" s="2" t="s">
        <v>626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5" t="s">
        <v>534</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5" t="s">
        <v>500</v>
      </c>
      <c r="C43" s="2" t="s">
        <v>626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5" t="s">
        <v>525</v>
      </c>
      <c r="C44" s="2" t="s">
        <v>626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520</v>
      </c>
      <c r="B45" s="45" t="s">
        <v>526</v>
      </c>
      <c r="C45" s="2" t="s">
        <v>626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5" t="s">
        <v>527</v>
      </c>
      <c r="C46" s="2" t="s">
        <v>626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5"/>
      <c r="B47" s="376"/>
      <c r="C47" s="37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5" t="s">
        <v>535</v>
      </c>
      <c r="C48" s="29" t="str">
        <f>CONCATENATE(ROUND('6.2. Паспорт фин осв ввод'!AB24,2)," млн.руб.")</f>
        <v>23,35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5" t="s">
        <v>536</v>
      </c>
      <c r="C49" s="29" t="str">
        <f>CONCATENATE(ROUND('6.2. Паспорт фин осв ввод'!AB30,2)," млн.руб.")</f>
        <v>19,79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336" customWidth="1"/>
    <col min="5" max="5" width="20.42578125" style="69" customWidth="1"/>
    <col min="6" max="6" width="18.7109375" style="69" customWidth="1"/>
    <col min="7" max="7" width="12.85546875" style="70" customWidth="1"/>
    <col min="8" max="8" width="10.7109375" style="70" customWidth="1"/>
    <col min="9" max="11" width="8.7109375" style="70" customWidth="1"/>
    <col min="12" max="12" width="9.5703125" style="69" customWidth="1"/>
    <col min="13" max="13" width="6.85546875" style="69" customWidth="1"/>
    <col min="14" max="14" width="8.5703125" style="69" customWidth="1"/>
    <col min="15" max="27" width="6.140625" style="69" customWidth="1"/>
    <col min="28" max="28" width="13.140625" style="69" customWidth="1"/>
    <col min="29" max="29" width="24.85546875" style="336" customWidth="1"/>
    <col min="30" max="16384" width="9.140625" style="69"/>
  </cols>
  <sheetData>
    <row r="1" spans="1:29" ht="18.75" x14ac:dyDescent="0.25">
      <c r="A1" s="70"/>
      <c r="B1" s="70"/>
      <c r="C1" s="70"/>
      <c r="D1" s="337"/>
      <c r="E1" s="70"/>
      <c r="F1" s="70"/>
      <c r="L1" s="70"/>
      <c r="M1" s="70"/>
      <c r="AC1" s="342" t="s">
        <v>70</v>
      </c>
    </row>
    <row r="2" spans="1:29" ht="18.75" x14ac:dyDescent="0.3">
      <c r="A2" s="70"/>
      <c r="B2" s="70"/>
      <c r="C2" s="70"/>
      <c r="D2" s="337"/>
      <c r="E2" s="70"/>
      <c r="F2" s="70"/>
      <c r="L2" s="70"/>
      <c r="M2" s="70"/>
      <c r="AC2" s="343" t="s">
        <v>11</v>
      </c>
    </row>
    <row r="3" spans="1:29" ht="18.75" x14ac:dyDescent="0.3">
      <c r="A3" s="70"/>
      <c r="B3" s="70"/>
      <c r="C3" s="70"/>
      <c r="D3" s="337"/>
      <c r="E3" s="70"/>
      <c r="F3" s="70"/>
      <c r="L3" s="70"/>
      <c r="M3" s="70"/>
      <c r="AC3" s="343" t="s">
        <v>69</v>
      </c>
    </row>
    <row r="4" spans="1:29" ht="18.75" customHeight="1" x14ac:dyDescent="0.25">
      <c r="A4" s="450" t="str">
        <f>'[3]1. паспорт местоположение'!A5:C5</f>
        <v>Год раскрытия информации: 2016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row>
    <row r="5" spans="1:29" ht="18.75" x14ac:dyDescent="0.3">
      <c r="A5" s="70"/>
      <c r="B5" s="70"/>
      <c r="C5" s="70"/>
      <c r="D5" s="337"/>
      <c r="E5" s="70"/>
      <c r="F5" s="70"/>
      <c r="L5" s="70"/>
      <c r="M5" s="70"/>
      <c r="AC5" s="343"/>
    </row>
    <row r="6" spans="1:29" ht="18.75" x14ac:dyDescent="0.25">
      <c r="A6" s="382" t="s">
        <v>10</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row>
    <row r="7" spans="1:29" ht="18.75" x14ac:dyDescent="0.25">
      <c r="A7" s="161"/>
      <c r="B7" s="161"/>
      <c r="C7" s="161"/>
      <c r="D7" s="161"/>
      <c r="E7" s="161"/>
      <c r="F7" s="161"/>
      <c r="G7" s="161"/>
      <c r="H7" s="161"/>
      <c r="I7" s="161"/>
      <c r="J7" s="88"/>
      <c r="K7" s="88"/>
      <c r="L7" s="88"/>
      <c r="M7" s="88"/>
      <c r="N7" s="88"/>
      <c r="O7" s="88"/>
      <c r="P7" s="88"/>
      <c r="Q7" s="88"/>
      <c r="R7" s="88"/>
      <c r="S7" s="88"/>
      <c r="T7" s="88"/>
      <c r="U7" s="88"/>
      <c r="V7" s="88"/>
      <c r="W7" s="88"/>
      <c r="X7" s="88"/>
      <c r="Y7" s="88"/>
      <c r="Z7" s="88"/>
      <c r="AA7" s="88"/>
      <c r="AB7" s="88"/>
      <c r="AC7" s="88"/>
    </row>
    <row r="8" spans="1:29" x14ac:dyDescent="0.25">
      <c r="A8" s="451" t="str">
        <f>'1. паспорт местоположение'!A9:C9</f>
        <v xml:space="preserve">                         АО "Янтарьэнерго"                         </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x14ac:dyDescent="0.25">
      <c r="A10" s="161"/>
      <c r="B10" s="161"/>
      <c r="C10" s="161"/>
      <c r="D10" s="161"/>
      <c r="E10" s="161"/>
      <c r="F10" s="161"/>
      <c r="G10" s="161"/>
      <c r="H10" s="161"/>
      <c r="I10" s="161"/>
      <c r="J10" s="88"/>
      <c r="K10" s="88"/>
      <c r="L10" s="88"/>
      <c r="M10" s="88"/>
      <c r="N10" s="88"/>
      <c r="O10" s="88"/>
      <c r="P10" s="88"/>
      <c r="Q10" s="88"/>
      <c r="R10" s="88"/>
      <c r="S10" s="88"/>
      <c r="T10" s="88"/>
      <c r="U10" s="88"/>
      <c r="V10" s="88"/>
      <c r="W10" s="88"/>
      <c r="X10" s="88"/>
      <c r="Y10" s="88"/>
      <c r="Z10" s="88"/>
      <c r="AA10" s="88"/>
      <c r="AB10" s="88"/>
      <c r="AC10" s="88"/>
    </row>
    <row r="11" spans="1:29" x14ac:dyDescent="0.25">
      <c r="A11" s="451" t="str">
        <f>'1. паспорт местоположение'!A12:C12</f>
        <v>F_prj_111001_5326</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6.5" customHeight="1" x14ac:dyDescent="0.3">
      <c r="A13" s="11"/>
      <c r="B13" s="11"/>
      <c r="C13" s="11"/>
      <c r="D13" s="338"/>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52"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4" t="s">
        <v>509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70"/>
      <c r="B19" s="70"/>
      <c r="C19" s="70"/>
      <c r="D19" s="337"/>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5" t="s">
        <v>192</v>
      </c>
      <c r="B20" s="455" t="s">
        <v>191</v>
      </c>
      <c r="C20" s="439" t="s">
        <v>190</v>
      </c>
      <c r="D20" s="439"/>
      <c r="E20" s="457" t="s">
        <v>189</v>
      </c>
      <c r="F20" s="457"/>
      <c r="G20" s="458" t="s">
        <v>558</v>
      </c>
      <c r="H20" s="461" t="s">
        <v>559</v>
      </c>
      <c r="I20" s="462"/>
      <c r="J20" s="462"/>
      <c r="K20" s="462"/>
      <c r="L20" s="461" t="s">
        <v>560</v>
      </c>
      <c r="M20" s="462"/>
      <c r="N20" s="462"/>
      <c r="O20" s="462"/>
      <c r="P20" s="461" t="s">
        <v>561</v>
      </c>
      <c r="Q20" s="462"/>
      <c r="R20" s="462"/>
      <c r="S20" s="462"/>
      <c r="T20" s="461" t="s">
        <v>562</v>
      </c>
      <c r="U20" s="462"/>
      <c r="V20" s="462"/>
      <c r="W20" s="462"/>
      <c r="X20" s="461" t="s">
        <v>563</v>
      </c>
      <c r="Y20" s="462"/>
      <c r="Z20" s="462"/>
      <c r="AA20" s="462"/>
      <c r="AB20" s="463" t="s">
        <v>188</v>
      </c>
      <c r="AC20" s="464"/>
      <c r="AD20" s="86"/>
      <c r="AE20" s="86"/>
      <c r="AF20" s="86"/>
    </row>
    <row r="21" spans="1:32" ht="99.75" customHeight="1" x14ac:dyDescent="0.25">
      <c r="A21" s="456"/>
      <c r="B21" s="456"/>
      <c r="C21" s="439"/>
      <c r="D21" s="439"/>
      <c r="E21" s="457"/>
      <c r="F21" s="457"/>
      <c r="G21" s="459"/>
      <c r="H21" s="467" t="s">
        <v>3</v>
      </c>
      <c r="I21" s="467"/>
      <c r="J21" s="467" t="s">
        <v>637</v>
      </c>
      <c r="K21" s="467"/>
      <c r="L21" s="467" t="s">
        <v>3</v>
      </c>
      <c r="M21" s="467"/>
      <c r="N21" s="467" t="s">
        <v>187</v>
      </c>
      <c r="O21" s="467"/>
      <c r="P21" s="467" t="s">
        <v>3</v>
      </c>
      <c r="Q21" s="467"/>
      <c r="R21" s="467" t="s">
        <v>187</v>
      </c>
      <c r="S21" s="467"/>
      <c r="T21" s="467" t="s">
        <v>3</v>
      </c>
      <c r="U21" s="467"/>
      <c r="V21" s="467" t="s">
        <v>187</v>
      </c>
      <c r="W21" s="467"/>
      <c r="X21" s="467" t="s">
        <v>3</v>
      </c>
      <c r="Y21" s="467"/>
      <c r="Z21" s="467" t="s">
        <v>187</v>
      </c>
      <c r="AA21" s="467"/>
      <c r="AB21" s="465"/>
      <c r="AC21" s="466"/>
    </row>
    <row r="22" spans="1:32" ht="89.25" customHeight="1" x14ac:dyDescent="0.25">
      <c r="A22" s="446"/>
      <c r="B22" s="446"/>
      <c r="C22" s="179" t="s">
        <v>3</v>
      </c>
      <c r="D22" s="333" t="s">
        <v>185</v>
      </c>
      <c r="E22" s="185" t="s">
        <v>564</v>
      </c>
      <c r="F22" s="85" t="s">
        <v>636</v>
      </c>
      <c r="G22" s="460"/>
      <c r="H22" s="186" t="s">
        <v>490</v>
      </c>
      <c r="I22" s="186" t="s">
        <v>491</v>
      </c>
      <c r="J22" s="186" t="s">
        <v>490</v>
      </c>
      <c r="K22" s="186" t="s">
        <v>491</v>
      </c>
      <c r="L22" s="186" t="s">
        <v>490</v>
      </c>
      <c r="M22" s="186" t="s">
        <v>491</v>
      </c>
      <c r="N22" s="186" t="s">
        <v>490</v>
      </c>
      <c r="O22" s="186" t="s">
        <v>491</v>
      </c>
      <c r="P22" s="186" t="s">
        <v>490</v>
      </c>
      <c r="Q22" s="186" t="s">
        <v>491</v>
      </c>
      <c r="R22" s="186" t="s">
        <v>490</v>
      </c>
      <c r="S22" s="186" t="s">
        <v>491</v>
      </c>
      <c r="T22" s="186" t="s">
        <v>490</v>
      </c>
      <c r="U22" s="186" t="s">
        <v>491</v>
      </c>
      <c r="V22" s="186" t="s">
        <v>490</v>
      </c>
      <c r="W22" s="186" t="s">
        <v>491</v>
      </c>
      <c r="X22" s="186" t="s">
        <v>490</v>
      </c>
      <c r="Y22" s="186" t="s">
        <v>491</v>
      </c>
      <c r="Z22" s="186" t="s">
        <v>490</v>
      </c>
      <c r="AA22" s="186" t="s">
        <v>491</v>
      </c>
      <c r="AB22" s="179" t="s">
        <v>186</v>
      </c>
      <c r="AC22" s="333" t="s">
        <v>185</v>
      </c>
    </row>
    <row r="23" spans="1:32" ht="19.5" customHeight="1" x14ac:dyDescent="0.25">
      <c r="A23" s="178">
        <v>1</v>
      </c>
      <c r="B23" s="178">
        <f>A23+1</f>
        <v>2</v>
      </c>
      <c r="C23" s="178">
        <f t="shared" ref="C23:AC23" si="0">B23+1</f>
        <v>3</v>
      </c>
      <c r="D23" s="332">
        <f t="shared" si="0"/>
        <v>4</v>
      </c>
      <c r="E23" s="178">
        <f t="shared" si="0"/>
        <v>5</v>
      </c>
      <c r="F23" s="178">
        <f t="shared" si="0"/>
        <v>6</v>
      </c>
      <c r="G23" s="178">
        <f t="shared" si="0"/>
        <v>7</v>
      </c>
      <c r="H23" s="178">
        <f t="shared" si="0"/>
        <v>8</v>
      </c>
      <c r="I23" s="178">
        <f t="shared" si="0"/>
        <v>9</v>
      </c>
      <c r="J23" s="178">
        <f t="shared" si="0"/>
        <v>10</v>
      </c>
      <c r="K23" s="178">
        <f t="shared" si="0"/>
        <v>11</v>
      </c>
      <c r="L23" s="178">
        <f t="shared" si="0"/>
        <v>12</v>
      </c>
      <c r="M23" s="178">
        <f t="shared" si="0"/>
        <v>13</v>
      </c>
      <c r="N23" s="178">
        <f t="shared" si="0"/>
        <v>14</v>
      </c>
      <c r="O23" s="178">
        <f t="shared" si="0"/>
        <v>15</v>
      </c>
      <c r="P23" s="178">
        <f t="shared" si="0"/>
        <v>16</v>
      </c>
      <c r="Q23" s="178">
        <f t="shared" si="0"/>
        <v>17</v>
      </c>
      <c r="R23" s="178">
        <f t="shared" si="0"/>
        <v>18</v>
      </c>
      <c r="S23" s="178">
        <f t="shared" si="0"/>
        <v>19</v>
      </c>
      <c r="T23" s="178">
        <f t="shared" si="0"/>
        <v>20</v>
      </c>
      <c r="U23" s="178">
        <f t="shared" si="0"/>
        <v>21</v>
      </c>
      <c r="V23" s="178">
        <f t="shared" si="0"/>
        <v>22</v>
      </c>
      <c r="W23" s="178">
        <f t="shared" si="0"/>
        <v>23</v>
      </c>
      <c r="X23" s="178">
        <f t="shared" si="0"/>
        <v>24</v>
      </c>
      <c r="Y23" s="178">
        <f t="shared" si="0"/>
        <v>25</v>
      </c>
      <c r="Z23" s="178">
        <f t="shared" si="0"/>
        <v>26</v>
      </c>
      <c r="AA23" s="178">
        <f t="shared" si="0"/>
        <v>27</v>
      </c>
      <c r="AB23" s="178">
        <f>AA23+1</f>
        <v>28</v>
      </c>
      <c r="AC23" s="332">
        <f t="shared" si="0"/>
        <v>29</v>
      </c>
    </row>
    <row r="24" spans="1:32" s="336" customFormat="1" ht="47.25" customHeight="1" x14ac:dyDescent="0.25">
      <c r="A24" s="83">
        <v>1</v>
      </c>
      <c r="B24" s="82" t="s">
        <v>184</v>
      </c>
      <c r="C24" s="368">
        <v>24.1747245710744</v>
      </c>
      <c r="D24" s="368">
        <v>0</v>
      </c>
      <c r="E24" s="368">
        <v>24.174724571074378</v>
      </c>
      <c r="F24" s="368">
        <v>24.174724571074378</v>
      </c>
      <c r="G24" s="368">
        <f t="shared" ref="G24" si="1">SUM(G25:G29)</f>
        <v>0</v>
      </c>
      <c r="H24" s="368">
        <v>1.4114508809328348</v>
      </c>
      <c r="I24" s="368">
        <v>0</v>
      </c>
      <c r="J24" s="368">
        <v>0.7</v>
      </c>
      <c r="K24" s="368">
        <v>0</v>
      </c>
      <c r="L24" s="368">
        <v>21.937273690141545</v>
      </c>
      <c r="M24" s="368">
        <v>0</v>
      </c>
      <c r="N24" s="368">
        <v>0</v>
      </c>
      <c r="O24" s="368">
        <v>0</v>
      </c>
      <c r="P24" s="368">
        <v>0</v>
      </c>
      <c r="Q24" s="368">
        <v>0</v>
      </c>
      <c r="R24" s="368">
        <v>0</v>
      </c>
      <c r="S24" s="368">
        <v>0</v>
      </c>
      <c r="T24" s="368">
        <v>0</v>
      </c>
      <c r="U24" s="368">
        <v>0</v>
      </c>
      <c r="V24" s="368">
        <v>0</v>
      </c>
      <c r="W24" s="368">
        <v>0</v>
      </c>
      <c r="X24" s="368">
        <v>0</v>
      </c>
      <c r="Y24" s="368">
        <v>0</v>
      </c>
      <c r="Z24" s="368">
        <v>0</v>
      </c>
      <c r="AA24" s="368">
        <v>0</v>
      </c>
      <c r="AB24" s="368">
        <f>H24+L24+P24+T24+X24</f>
        <v>23.348724571074381</v>
      </c>
      <c r="AC24" s="368">
        <v>0</v>
      </c>
    </row>
    <row r="25" spans="1:32" ht="24" customHeight="1" x14ac:dyDescent="0.25">
      <c r="A25" s="80" t="s">
        <v>183</v>
      </c>
      <c r="B25" s="56" t="s">
        <v>182</v>
      </c>
      <c r="C25" s="369">
        <v>0</v>
      </c>
      <c r="D25" s="368">
        <v>0</v>
      </c>
      <c r="E25" s="370">
        <v>0</v>
      </c>
      <c r="F25" s="370">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68">
        <f t="shared" ref="AB25:AB64" si="2">H25+L25+P25+T25+X25</f>
        <v>0</v>
      </c>
      <c r="AC25" s="368">
        <v>0</v>
      </c>
    </row>
    <row r="26" spans="1:32" x14ac:dyDescent="0.25">
      <c r="A26" s="80" t="s">
        <v>181</v>
      </c>
      <c r="B26" s="56" t="s">
        <v>180</v>
      </c>
      <c r="C26" s="369">
        <v>0</v>
      </c>
      <c r="D26" s="368">
        <v>0</v>
      </c>
      <c r="E26" s="370">
        <v>0</v>
      </c>
      <c r="F26" s="370">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68">
        <f t="shared" si="2"/>
        <v>0</v>
      </c>
      <c r="AC26" s="368">
        <v>0</v>
      </c>
    </row>
    <row r="27" spans="1:32" ht="31.5" x14ac:dyDescent="0.25">
      <c r="A27" s="80" t="s">
        <v>179</v>
      </c>
      <c r="B27" s="56" t="s">
        <v>446</v>
      </c>
      <c r="C27" s="369">
        <v>0</v>
      </c>
      <c r="D27" s="368">
        <v>0</v>
      </c>
      <c r="E27" s="370">
        <v>0</v>
      </c>
      <c r="F27" s="370">
        <v>0</v>
      </c>
      <c r="G27" s="369">
        <v>0</v>
      </c>
      <c r="H27" s="369">
        <v>0</v>
      </c>
      <c r="I27" s="369">
        <v>0</v>
      </c>
      <c r="J27" s="369">
        <v>0</v>
      </c>
      <c r="K27" s="369">
        <v>0</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68">
        <f t="shared" si="2"/>
        <v>0</v>
      </c>
      <c r="AC27" s="368">
        <v>0</v>
      </c>
    </row>
    <row r="28" spans="1:32" x14ac:dyDescent="0.25">
      <c r="A28" s="80" t="s">
        <v>178</v>
      </c>
      <c r="B28" s="56" t="s">
        <v>565</v>
      </c>
      <c r="C28" s="369">
        <v>20.487054721249478</v>
      </c>
      <c r="D28" s="368">
        <v>0</v>
      </c>
      <c r="E28" s="370">
        <v>20.4870547212495</v>
      </c>
      <c r="F28" s="370">
        <v>20.4870547212495</v>
      </c>
      <c r="G28" s="369">
        <v>0</v>
      </c>
      <c r="H28" s="369">
        <v>1.1961448143498601</v>
      </c>
      <c r="I28" s="369">
        <v>0</v>
      </c>
      <c r="J28" s="369">
        <v>0.7</v>
      </c>
      <c r="K28" s="369">
        <v>0</v>
      </c>
      <c r="L28" s="369">
        <v>18.590909906899615</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68">
        <f t="shared" si="2"/>
        <v>19.787054721249476</v>
      </c>
      <c r="AC28" s="368">
        <v>0</v>
      </c>
    </row>
    <row r="29" spans="1:32" x14ac:dyDescent="0.25">
      <c r="A29" s="80" t="s">
        <v>177</v>
      </c>
      <c r="B29" s="84" t="s">
        <v>176</v>
      </c>
      <c r="C29" s="369">
        <v>3.6876698498249212</v>
      </c>
      <c r="D29" s="368">
        <v>0</v>
      </c>
      <c r="E29" s="370">
        <v>3.6876698498249212</v>
      </c>
      <c r="F29" s="370">
        <v>3.6876698498249212</v>
      </c>
      <c r="G29" s="369">
        <v>0</v>
      </c>
      <c r="H29" s="369">
        <v>0.21530606658297469</v>
      </c>
      <c r="I29" s="369">
        <v>0</v>
      </c>
      <c r="J29" s="369">
        <v>0</v>
      </c>
      <c r="K29" s="369">
        <v>0</v>
      </c>
      <c r="L29" s="369">
        <v>3.3463637832419302</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68">
        <f t="shared" si="2"/>
        <v>3.5616698498249049</v>
      </c>
      <c r="AC29" s="368">
        <v>0</v>
      </c>
    </row>
    <row r="30" spans="1:32" s="336" customFormat="1" ht="47.25" x14ac:dyDescent="0.25">
      <c r="A30" s="83" t="s">
        <v>64</v>
      </c>
      <c r="B30" s="82" t="s">
        <v>175</v>
      </c>
      <c r="C30" s="368">
        <v>20.487054721249478</v>
      </c>
      <c r="D30" s="368">
        <v>0</v>
      </c>
      <c r="E30" s="371">
        <v>19.7870547212495</v>
      </c>
      <c r="F30" s="368">
        <v>19.7870547212495</v>
      </c>
      <c r="G30" s="368">
        <f t="shared" ref="G30" si="3">SUM(G31:G34)</f>
        <v>0</v>
      </c>
      <c r="H30" s="368">
        <v>19.7870547212495</v>
      </c>
      <c r="I30" s="368">
        <v>0</v>
      </c>
      <c r="J30" s="368">
        <v>0</v>
      </c>
      <c r="K30" s="368">
        <v>0</v>
      </c>
      <c r="L30" s="368">
        <v>0</v>
      </c>
      <c r="M30" s="368">
        <v>0</v>
      </c>
      <c r="N30" s="368">
        <v>0</v>
      </c>
      <c r="O30" s="368">
        <v>0</v>
      </c>
      <c r="P30" s="368">
        <v>0</v>
      </c>
      <c r="Q30" s="368">
        <v>0</v>
      </c>
      <c r="R30" s="368">
        <v>0</v>
      </c>
      <c r="S30" s="368">
        <v>0</v>
      </c>
      <c r="T30" s="368">
        <v>0</v>
      </c>
      <c r="U30" s="368">
        <v>0</v>
      </c>
      <c r="V30" s="368">
        <v>0</v>
      </c>
      <c r="W30" s="368">
        <v>0</v>
      </c>
      <c r="X30" s="368">
        <v>0</v>
      </c>
      <c r="Y30" s="368">
        <v>0</v>
      </c>
      <c r="Z30" s="368">
        <v>0</v>
      </c>
      <c r="AA30" s="368">
        <v>0</v>
      </c>
      <c r="AB30" s="368">
        <f t="shared" si="2"/>
        <v>19.7870547212495</v>
      </c>
      <c r="AC30" s="368">
        <v>0</v>
      </c>
    </row>
    <row r="31" spans="1:32" x14ac:dyDescent="0.25">
      <c r="A31" s="80" t="s">
        <v>174</v>
      </c>
      <c r="B31" s="56" t="s">
        <v>173</v>
      </c>
      <c r="C31" s="369">
        <v>0.7</v>
      </c>
      <c r="D31" s="368">
        <v>0</v>
      </c>
      <c r="E31" s="369">
        <v>0</v>
      </c>
      <c r="F31" s="369">
        <v>0</v>
      </c>
      <c r="G31" s="369">
        <v>0</v>
      </c>
      <c r="H31" s="369">
        <v>0</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68">
        <f t="shared" si="2"/>
        <v>0</v>
      </c>
      <c r="AC31" s="371">
        <v>0</v>
      </c>
    </row>
    <row r="32" spans="1:32" ht="31.5" x14ac:dyDescent="0.25">
      <c r="A32" s="80" t="s">
        <v>172</v>
      </c>
      <c r="B32" s="56" t="s">
        <v>171</v>
      </c>
      <c r="C32" s="369">
        <v>15.66134557791352</v>
      </c>
      <c r="D32" s="368">
        <v>0</v>
      </c>
      <c r="E32" s="369">
        <v>15.66134557791352</v>
      </c>
      <c r="F32" s="369">
        <v>15.66134557791352</v>
      </c>
      <c r="G32" s="369">
        <v>0</v>
      </c>
      <c r="H32" s="369">
        <v>15.66134557791352</v>
      </c>
      <c r="I32" s="369">
        <v>0</v>
      </c>
      <c r="J32" s="369">
        <v>0</v>
      </c>
      <c r="K32" s="369">
        <v>0</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68">
        <f t="shared" si="2"/>
        <v>15.66134557791352</v>
      </c>
      <c r="AC32" s="371">
        <v>0</v>
      </c>
    </row>
    <row r="33" spans="1:29" x14ac:dyDescent="0.25">
      <c r="A33" s="80" t="s">
        <v>170</v>
      </c>
      <c r="B33" s="56" t="s">
        <v>169</v>
      </c>
      <c r="C33" s="369">
        <v>2.9295643289860926</v>
      </c>
      <c r="D33" s="368">
        <v>0</v>
      </c>
      <c r="E33" s="369">
        <v>2.9295643289860926</v>
      </c>
      <c r="F33" s="369">
        <v>2.9295643289860926</v>
      </c>
      <c r="G33" s="369">
        <v>0</v>
      </c>
      <c r="H33" s="369">
        <v>2.9295643289860926</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68">
        <f t="shared" si="2"/>
        <v>2.9295643289860926</v>
      </c>
      <c r="AC33" s="371">
        <v>0</v>
      </c>
    </row>
    <row r="34" spans="1:29" x14ac:dyDescent="0.25">
      <c r="A34" s="80" t="s">
        <v>168</v>
      </c>
      <c r="B34" s="56" t="s">
        <v>167</v>
      </c>
      <c r="C34" s="369">
        <v>1.1961448143498625</v>
      </c>
      <c r="D34" s="368">
        <v>0</v>
      </c>
      <c r="E34" s="369">
        <v>1.1961448143498625</v>
      </c>
      <c r="F34" s="369">
        <v>1.1961448143498625</v>
      </c>
      <c r="G34" s="369">
        <v>0</v>
      </c>
      <c r="H34" s="369">
        <v>1.1961448143498625</v>
      </c>
      <c r="I34" s="369">
        <v>0</v>
      </c>
      <c r="J34" s="369">
        <v>0</v>
      </c>
      <c r="K34" s="369">
        <v>0</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68">
        <f t="shared" si="2"/>
        <v>1.1961448143498625</v>
      </c>
      <c r="AC34" s="371">
        <v>0</v>
      </c>
    </row>
    <row r="35" spans="1:29" s="336" customFormat="1" ht="31.5" x14ac:dyDescent="0.25">
      <c r="A35" s="83" t="s">
        <v>63</v>
      </c>
      <c r="B35" s="82" t="s">
        <v>166</v>
      </c>
      <c r="C35" s="368">
        <v>0</v>
      </c>
      <c r="D35" s="368">
        <v>0</v>
      </c>
      <c r="E35" s="368">
        <v>0</v>
      </c>
      <c r="F35" s="368">
        <v>0</v>
      </c>
      <c r="G35" s="368">
        <v>0</v>
      </c>
      <c r="H35" s="368">
        <v>0</v>
      </c>
      <c r="I35" s="368">
        <v>0</v>
      </c>
      <c r="J35" s="368">
        <v>0</v>
      </c>
      <c r="K35" s="368">
        <v>0</v>
      </c>
      <c r="L35" s="368">
        <v>0</v>
      </c>
      <c r="M35" s="368">
        <v>0</v>
      </c>
      <c r="N35" s="368">
        <v>0</v>
      </c>
      <c r="O35" s="368">
        <v>0</v>
      </c>
      <c r="P35" s="368">
        <v>0</v>
      </c>
      <c r="Q35" s="368">
        <v>0</v>
      </c>
      <c r="R35" s="368">
        <v>0</v>
      </c>
      <c r="S35" s="368">
        <v>0</v>
      </c>
      <c r="T35" s="368">
        <v>0</v>
      </c>
      <c r="U35" s="368">
        <v>0</v>
      </c>
      <c r="V35" s="368">
        <v>0</v>
      </c>
      <c r="W35" s="368">
        <v>0</v>
      </c>
      <c r="X35" s="368">
        <v>0</v>
      </c>
      <c r="Y35" s="368">
        <v>0</v>
      </c>
      <c r="Z35" s="368">
        <v>0</v>
      </c>
      <c r="AA35" s="368">
        <v>0</v>
      </c>
      <c r="AB35" s="368">
        <f t="shared" si="2"/>
        <v>0</v>
      </c>
      <c r="AC35" s="371">
        <v>0</v>
      </c>
    </row>
    <row r="36" spans="1:29" ht="31.5" x14ac:dyDescent="0.25">
      <c r="A36" s="80" t="s">
        <v>165</v>
      </c>
      <c r="B36" s="79" t="s">
        <v>164</v>
      </c>
      <c r="C36" s="372">
        <v>0</v>
      </c>
      <c r="D36" s="368">
        <v>0</v>
      </c>
      <c r="E36" s="369">
        <v>0</v>
      </c>
      <c r="F36" s="36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68">
        <f t="shared" si="2"/>
        <v>0</v>
      </c>
      <c r="AC36" s="368">
        <v>0</v>
      </c>
    </row>
    <row r="37" spans="1:29" x14ac:dyDescent="0.25">
      <c r="A37" s="80" t="s">
        <v>163</v>
      </c>
      <c r="B37" s="79" t="s">
        <v>153</v>
      </c>
      <c r="C37" s="372">
        <v>0.8</v>
      </c>
      <c r="D37" s="368">
        <v>0</v>
      </c>
      <c r="E37" s="369">
        <v>0.8</v>
      </c>
      <c r="F37" s="369">
        <v>0.8</v>
      </c>
      <c r="G37" s="369">
        <v>0</v>
      </c>
      <c r="H37" s="369">
        <v>0.8</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68">
        <f t="shared" si="2"/>
        <v>0.8</v>
      </c>
      <c r="AC37" s="368">
        <v>0</v>
      </c>
    </row>
    <row r="38" spans="1:29" x14ac:dyDescent="0.25">
      <c r="A38" s="80" t="s">
        <v>162</v>
      </c>
      <c r="B38" s="79" t="s">
        <v>151</v>
      </c>
      <c r="C38" s="372">
        <v>0</v>
      </c>
      <c r="D38" s="368">
        <v>0</v>
      </c>
      <c r="E38" s="369">
        <v>0</v>
      </c>
      <c r="F38" s="36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68">
        <f t="shared" si="2"/>
        <v>0</v>
      </c>
      <c r="AC38" s="368">
        <v>0</v>
      </c>
    </row>
    <row r="39" spans="1:29" ht="31.5" x14ac:dyDescent="0.25">
      <c r="A39" s="80" t="s">
        <v>161</v>
      </c>
      <c r="B39" s="56" t="s">
        <v>149</v>
      </c>
      <c r="C39" s="369">
        <v>0</v>
      </c>
      <c r="D39" s="368">
        <v>0</v>
      </c>
      <c r="E39" s="369">
        <v>0</v>
      </c>
      <c r="F39" s="36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68">
        <f t="shared" si="2"/>
        <v>0</v>
      </c>
      <c r="AC39" s="368">
        <v>0</v>
      </c>
    </row>
    <row r="40" spans="1:29" ht="31.5" x14ac:dyDescent="0.25">
      <c r="A40" s="80" t="s">
        <v>160</v>
      </c>
      <c r="B40" s="56" t="s">
        <v>147</v>
      </c>
      <c r="C40" s="369">
        <v>0</v>
      </c>
      <c r="D40" s="368">
        <v>0</v>
      </c>
      <c r="E40" s="369">
        <v>0</v>
      </c>
      <c r="F40" s="36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68">
        <f t="shared" si="2"/>
        <v>0</v>
      </c>
      <c r="AC40" s="368">
        <v>0</v>
      </c>
    </row>
    <row r="41" spans="1:29" x14ac:dyDescent="0.25">
      <c r="A41" s="80" t="s">
        <v>159</v>
      </c>
      <c r="B41" s="56" t="s">
        <v>145</v>
      </c>
      <c r="C41" s="369">
        <v>4.1580000000000004</v>
      </c>
      <c r="D41" s="368">
        <v>0</v>
      </c>
      <c r="E41" s="369">
        <v>4.1580000000000004</v>
      </c>
      <c r="F41" s="369">
        <v>4.1580000000000004</v>
      </c>
      <c r="G41" s="369">
        <v>0</v>
      </c>
      <c r="H41" s="369">
        <v>4.1580000000000004</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68">
        <f t="shared" si="2"/>
        <v>4.1580000000000004</v>
      </c>
      <c r="AC41" s="368">
        <v>0</v>
      </c>
    </row>
    <row r="42" spans="1:29" ht="18.75" x14ac:dyDescent="0.25">
      <c r="A42" s="80" t="s">
        <v>158</v>
      </c>
      <c r="B42" s="79" t="s">
        <v>143</v>
      </c>
      <c r="C42" s="372">
        <v>0</v>
      </c>
      <c r="D42" s="368">
        <v>0</v>
      </c>
      <c r="E42" s="369">
        <v>0</v>
      </c>
      <c r="F42" s="36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68">
        <f t="shared" si="2"/>
        <v>0</v>
      </c>
      <c r="AC42" s="368">
        <v>0</v>
      </c>
    </row>
    <row r="43" spans="1:29" s="336" customFormat="1" x14ac:dyDescent="0.25">
      <c r="A43" s="83" t="s">
        <v>62</v>
      </c>
      <c r="B43" s="82" t="s">
        <v>157</v>
      </c>
      <c r="C43" s="368">
        <v>0</v>
      </c>
      <c r="D43" s="368">
        <v>0</v>
      </c>
      <c r="E43" s="368">
        <v>0</v>
      </c>
      <c r="F43" s="368">
        <v>0</v>
      </c>
      <c r="G43" s="368">
        <v>0</v>
      </c>
      <c r="H43" s="368">
        <v>0</v>
      </c>
      <c r="I43" s="368">
        <v>0</v>
      </c>
      <c r="J43" s="368">
        <v>0</v>
      </c>
      <c r="K43" s="368">
        <v>0</v>
      </c>
      <c r="L43" s="368">
        <v>0</v>
      </c>
      <c r="M43" s="368">
        <v>0</v>
      </c>
      <c r="N43" s="368">
        <v>0</v>
      </c>
      <c r="O43" s="368">
        <v>0</v>
      </c>
      <c r="P43" s="368">
        <v>0</v>
      </c>
      <c r="Q43" s="368">
        <v>0</v>
      </c>
      <c r="R43" s="368">
        <v>0</v>
      </c>
      <c r="S43" s="368">
        <v>0</v>
      </c>
      <c r="T43" s="368">
        <v>0</v>
      </c>
      <c r="U43" s="368">
        <v>0</v>
      </c>
      <c r="V43" s="368">
        <v>0</v>
      </c>
      <c r="W43" s="368">
        <v>0</v>
      </c>
      <c r="X43" s="368">
        <v>0</v>
      </c>
      <c r="Y43" s="368">
        <v>0</v>
      </c>
      <c r="Z43" s="368">
        <v>0</v>
      </c>
      <c r="AA43" s="368">
        <v>0</v>
      </c>
      <c r="AB43" s="368">
        <f t="shared" si="2"/>
        <v>0</v>
      </c>
      <c r="AC43" s="371">
        <v>0</v>
      </c>
    </row>
    <row r="44" spans="1:29" x14ac:dyDescent="0.25">
      <c r="A44" s="80" t="s">
        <v>156</v>
      </c>
      <c r="B44" s="56" t="s">
        <v>155</v>
      </c>
      <c r="C44" s="369">
        <v>0</v>
      </c>
      <c r="D44" s="368">
        <v>0</v>
      </c>
      <c r="E44" s="369">
        <v>0</v>
      </c>
      <c r="F44" s="36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68">
        <f t="shared" si="2"/>
        <v>0</v>
      </c>
      <c r="AC44" s="368">
        <v>0</v>
      </c>
    </row>
    <row r="45" spans="1:29" x14ac:dyDescent="0.25">
      <c r="A45" s="80" t="s">
        <v>154</v>
      </c>
      <c r="B45" s="56" t="s">
        <v>153</v>
      </c>
      <c r="C45" s="369">
        <v>0.8</v>
      </c>
      <c r="D45" s="368">
        <v>0</v>
      </c>
      <c r="E45" s="369">
        <v>0.8</v>
      </c>
      <c r="F45" s="369">
        <v>0.8</v>
      </c>
      <c r="G45" s="369">
        <v>0</v>
      </c>
      <c r="H45" s="369">
        <v>0.8</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68">
        <f t="shared" si="2"/>
        <v>0.8</v>
      </c>
      <c r="AC45" s="368">
        <v>0</v>
      </c>
    </row>
    <row r="46" spans="1:29" x14ac:dyDescent="0.25">
      <c r="A46" s="80" t="s">
        <v>152</v>
      </c>
      <c r="B46" s="56" t="s">
        <v>151</v>
      </c>
      <c r="C46" s="369">
        <v>0</v>
      </c>
      <c r="D46" s="368">
        <v>0</v>
      </c>
      <c r="E46" s="369">
        <v>0</v>
      </c>
      <c r="F46" s="36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68">
        <f t="shared" si="2"/>
        <v>0</v>
      </c>
      <c r="AC46" s="368">
        <v>0</v>
      </c>
    </row>
    <row r="47" spans="1:29" ht="31.5" x14ac:dyDescent="0.25">
      <c r="A47" s="80" t="s">
        <v>150</v>
      </c>
      <c r="B47" s="56" t="s">
        <v>149</v>
      </c>
      <c r="C47" s="369">
        <v>0</v>
      </c>
      <c r="D47" s="368">
        <v>0</v>
      </c>
      <c r="E47" s="369">
        <v>0</v>
      </c>
      <c r="F47" s="36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68">
        <f t="shared" si="2"/>
        <v>0</v>
      </c>
      <c r="AC47" s="368">
        <v>0</v>
      </c>
    </row>
    <row r="48" spans="1:29" ht="31.5" x14ac:dyDescent="0.25">
      <c r="A48" s="80" t="s">
        <v>148</v>
      </c>
      <c r="B48" s="56" t="s">
        <v>147</v>
      </c>
      <c r="C48" s="369">
        <v>0</v>
      </c>
      <c r="D48" s="368">
        <v>0</v>
      </c>
      <c r="E48" s="369">
        <v>0</v>
      </c>
      <c r="F48" s="36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68">
        <f t="shared" si="2"/>
        <v>0</v>
      </c>
      <c r="AC48" s="368">
        <v>0</v>
      </c>
    </row>
    <row r="49" spans="1:29" x14ac:dyDescent="0.25">
      <c r="A49" s="80" t="s">
        <v>146</v>
      </c>
      <c r="B49" s="56" t="s">
        <v>145</v>
      </c>
      <c r="C49" s="369">
        <v>4.1580000000000004</v>
      </c>
      <c r="D49" s="368">
        <v>0</v>
      </c>
      <c r="E49" s="369">
        <v>4.1580000000000004</v>
      </c>
      <c r="F49" s="369">
        <v>4.1580000000000004</v>
      </c>
      <c r="G49" s="369">
        <v>0</v>
      </c>
      <c r="H49" s="369">
        <v>4.1580000000000004</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68">
        <f t="shared" si="2"/>
        <v>4.1580000000000004</v>
      </c>
      <c r="AC49" s="368">
        <v>0</v>
      </c>
    </row>
    <row r="50" spans="1:29" ht="18.75" x14ac:dyDescent="0.25">
      <c r="A50" s="80" t="s">
        <v>144</v>
      </c>
      <c r="B50" s="79" t="s">
        <v>143</v>
      </c>
      <c r="C50" s="372">
        <v>0</v>
      </c>
      <c r="D50" s="368">
        <v>0</v>
      </c>
      <c r="E50" s="369">
        <v>0</v>
      </c>
      <c r="F50" s="36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68">
        <f t="shared" si="2"/>
        <v>0</v>
      </c>
      <c r="AC50" s="368">
        <v>0</v>
      </c>
    </row>
    <row r="51" spans="1:29" s="336" customFormat="1" ht="35.25" customHeight="1" x14ac:dyDescent="0.25">
      <c r="A51" s="83" t="s">
        <v>60</v>
      </c>
      <c r="B51" s="82" t="s">
        <v>142</v>
      </c>
      <c r="C51" s="368">
        <v>0</v>
      </c>
      <c r="D51" s="368">
        <v>0</v>
      </c>
      <c r="E51" s="368">
        <v>0</v>
      </c>
      <c r="F51" s="368">
        <v>0</v>
      </c>
      <c r="G51" s="368">
        <v>0</v>
      </c>
      <c r="H51" s="368">
        <v>0</v>
      </c>
      <c r="I51" s="368">
        <v>0</v>
      </c>
      <c r="J51" s="368">
        <v>0</v>
      </c>
      <c r="K51" s="368">
        <v>0</v>
      </c>
      <c r="L51" s="368">
        <v>0</v>
      </c>
      <c r="M51" s="368">
        <v>0</v>
      </c>
      <c r="N51" s="368">
        <v>0</v>
      </c>
      <c r="O51" s="368">
        <v>0</v>
      </c>
      <c r="P51" s="368">
        <v>0</v>
      </c>
      <c r="Q51" s="368">
        <v>0</v>
      </c>
      <c r="R51" s="368">
        <v>0</v>
      </c>
      <c r="S51" s="368">
        <v>0</v>
      </c>
      <c r="T51" s="368">
        <v>0</v>
      </c>
      <c r="U51" s="368">
        <v>0</v>
      </c>
      <c r="V51" s="368">
        <v>0</v>
      </c>
      <c r="W51" s="368">
        <v>0</v>
      </c>
      <c r="X51" s="368">
        <v>0</v>
      </c>
      <c r="Y51" s="368">
        <v>0</v>
      </c>
      <c r="Z51" s="368">
        <v>0</v>
      </c>
      <c r="AA51" s="368">
        <v>0</v>
      </c>
      <c r="AB51" s="368">
        <f t="shared" si="2"/>
        <v>0</v>
      </c>
      <c r="AC51" s="371">
        <v>0</v>
      </c>
    </row>
    <row r="52" spans="1:29" x14ac:dyDescent="0.25">
      <c r="A52" s="80" t="s">
        <v>141</v>
      </c>
      <c r="B52" s="56" t="s">
        <v>140</v>
      </c>
      <c r="C52" s="369">
        <v>20.487054721249478</v>
      </c>
      <c r="D52" s="368">
        <v>0</v>
      </c>
      <c r="E52" s="369">
        <v>20.487054721249478</v>
      </c>
      <c r="F52" s="369">
        <v>20.487054721249478</v>
      </c>
      <c r="G52" s="369">
        <v>0</v>
      </c>
      <c r="H52" s="369">
        <v>20.487054721249478</v>
      </c>
      <c r="I52" s="369">
        <v>0</v>
      </c>
      <c r="J52" s="369">
        <v>0</v>
      </c>
      <c r="K52" s="369">
        <v>0</v>
      </c>
      <c r="L52" s="369">
        <v>0</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68">
        <f t="shared" si="2"/>
        <v>20.487054721249478</v>
      </c>
      <c r="AC52" s="368">
        <v>0</v>
      </c>
    </row>
    <row r="53" spans="1:29" x14ac:dyDescent="0.25">
      <c r="A53" s="80" t="s">
        <v>139</v>
      </c>
      <c r="B53" s="56" t="s">
        <v>133</v>
      </c>
      <c r="C53" s="369">
        <v>0</v>
      </c>
      <c r="D53" s="368">
        <v>0</v>
      </c>
      <c r="E53" s="369">
        <v>0</v>
      </c>
      <c r="F53" s="36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68">
        <f t="shared" si="2"/>
        <v>0</v>
      </c>
      <c r="AC53" s="368">
        <v>0</v>
      </c>
    </row>
    <row r="54" spans="1:29" x14ac:dyDescent="0.25">
      <c r="A54" s="80" t="s">
        <v>138</v>
      </c>
      <c r="B54" s="79" t="s">
        <v>132</v>
      </c>
      <c r="C54" s="372">
        <v>0.8</v>
      </c>
      <c r="D54" s="368">
        <v>0</v>
      </c>
      <c r="E54" s="372">
        <v>0.8</v>
      </c>
      <c r="F54" s="372">
        <v>0.8</v>
      </c>
      <c r="G54" s="369">
        <v>0</v>
      </c>
      <c r="H54" s="372">
        <v>0.8</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68">
        <f t="shared" si="2"/>
        <v>0.8</v>
      </c>
      <c r="AC54" s="368">
        <v>0</v>
      </c>
    </row>
    <row r="55" spans="1:29" x14ac:dyDescent="0.25">
      <c r="A55" s="80" t="s">
        <v>137</v>
      </c>
      <c r="B55" s="79" t="s">
        <v>131</v>
      </c>
      <c r="C55" s="372">
        <v>0</v>
      </c>
      <c r="D55" s="368">
        <v>0</v>
      </c>
      <c r="E55" s="372">
        <v>0</v>
      </c>
      <c r="F55" s="372">
        <v>0</v>
      </c>
      <c r="G55" s="369">
        <v>0</v>
      </c>
      <c r="H55" s="372">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68">
        <f t="shared" si="2"/>
        <v>0</v>
      </c>
      <c r="AC55" s="368">
        <v>0</v>
      </c>
    </row>
    <row r="56" spans="1:29" x14ac:dyDescent="0.25">
      <c r="A56" s="80" t="s">
        <v>136</v>
      </c>
      <c r="B56" s="79" t="s">
        <v>130</v>
      </c>
      <c r="C56" s="372">
        <v>4.1580000000000004</v>
      </c>
      <c r="D56" s="368">
        <v>0</v>
      </c>
      <c r="E56" s="372">
        <v>4.1580000000000004</v>
      </c>
      <c r="F56" s="372">
        <v>4.1580000000000004</v>
      </c>
      <c r="G56" s="369">
        <v>0</v>
      </c>
      <c r="H56" s="372">
        <v>4.1580000000000004</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68">
        <f t="shared" si="2"/>
        <v>4.1580000000000004</v>
      </c>
      <c r="AC56" s="368">
        <v>0</v>
      </c>
    </row>
    <row r="57" spans="1:29" ht="18.75" x14ac:dyDescent="0.25">
      <c r="A57" s="80" t="s">
        <v>135</v>
      </c>
      <c r="B57" s="79" t="s">
        <v>129</v>
      </c>
      <c r="C57" s="372">
        <v>0</v>
      </c>
      <c r="D57" s="368">
        <v>0</v>
      </c>
      <c r="E57" s="369">
        <v>0</v>
      </c>
      <c r="F57" s="36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68">
        <f t="shared" si="2"/>
        <v>0</v>
      </c>
      <c r="AC57" s="368">
        <v>0</v>
      </c>
    </row>
    <row r="58" spans="1:29" s="336" customFormat="1" ht="36.75" customHeight="1" x14ac:dyDescent="0.25">
      <c r="A58" s="83" t="s">
        <v>59</v>
      </c>
      <c r="B58" s="101" t="s">
        <v>234</v>
      </c>
      <c r="C58" s="373">
        <v>0</v>
      </c>
      <c r="D58" s="368">
        <v>0</v>
      </c>
      <c r="E58" s="368">
        <v>0</v>
      </c>
      <c r="F58" s="368">
        <v>0</v>
      </c>
      <c r="G58" s="368">
        <v>0</v>
      </c>
      <c r="H58" s="368">
        <v>0</v>
      </c>
      <c r="I58" s="368">
        <v>0</v>
      </c>
      <c r="J58" s="368">
        <v>0</v>
      </c>
      <c r="K58" s="368">
        <v>0</v>
      </c>
      <c r="L58" s="368">
        <v>0</v>
      </c>
      <c r="M58" s="368">
        <v>0</v>
      </c>
      <c r="N58" s="368">
        <v>0</v>
      </c>
      <c r="O58" s="368">
        <v>0</v>
      </c>
      <c r="P58" s="368">
        <v>0</v>
      </c>
      <c r="Q58" s="368">
        <v>0</v>
      </c>
      <c r="R58" s="368">
        <v>0</v>
      </c>
      <c r="S58" s="368">
        <v>0</v>
      </c>
      <c r="T58" s="368">
        <v>0</v>
      </c>
      <c r="U58" s="368">
        <v>0</v>
      </c>
      <c r="V58" s="368">
        <v>0</v>
      </c>
      <c r="W58" s="368">
        <v>0</v>
      </c>
      <c r="X58" s="368">
        <v>0</v>
      </c>
      <c r="Y58" s="368">
        <v>0</v>
      </c>
      <c r="Z58" s="368">
        <v>0</v>
      </c>
      <c r="AA58" s="368">
        <v>0</v>
      </c>
      <c r="AB58" s="368">
        <f t="shared" si="2"/>
        <v>0</v>
      </c>
      <c r="AC58" s="371">
        <v>0</v>
      </c>
    </row>
    <row r="59" spans="1:29" s="336" customFormat="1" x14ac:dyDescent="0.25">
      <c r="A59" s="83" t="s">
        <v>57</v>
      </c>
      <c r="B59" s="82" t="s">
        <v>134</v>
      </c>
      <c r="C59" s="368">
        <v>0</v>
      </c>
      <c r="D59" s="368">
        <v>0</v>
      </c>
      <c r="E59" s="368">
        <v>0</v>
      </c>
      <c r="F59" s="368">
        <v>0</v>
      </c>
      <c r="G59" s="368">
        <v>0</v>
      </c>
      <c r="H59" s="368">
        <v>0</v>
      </c>
      <c r="I59" s="368">
        <v>0</v>
      </c>
      <c r="J59" s="368">
        <v>0</v>
      </c>
      <c r="K59" s="368">
        <v>0</v>
      </c>
      <c r="L59" s="368">
        <v>0</v>
      </c>
      <c r="M59" s="368">
        <v>0</v>
      </c>
      <c r="N59" s="368">
        <v>0</v>
      </c>
      <c r="O59" s="368">
        <v>0</v>
      </c>
      <c r="P59" s="368">
        <v>0</v>
      </c>
      <c r="Q59" s="368">
        <v>0</v>
      </c>
      <c r="R59" s="368">
        <v>0</v>
      </c>
      <c r="S59" s="368">
        <v>0</v>
      </c>
      <c r="T59" s="368">
        <v>0</v>
      </c>
      <c r="U59" s="368">
        <v>0</v>
      </c>
      <c r="V59" s="368">
        <v>0</v>
      </c>
      <c r="W59" s="368">
        <v>0</v>
      </c>
      <c r="X59" s="368">
        <v>0</v>
      </c>
      <c r="Y59" s="368">
        <v>0</v>
      </c>
      <c r="Z59" s="368">
        <v>0</v>
      </c>
      <c r="AA59" s="368">
        <v>0</v>
      </c>
      <c r="AB59" s="368">
        <f t="shared" si="2"/>
        <v>0</v>
      </c>
      <c r="AC59" s="371">
        <v>0</v>
      </c>
    </row>
    <row r="60" spans="1:29" x14ac:dyDescent="0.25">
      <c r="A60" s="80" t="s">
        <v>228</v>
      </c>
      <c r="B60" s="81" t="s">
        <v>155</v>
      </c>
      <c r="C60" s="374">
        <v>0</v>
      </c>
      <c r="D60" s="368">
        <v>0</v>
      </c>
      <c r="E60" s="369">
        <v>0</v>
      </c>
      <c r="F60" s="36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68">
        <f t="shared" si="2"/>
        <v>0</v>
      </c>
      <c r="AC60" s="368">
        <v>0</v>
      </c>
    </row>
    <row r="61" spans="1:29" x14ac:dyDescent="0.25">
      <c r="A61" s="80" t="s">
        <v>229</v>
      </c>
      <c r="B61" s="81" t="s">
        <v>153</v>
      </c>
      <c r="C61" s="374">
        <v>0</v>
      </c>
      <c r="D61" s="368">
        <v>0</v>
      </c>
      <c r="E61" s="369">
        <v>0</v>
      </c>
      <c r="F61" s="36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68">
        <f t="shared" si="2"/>
        <v>0</v>
      </c>
      <c r="AC61" s="368">
        <v>0</v>
      </c>
    </row>
    <row r="62" spans="1:29" x14ac:dyDescent="0.25">
      <c r="A62" s="80" t="s">
        <v>230</v>
      </c>
      <c r="B62" s="81" t="s">
        <v>151</v>
      </c>
      <c r="C62" s="374">
        <v>0</v>
      </c>
      <c r="D62" s="368">
        <v>0</v>
      </c>
      <c r="E62" s="369">
        <v>0</v>
      </c>
      <c r="F62" s="36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68">
        <f t="shared" si="2"/>
        <v>0</v>
      </c>
      <c r="AC62" s="368">
        <v>0</v>
      </c>
    </row>
    <row r="63" spans="1:29" x14ac:dyDescent="0.25">
      <c r="A63" s="80" t="s">
        <v>231</v>
      </c>
      <c r="B63" s="81" t="s">
        <v>233</v>
      </c>
      <c r="C63" s="374">
        <v>0</v>
      </c>
      <c r="D63" s="368">
        <v>0</v>
      </c>
      <c r="E63" s="369">
        <v>0</v>
      </c>
      <c r="F63" s="369">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68">
        <f t="shared" si="2"/>
        <v>0</v>
      </c>
      <c r="AC63" s="368">
        <v>0</v>
      </c>
    </row>
    <row r="64" spans="1:29" ht="18.75" x14ac:dyDescent="0.25">
      <c r="A64" s="80" t="s">
        <v>232</v>
      </c>
      <c r="B64" s="79" t="s">
        <v>129</v>
      </c>
      <c r="C64" s="372">
        <v>0</v>
      </c>
      <c r="D64" s="368">
        <v>0</v>
      </c>
      <c r="E64" s="369">
        <v>0</v>
      </c>
      <c r="F64" s="36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68">
        <f t="shared" si="2"/>
        <v>0</v>
      </c>
      <c r="AC64" s="368">
        <v>0</v>
      </c>
    </row>
    <row r="65" spans="1:28" x14ac:dyDescent="0.25">
      <c r="A65" s="76"/>
      <c r="B65" s="77"/>
      <c r="C65" s="77"/>
      <c r="D65" s="339"/>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8"/>
      <c r="C66" s="468"/>
      <c r="D66" s="468"/>
      <c r="E66" s="468"/>
      <c r="F66" s="468"/>
      <c r="G66" s="468"/>
      <c r="H66" s="468"/>
      <c r="I66" s="468"/>
      <c r="J66" s="334"/>
      <c r="K66" s="334"/>
      <c r="L66" s="75"/>
      <c r="M66" s="75"/>
      <c r="N66" s="75"/>
      <c r="O66" s="75"/>
      <c r="P66" s="75"/>
      <c r="Q66" s="75"/>
      <c r="R66" s="75"/>
      <c r="S66" s="75"/>
      <c r="T66" s="75"/>
      <c r="U66" s="75"/>
      <c r="V66" s="75"/>
      <c r="W66" s="75"/>
      <c r="X66" s="75"/>
      <c r="Y66" s="75"/>
      <c r="Z66" s="75"/>
      <c r="AA66" s="75"/>
      <c r="AB66" s="75"/>
    </row>
    <row r="67" spans="1:28" x14ac:dyDescent="0.25">
      <c r="A67" s="70"/>
      <c r="B67" s="70"/>
      <c r="C67" s="70"/>
      <c r="D67" s="337"/>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70"/>
      <c r="C68" s="470"/>
      <c r="D68" s="470"/>
      <c r="E68" s="470"/>
      <c r="F68" s="470"/>
      <c r="G68" s="470"/>
      <c r="H68" s="470"/>
      <c r="I68" s="470"/>
      <c r="J68" s="183"/>
      <c r="K68" s="183"/>
      <c r="L68" s="70"/>
      <c r="M68" s="70"/>
      <c r="N68" s="70"/>
      <c r="O68" s="70"/>
      <c r="P68" s="70"/>
      <c r="Q68" s="70"/>
      <c r="R68" s="70"/>
      <c r="S68" s="70"/>
      <c r="T68" s="70"/>
      <c r="U68" s="70"/>
      <c r="V68" s="70"/>
      <c r="W68" s="70"/>
      <c r="X68" s="70"/>
      <c r="Y68" s="70"/>
      <c r="Z68" s="70"/>
      <c r="AA68" s="70"/>
      <c r="AB68" s="70"/>
    </row>
    <row r="69" spans="1:28" x14ac:dyDescent="0.25">
      <c r="A69" s="70"/>
      <c r="B69" s="70"/>
      <c r="C69" s="70"/>
      <c r="D69" s="337"/>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8"/>
      <c r="C70" s="468"/>
      <c r="D70" s="468"/>
      <c r="E70" s="468"/>
      <c r="F70" s="468"/>
      <c r="G70" s="468"/>
      <c r="H70" s="468"/>
      <c r="I70" s="468"/>
      <c r="J70" s="182"/>
      <c r="K70" s="182"/>
      <c r="L70" s="70"/>
      <c r="M70" s="70"/>
      <c r="N70" s="70"/>
      <c r="O70" s="70"/>
      <c r="P70" s="70"/>
      <c r="Q70" s="70"/>
      <c r="R70" s="70"/>
      <c r="S70" s="70"/>
      <c r="T70" s="70"/>
      <c r="U70" s="70"/>
      <c r="V70" s="70"/>
      <c r="W70" s="70"/>
      <c r="X70" s="70"/>
      <c r="Y70" s="70"/>
      <c r="Z70" s="70"/>
      <c r="AA70" s="70"/>
      <c r="AB70" s="70"/>
    </row>
    <row r="71" spans="1:28" x14ac:dyDescent="0.25">
      <c r="A71" s="70"/>
      <c r="B71" s="74"/>
      <c r="C71" s="74"/>
      <c r="D71" s="340"/>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8"/>
      <c r="C72" s="468"/>
      <c r="D72" s="468"/>
      <c r="E72" s="468"/>
      <c r="F72" s="468"/>
      <c r="G72" s="468"/>
      <c r="H72" s="468"/>
      <c r="I72" s="468"/>
      <c r="J72" s="182"/>
      <c r="K72" s="182"/>
      <c r="L72" s="70"/>
      <c r="M72" s="70"/>
      <c r="N72" s="73"/>
      <c r="O72" s="70"/>
      <c r="P72" s="70"/>
      <c r="Q72" s="70"/>
      <c r="R72" s="70"/>
      <c r="S72" s="70"/>
      <c r="T72" s="70"/>
      <c r="U72" s="70"/>
      <c r="V72" s="70"/>
      <c r="W72" s="70"/>
      <c r="X72" s="70"/>
      <c r="Y72" s="70"/>
      <c r="Z72" s="70"/>
      <c r="AA72" s="70"/>
      <c r="AB72" s="70"/>
    </row>
    <row r="73" spans="1:28" ht="32.25" customHeight="1" x14ac:dyDescent="0.25">
      <c r="A73" s="70"/>
      <c r="B73" s="470"/>
      <c r="C73" s="470"/>
      <c r="D73" s="470"/>
      <c r="E73" s="470"/>
      <c r="F73" s="470"/>
      <c r="G73" s="470"/>
      <c r="H73" s="470"/>
      <c r="I73" s="470"/>
      <c r="J73" s="183"/>
      <c r="K73" s="183"/>
      <c r="L73" s="70"/>
      <c r="M73" s="70"/>
      <c r="N73" s="70"/>
      <c r="O73" s="70"/>
      <c r="P73" s="70"/>
      <c r="Q73" s="70"/>
      <c r="R73" s="70"/>
      <c r="S73" s="70"/>
      <c r="T73" s="70"/>
      <c r="U73" s="70"/>
      <c r="V73" s="70"/>
      <c r="W73" s="70"/>
      <c r="X73" s="70"/>
      <c r="Y73" s="70"/>
      <c r="Z73" s="70"/>
      <c r="AA73" s="70"/>
      <c r="AB73" s="70"/>
    </row>
    <row r="74" spans="1:28" ht="51.75" customHeight="1" x14ac:dyDescent="0.25">
      <c r="A74" s="70"/>
      <c r="B74" s="468"/>
      <c r="C74" s="468"/>
      <c r="D74" s="468"/>
      <c r="E74" s="468"/>
      <c r="F74" s="468"/>
      <c r="G74" s="468"/>
      <c r="H74" s="468"/>
      <c r="I74" s="468"/>
      <c r="J74" s="182"/>
      <c r="K74" s="182"/>
      <c r="L74" s="70"/>
      <c r="M74" s="70"/>
      <c r="N74" s="70"/>
      <c r="O74" s="70"/>
      <c r="P74" s="70"/>
      <c r="Q74" s="70"/>
      <c r="R74" s="70"/>
      <c r="S74" s="70"/>
      <c r="T74" s="70"/>
      <c r="U74" s="70"/>
      <c r="V74" s="70"/>
      <c r="W74" s="70"/>
      <c r="X74" s="70"/>
      <c r="Y74" s="70"/>
      <c r="Z74" s="70"/>
      <c r="AA74" s="70"/>
      <c r="AB74" s="70"/>
    </row>
    <row r="75" spans="1:28" ht="21.75" customHeight="1" x14ac:dyDescent="0.25">
      <c r="A75" s="70"/>
      <c r="B75" s="471"/>
      <c r="C75" s="471"/>
      <c r="D75" s="471"/>
      <c r="E75" s="471"/>
      <c r="F75" s="471"/>
      <c r="G75" s="471"/>
      <c r="H75" s="471"/>
      <c r="I75" s="471"/>
      <c r="J75" s="180"/>
      <c r="K75" s="180"/>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1"/>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9"/>
      <c r="C77" s="469"/>
      <c r="D77" s="469"/>
      <c r="E77" s="469"/>
      <c r="F77" s="469"/>
      <c r="G77" s="469"/>
      <c r="H77" s="469"/>
      <c r="I77" s="469"/>
      <c r="J77" s="181"/>
      <c r="K77" s="181"/>
      <c r="L77" s="70"/>
      <c r="M77" s="70"/>
      <c r="N77" s="70"/>
      <c r="O77" s="70"/>
      <c r="P77" s="70"/>
      <c r="Q77" s="70"/>
      <c r="R77" s="70"/>
      <c r="S77" s="70"/>
      <c r="T77" s="70"/>
      <c r="U77" s="70"/>
      <c r="V77" s="70"/>
      <c r="W77" s="70"/>
      <c r="X77" s="70"/>
      <c r="Y77" s="70"/>
      <c r="Z77" s="70"/>
      <c r="AA77" s="70"/>
      <c r="AB77" s="70"/>
    </row>
    <row r="78" spans="1:28" x14ac:dyDescent="0.25">
      <c r="A78" s="70"/>
      <c r="B78" s="70"/>
      <c r="C78" s="70"/>
      <c r="D78" s="337"/>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7"/>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V26" sqref="AV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6.140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10</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ht="15.75" x14ac:dyDescent="0.25">
      <c r="A9" s="384" t="str">
        <f>'1. паспорт местоположение'!A9:C9</f>
        <v xml:space="preserve">                         АО "Янтарьэнерго"                         </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9" t="s">
        <v>9</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ht="15.75" x14ac:dyDescent="0.25">
      <c r="A12" s="384" t="str">
        <f>'1. паспорт местоположение'!A12:C12</f>
        <v>F_prj_111001_5326</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9" t="s">
        <v>8</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ht="15.75" x14ac:dyDescent="0.25">
      <c r="A15" s="389"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389"/>
      <c r="AJ15" s="389"/>
      <c r="AK15" s="389"/>
      <c r="AL15" s="389"/>
      <c r="AM15" s="389"/>
      <c r="AN15" s="389"/>
      <c r="AO15" s="389"/>
      <c r="AP15" s="389"/>
      <c r="AQ15" s="389"/>
      <c r="AR15" s="389"/>
      <c r="AS15" s="389"/>
      <c r="AT15" s="389"/>
      <c r="AU15" s="389"/>
      <c r="AV15" s="389"/>
    </row>
    <row r="16" spans="1:48" ht="15.75" x14ac:dyDescent="0.25">
      <c r="A16" s="379" t="s">
        <v>7</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6"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6" customFormat="1" x14ac:dyDescent="0.25">
      <c r="A21" s="486" t="s">
        <v>522</v>
      </c>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486"/>
      <c r="AB21" s="486"/>
      <c r="AC21" s="486"/>
      <c r="AD21" s="486"/>
      <c r="AE21" s="486"/>
      <c r="AF21" s="486"/>
      <c r="AG21" s="486"/>
      <c r="AH21" s="486"/>
      <c r="AI21" s="486"/>
      <c r="AJ21" s="486"/>
      <c r="AK21" s="486"/>
      <c r="AL21" s="486"/>
      <c r="AM21" s="486"/>
      <c r="AN21" s="486"/>
      <c r="AO21" s="486"/>
      <c r="AP21" s="486"/>
      <c r="AQ21" s="486"/>
      <c r="AR21" s="486"/>
      <c r="AS21" s="486"/>
      <c r="AT21" s="486"/>
      <c r="AU21" s="486"/>
      <c r="AV21" s="486"/>
    </row>
    <row r="22" spans="1:48" s="26" customFormat="1" ht="58.5" customHeight="1" x14ac:dyDescent="0.25">
      <c r="A22" s="477" t="s">
        <v>53</v>
      </c>
      <c r="B22" s="488" t="s">
        <v>25</v>
      </c>
      <c r="C22" s="477" t="s">
        <v>52</v>
      </c>
      <c r="D22" s="477" t="s">
        <v>51</v>
      </c>
      <c r="E22" s="491" t="s">
        <v>533</v>
      </c>
      <c r="F22" s="492"/>
      <c r="G22" s="492"/>
      <c r="H22" s="492"/>
      <c r="I22" s="492"/>
      <c r="J22" s="492"/>
      <c r="K22" s="492"/>
      <c r="L22" s="493"/>
      <c r="M22" s="477" t="s">
        <v>50</v>
      </c>
      <c r="N22" s="477" t="s">
        <v>49</v>
      </c>
      <c r="O22" s="477" t="s">
        <v>48</v>
      </c>
      <c r="P22" s="472" t="s">
        <v>264</v>
      </c>
      <c r="Q22" s="472" t="s">
        <v>47</v>
      </c>
      <c r="R22" s="472" t="s">
        <v>46</v>
      </c>
      <c r="S22" s="472" t="s">
        <v>45</v>
      </c>
      <c r="T22" s="472"/>
      <c r="U22" s="494" t="s">
        <v>44</v>
      </c>
      <c r="V22" s="494" t="s">
        <v>43</v>
      </c>
      <c r="W22" s="472" t="s">
        <v>42</v>
      </c>
      <c r="X22" s="472" t="s">
        <v>41</v>
      </c>
      <c r="Y22" s="472" t="s">
        <v>40</v>
      </c>
      <c r="Z22" s="479"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80" t="s">
        <v>26</v>
      </c>
    </row>
    <row r="23" spans="1:48" s="26" customFormat="1" ht="64.5" customHeight="1" x14ac:dyDescent="0.25">
      <c r="A23" s="487"/>
      <c r="B23" s="489"/>
      <c r="C23" s="487"/>
      <c r="D23" s="487"/>
      <c r="E23" s="482" t="s">
        <v>24</v>
      </c>
      <c r="F23" s="473" t="s">
        <v>133</v>
      </c>
      <c r="G23" s="473" t="s">
        <v>132</v>
      </c>
      <c r="H23" s="473" t="s">
        <v>131</v>
      </c>
      <c r="I23" s="475" t="s">
        <v>443</v>
      </c>
      <c r="J23" s="475" t="s">
        <v>444</v>
      </c>
      <c r="K23" s="475" t="s">
        <v>445</v>
      </c>
      <c r="L23" s="473" t="s">
        <v>81</v>
      </c>
      <c r="M23" s="487"/>
      <c r="N23" s="487"/>
      <c r="O23" s="487"/>
      <c r="P23" s="472"/>
      <c r="Q23" s="472"/>
      <c r="R23" s="472"/>
      <c r="S23" s="484" t="s">
        <v>3</v>
      </c>
      <c r="T23" s="484" t="s">
        <v>12</v>
      </c>
      <c r="U23" s="494"/>
      <c r="V23" s="494"/>
      <c r="W23" s="472"/>
      <c r="X23" s="472"/>
      <c r="Y23" s="472"/>
      <c r="Z23" s="472"/>
      <c r="AA23" s="472"/>
      <c r="AB23" s="472"/>
      <c r="AC23" s="472"/>
      <c r="AD23" s="472"/>
      <c r="AE23" s="472"/>
      <c r="AF23" s="472" t="s">
        <v>23</v>
      </c>
      <c r="AG23" s="472"/>
      <c r="AH23" s="472" t="s">
        <v>22</v>
      </c>
      <c r="AI23" s="472"/>
      <c r="AJ23" s="477" t="s">
        <v>21</v>
      </c>
      <c r="AK23" s="477" t="s">
        <v>20</v>
      </c>
      <c r="AL23" s="477" t="s">
        <v>19</v>
      </c>
      <c r="AM23" s="477" t="s">
        <v>18</v>
      </c>
      <c r="AN23" s="477" t="s">
        <v>17</v>
      </c>
      <c r="AO23" s="477" t="s">
        <v>16</v>
      </c>
      <c r="AP23" s="477" t="s">
        <v>15</v>
      </c>
      <c r="AQ23" s="495" t="s">
        <v>12</v>
      </c>
      <c r="AR23" s="472"/>
      <c r="AS23" s="472"/>
      <c r="AT23" s="472"/>
      <c r="AU23" s="472"/>
      <c r="AV23" s="481"/>
    </row>
    <row r="24" spans="1:48" s="26" customFormat="1" ht="96.75" customHeight="1" x14ac:dyDescent="0.25">
      <c r="A24" s="478"/>
      <c r="B24" s="490"/>
      <c r="C24" s="478"/>
      <c r="D24" s="478"/>
      <c r="E24" s="483"/>
      <c r="F24" s="474"/>
      <c r="G24" s="474"/>
      <c r="H24" s="474"/>
      <c r="I24" s="476"/>
      <c r="J24" s="476"/>
      <c r="K24" s="476"/>
      <c r="L24" s="474"/>
      <c r="M24" s="478"/>
      <c r="N24" s="478"/>
      <c r="O24" s="478"/>
      <c r="P24" s="472"/>
      <c r="Q24" s="472"/>
      <c r="R24" s="472"/>
      <c r="S24" s="485"/>
      <c r="T24" s="485"/>
      <c r="U24" s="494"/>
      <c r="V24" s="494"/>
      <c r="W24" s="472"/>
      <c r="X24" s="472"/>
      <c r="Y24" s="472"/>
      <c r="Z24" s="472"/>
      <c r="AA24" s="472"/>
      <c r="AB24" s="472"/>
      <c r="AC24" s="472"/>
      <c r="AD24" s="472"/>
      <c r="AE24" s="472"/>
      <c r="AF24" s="157" t="s">
        <v>14</v>
      </c>
      <c r="AG24" s="157" t="s">
        <v>13</v>
      </c>
      <c r="AH24" s="158" t="s">
        <v>3</v>
      </c>
      <c r="AI24" s="158" t="s">
        <v>12</v>
      </c>
      <c r="AJ24" s="478"/>
      <c r="AK24" s="478"/>
      <c r="AL24" s="478"/>
      <c r="AM24" s="478"/>
      <c r="AN24" s="478"/>
      <c r="AO24" s="478"/>
      <c r="AP24" s="478"/>
      <c r="AQ24" s="496"/>
      <c r="AR24" s="472"/>
      <c r="AS24" s="472"/>
      <c r="AT24" s="472"/>
      <c r="AU24" s="472"/>
      <c r="AV24" s="48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548</v>
      </c>
      <c r="C26" s="21"/>
      <c r="D26" s="23">
        <v>2016</v>
      </c>
      <c r="E26" s="23"/>
      <c r="F26" s="23"/>
      <c r="G26" s="503">
        <v>0.8</v>
      </c>
      <c r="H26" s="23"/>
      <c r="I26" s="23"/>
      <c r="J26" s="23"/>
      <c r="K26" s="503">
        <v>4.1580000000000004</v>
      </c>
      <c r="L26" s="23"/>
      <c r="M26" s="21" t="s">
        <v>638</v>
      </c>
      <c r="N26" s="504" t="s">
        <v>639</v>
      </c>
      <c r="O26" s="504" t="s">
        <v>640</v>
      </c>
      <c r="P26" s="24">
        <v>13055.864</v>
      </c>
      <c r="Q26" s="21" t="s">
        <v>641</v>
      </c>
      <c r="R26" s="24">
        <v>11790</v>
      </c>
      <c r="S26" s="21" t="s">
        <v>642</v>
      </c>
      <c r="T26" s="21" t="s">
        <v>642</v>
      </c>
      <c r="U26" s="23" t="s">
        <v>643</v>
      </c>
      <c r="V26" s="23" t="s">
        <v>643</v>
      </c>
      <c r="W26" s="21"/>
      <c r="X26" s="24"/>
      <c r="Y26" s="21"/>
      <c r="Z26" s="22"/>
      <c r="AA26" s="24"/>
      <c r="AB26" s="24"/>
      <c r="AC26" s="24"/>
      <c r="AD26" s="24"/>
      <c r="AE26" s="24"/>
      <c r="AF26" s="23" t="s">
        <v>644</v>
      </c>
      <c r="AG26" s="21" t="s">
        <v>645</v>
      </c>
      <c r="AH26" s="22" t="s">
        <v>646</v>
      </c>
      <c r="AI26" s="22">
        <v>42473</v>
      </c>
      <c r="AJ26" s="22" t="s">
        <v>647</v>
      </c>
      <c r="AK26" s="22">
        <v>42495</v>
      </c>
      <c r="AL26" s="21"/>
      <c r="AM26" s="21"/>
      <c r="AN26" s="22"/>
      <c r="AO26" s="21"/>
      <c r="AP26" s="22"/>
      <c r="AQ26" s="22"/>
      <c r="AR26" s="22"/>
      <c r="AS26" s="22"/>
      <c r="AT26" s="22"/>
      <c r="AU26" s="21"/>
      <c r="AV26" s="504" t="s">
        <v>648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F20" sqref="F20"/>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44" t="s">
        <v>70</v>
      </c>
    </row>
    <row r="2" spans="1:8" ht="18.75" x14ac:dyDescent="0.3">
      <c r="B2" s="15" t="s">
        <v>11</v>
      </c>
    </row>
    <row r="3" spans="1:8" ht="18.75" x14ac:dyDescent="0.3">
      <c r="B3" s="15" t="s">
        <v>541</v>
      </c>
    </row>
    <row r="4" spans="1:8" x14ac:dyDescent="0.25">
      <c r="B4" s="49"/>
    </row>
    <row r="5" spans="1:8" ht="18.75" x14ac:dyDescent="0.3">
      <c r="A5" s="497" t="str">
        <f>'[4]1. паспорт местоположение'!A5:C5</f>
        <v>Год раскрытия информации: 2016 год</v>
      </c>
      <c r="B5" s="497"/>
      <c r="C5" s="89"/>
      <c r="D5" s="89"/>
      <c r="E5" s="89"/>
      <c r="F5" s="89"/>
      <c r="G5" s="89"/>
      <c r="H5" s="89"/>
    </row>
    <row r="6" spans="1:8" ht="18.75" x14ac:dyDescent="0.3">
      <c r="A6" s="358"/>
      <c r="B6" s="358"/>
      <c r="C6" s="358"/>
      <c r="D6" s="358"/>
      <c r="E6" s="358"/>
      <c r="F6" s="358"/>
      <c r="G6" s="358"/>
      <c r="H6" s="358"/>
    </row>
    <row r="7" spans="1:8" ht="18.75" x14ac:dyDescent="0.25">
      <c r="A7" s="382" t="s">
        <v>10</v>
      </c>
      <c r="B7" s="382"/>
      <c r="C7" s="161"/>
      <c r="D7" s="161"/>
      <c r="E7" s="161"/>
      <c r="F7" s="161"/>
      <c r="G7" s="161"/>
      <c r="H7" s="161"/>
    </row>
    <row r="8" spans="1:8" ht="18.75" x14ac:dyDescent="0.25">
      <c r="A8" s="161"/>
      <c r="B8" s="161"/>
      <c r="C8" s="161"/>
      <c r="D8" s="161"/>
      <c r="E8" s="161"/>
      <c r="F8" s="161"/>
      <c r="G8" s="161"/>
      <c r="H8" s="161"/>
    </row>
    <row r="9" spans="1:8" x14ac:dyDescent="0.25">
      <c r="A9" s="384" t="str">
        <f>'1. паспорт местоположение'!A9:C9</f>
        <v xml:space="preserve">                         АО "Янтарьэнерго"                         </v>
      </c>
      <c r="B9" s="384"/>
      <c r="C9" s="162"/>
      <c r="D9" s="162"/>
      <c r="E9" s="162"/>
      <c r="F9" s="162"/>
      <c r="G9" s="162"/>
      <c r="H9" s="162"/>
    </row>
    <row r="10" spans="1:8" x14ac:dyDescent="0.25">
      <c r="A10" s="379" t="s">
        <v>9</v>
      </c>
      <c r="B10" s="379"/>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384" t="str">
        <f>'1. паспорт местоположение'!A12:C12</f>
        <v>F_prj_111001_5326</v>
      </c>
      <c r="B12" s="384"/>
      <c r="C12" s="162"/>
      <c r="D12" s="162"/>
      <c r="E12" s="162"/>
      <c r="F12" s="162"/>
      <c r="G12" s="162"/>
      <c r="H12" s="162"/>
    </row>
    <row r="13" spans="1:8" x14ac:dyDescent="0.25">
      <c r="A13" s="379" t="s">
        <v>8</v>
      </c>
      <c r="B13" s="379"/>
      <c r="C13" s="163"/>
      <c r="D13" s="163"/>
      <c r="E13" s="163"/>
      <c r="F13" s="163"/>
      <c r="G13" s="163"/>
      <c r="H13" s="163"/>
    </row>
    <row r="14" spans="1:8" ht="18.75" x14ac:dyDescent="0.25">
      <c r="A14" s="11"/>
      <c r="B14" s="11"/>
      <c r="C14" s="11"/>
      <c r="D14" s="11"/>
      <c r="E14" s="11"/>
      <c r="F14" s="11"/>
      <c r="G14" s="11"/>
      <c r="H14" s="11"/>
    </row>
    <row r="15" spans="1:8" ht="39" customHeight="1" x14ac:dyDescent="0.25">
      <c r="A15" s="389"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89"/>
      <c r="C15" s="162"/>
      <c r="D15" s="162"/>
      <c r="E15" s="162"/>
      <c r="F15" s="162"/>
      <c r="G15" s="162"/>
      <c r="H15" s="162"/>
    </row>
    <row r="16" spans="1:8" x14ac:dyDescent="0.25">
      <c r="A16" s="379" t="s">
        <v>7</v>
      </c>
      <c r="B16" s="379"/>
      <c r="C16" s="163"/>
      <c r="D16" s="163"/>
      <c r="E16" s="163"/>
      <c r="F16" s="163"/>
      <c r="G16" s="163"/>
      <c r="H16" s="163"/>
    </row>
    <row r="17" spans="1:2" x14ac:dyDescent="0.25">
      <c r="B17" s="129"/>
    </row>
    <row r="18" spans="1:2" ht="33.75" customHeight="1" x14ac:dyDescent="0.25">
      <c r="A18" s="498" t="s">
        <v>523</v>
      </c>
      <c r="B18" s="499"/>
    </row>
    <row r="19" spans="1:2" x14ac:dyDescent="0.25">
      <c r="B19" s="49"/>
    </row>
    <row r="20" spans="1:2" ht="16.5" thickBot="1" x14ac:dyDescent="0.3">
      <c r="B20" s="130"/>
    </row>
    <row r="21" spans="1:2" ht="45" customHeight="1" thickBot="1" x14ac:dyDescent="0.3">
      <c r="A21" s="131" t="s">
        <v>389</v>
      </c>
      <c r="B21" s="132" t="str">
        <f>A15</f>
        <v xml:space="preserve">Строительство БКТП 6/0,4 кВ,  реконструкция КЛ 6 кВ ф.12, строительство участка КЛ 6 кВ от ТПн до места рассечки КЛ 6 кВ ф.12 по ул. Искры в г.Советск </v>
      </c>
    </row>
    <row r="22" spans="1:2" ht="16.5" thickBot="1" x14ac:dyDescent="0.3">
      <c r="A22" s="131" t="s">
        <v>390</v>
      </c>
      <c r="B22" s="132" t="s">
        <v>550</v>
      </c>
    </row>
    <row r="23" spans="1:2" ht="16.5" thickBot="1" x14ac:dyDescent="0.3">
      <c r="A23" s="131" t="s">
        <v>355</v>
      </c>
      <c r="B23" s="133" t="s">
        <v>556</v>
      </c>
    </row>
    <row r="24" spans="1:2" ht="16.5" thickBot="1" x14ac:dyDescent="0.3">
      <c r="A24" s="131" t="s">
        <v>391</v>
      </c>
      <c r="B24" s="133" t="s">
        <v>567</v>
      </c>
    </row>
    <row r="25" spans="1:2" ht="16.5" thickBot="1" x14ac:dyDescent="0.3">
      <c r="A25" s="134" t="s">
        <v>392</v>
      </c>
      <c r="B25" s="133" t="s">
        <v>568</v>
      </c>
    </row>
    <row r="26" spans="1:2" ht="16.5" thickBot="1" x14ac:dyDescent="0.3">
      <c r="A26" s="135" t="s">
        <v>393</v>
      </c>
      <c r="B26" s="137" t="s">
        <v>556</v>
      </c>
    </row>
    <row r="27" spans="1:2" ht="29.25" thickBot="1" x14ac:dyDescent="0.3">
      <c r="A27" s="142" t="s">
        <v>394</v>
      </c>
      <c r="B27" s="328">
        <f>'[5]6.2. Паспорт фин осв ввод'!C24</f>
        <v>24.1747245710744</v>
      </c>
    </row>
    <row r="28" spans="1:2" ht="16.5" thickBot="1" x14ac:dyDescent="0.3">
      <c r="A28" s="137" t="s">
        <v>395</v>
      </c>
      <c r="B28" s="137" t="s">
        <v>614</v>
      </c>
    </row>
    <row r="29" spans="1:2" ht="29.25" thickBot="1" x14ac:dyDescent="0.3">
      <c r="A29" s="143" t="s">
        <v>396</v>
      </c>
      <c r="B29" s="137"/>
    </row>
    <row r="30" spans="1:2" ht="29.25" thickBot="1" x14ac:dyDescent="0.3">
      <c r="A30" s="143" t="s">
        <v>397</v>
      </c>
      <c r="B30" s="360">
        <f>B32+B41+B58</f>
        <v>0.7</v>
      </c>
    </row>
    <row r="31" spans="1:2" ht="16.5" thickBot="1" x14ac:dyDescent="0.3">
      <c r="A31" s="137" t="s">
        <v>398</v>
      </c>
      <c r="B31" s="137"/>
    </row>
    <row r="32" spans="1:2" ht="29.25" thickBot="1" x14ac:dyDescent="0.3">
      <c r="A32" s="143" t="s">
        <v>399</v>
      </c>
      <c r="B32" s="360">
        <f>B33+B37</f>
        <v>0</v>
      </c>
    </row>
    <row r="33" spans="1:3" s="326" customFormat="1" ht="16.5" thickBot="1" x14ac:dyDescent="0.3">
      <c r="A33" s="325" t="s">
        <v>400</v>
      </c>
      <c r="B33" s="361">
        <v>0</v>
      </c>
    </row>
    <row r="34" spans="1:3" ht="16.5" thickBot="1" x14ac:dyDescent="0.3">
      <c r="A34" s="137" t="s">
        <v>401</v>
      </c>
      <c r="B34" s="329">
        <f>B33/$B$27</f>
        <v>0</v>
      </c>
    </row>
    <row r="35" spans="1:3" ht="16.5" thickBot="1" x14ac:dyDescent="0.3">
      <c r="A35" s="137" t="s">
        <v>402</v>
      </c>
      <c r="B35" s="360">
        <v>0</v>
      </c>
      <c r="C35" s="128">
        <v>1</v>
      </c>
    </row>
    <row r="36" spans="1:3" ht="16.5" thickBot="1" x14ac:dyDescent="0.3">
      <c r="A36" s="137" t="s">
        <v>403</v>
      </c>
      <c r="B36" s="360">
        <v>0</v>
      </c>
      <c r="C36" s="128">
        <v>2</v>
      </c>
    </row>
    <row r="37" spans="1:3" s="326" customFormat="1" ht="16.5" thickBot="1" x14ac:dyDescent="0.3">
      <c r="A37" s="325" t="s">
        <v>400</v>
      </c>
      <c r="B37" s="361">
        <v>0</v>
      </c>
    </row>
    <row r="38" spans="1:3" ht="16.5" thickBot="1" x14ac:dyDescent="0.3">
      <c r="A38" s="137" t="s">
        <v>401</v>
      </c>
      <c r="B38" s="329">
        <f>B37/$B$27</f>
        <v>0</v>
      </c>
    </row>
    <row r="39" spans="1:3" ht="16.5" thickBot="1" x14ac:dyDescent="0.3">
      <c r="A39" s="137" t="s">
        <v>402</v>
      </c>
      <c r="B39" s="360">
        <v>0</v>
      </c>
      <c r="C39" s="128">
        <v>1</v>
      </c>
    </row>
    <row r="40" spans="1:3" ht="16.5" thickBot="1" x14ac:dyDescent="0.3">
      <c r="A40" s="137" t="s">
        <v>403</v>
      </c>
      <c r="B40" s="360">
        <v>0</v>
      </c>
      <c r="C40" s="128">
        <v>2</v>
      </c>
    </row>
    <row r="41" spans="1:3" ht="29.25" thickBot="1" x14ac:dyDescent="0.3">
      <c r="A41" s="143" t="s">
        <v>404</v>
      </c>
      <c r="B41" s="360">
        <f>B42+B46+B50+B54</f>
        <v>0</v>
      </c>
    </row>
    <row r="42" spans="1:3" s="326" customFormat="1" ht="16.5" thickBot="1" x14ac:dyDescent="0.3">
      <c r="A42" s="325" t="s">
        <v>400</v>
      </c>
      <c r="B42" s="361">
        <v>0</v>
      </c>
    </row>
    <row r="43" spans="1:3" ht="16.5" thickBot="1" x14ac:dyDescent="0.3">
      <c r="A43" s="137" t="s">
        <v>401</v>
      </c>
      <c r="B43" s="329">
        <f>B42/$B$27</f>
        <v>0</v>
      </c>
    </row>
    <row r="44" spans="1:3" ht="16.5" thickBot="1" x14ac:dyDescent="0.3">
      <c r="A44" s="137" t="s">
        <v>402</v>
      </c>
      <c r="B44" s="360">
        <v>0</v>
      </c>
      <c r="C44" s="128">
        <v>1</v>
      </c>
    </row>
    <row r="45" spans="1:3" ht="16.5" thickBot="1" x14ac:dyDescent="0.3">
      <c r="A45" s="137" t="s">
        <v>403</v>
      </c>
      <c r="B45" s="360">
        <v>0</v>
      </c>
      <c r="C45" s="128">
        <v>2</v>
      </c>
    </row>
    <row r="46" spans="1:3" s="326" customFormat="1" ht="16.5" thickBot="1" x14ac:dyDescent="0.3">
      <c r="A46" s="325" t="s">
        <v>400</v>
      </c>
      <c r="B46" s="361">
        <v>0</v>
      </c>
    </row>
    <row r="47" spans="1:3" ht="16.5" thickBot="1" x14ac:dyDescent="0.3">
      <c r="A47" s="137" t="s">
        <v>401</v>
      </c>
      <c r="B47" s="329">
        <f>B46/$B$27</f>
        <v>0</v>
      </c>
    </row>
    <row r="48" spans="1:3" ht="16.5" thickBot="1" x14ac:dyDescent="0.3">
      <c r="A48" s="137" t="s">
        <v>402</v>
      </c>
      <c r="B48" s="360">
        <v>0</v>
      </c>
      <c r="C48" s="128">
        <v>1</v>
      </c>
    </row>
    <row r="49" spans="1:3" ht="16.5" thickBot="1" x14ac:dyDescent="0.3">
      <c r="A49" s="137" t="s">
        <v>403</v>
      </c>
      <c r="B49" s="360">
        <v>0</v>
      </c>
      <c r="C49" s="128">
        <v>2</v>
      </c>
    </row>
    <row r="50" spans="1:3" s="326" customFormat="1" ht="16.5" thickBot="1" x14ac:dyDescent="0.3">
      <c r="A50" s="325" t="s">
        <v>400</v>
      </c>
      <c r="B50" s="361">
        <v>0</v>
      </c>
    </row>
    <row r="51" spans="1:3" ht="16.5" thickBot="1" x14ac:dyDescent="0.3">
      <c r="A51" s="137" t="s">
        <v>401</v>
      </c>
      <c r="B51" s="329">
        <f>B50/$B$27</f>
        <v>0</v>
      </c>
    </row>
    <row r="52" spans="1:3" ht="16.5" thickBot="1" x14ac:dyDescent="0.3">
      <c r="A52" s="137" t="s">
        <v>402</v>
      </c>
      <c r="B52" s="360">
        <v>0</v>
      </c>
      <c r="C52" s="128">
        <v>1</v>
      </c>
    </row>
    <row r="53" spans="1:3" ht="16.5" thickBot="1" x14ac:dyDescent="0.3">
      <c r="A53" s="137" t="s">
        <v>403</v>
      </c>
      <c r="B53" s="360">
        <v>0</v>
      </c>
      <c r="C53" s="128">
        <v>2</v>
      </c>
    </row>
    <row r="54" spans="1:3" s="326" customFormat="1" ht="16.5" thickBot="1" x14ac:dyDescent="0.3">
      <c r="A54" s="325" t="s">
        <v>400</v>
      </c>
      <c r="B54" s="361">
        <v>0</v>
      </c>
    </row>
    <row r="55" spans="1:3" ht="16.5" thickBot="1" x14ac:dyDescent="0.3">
      <c r="A55" s="137" t="s">
        <v>401</v>
      </c>
      <c r="B55" s="329">
        <f>B54/$B$27</f>
        <v>0</v>
      </c>
    </row>
    <row r="56" spans="1:3" ht="16.5" thickBot="1" x14ac:dyDescent="0.3">
      <c r="A56" s="137" t="s">
        <v>402</v>
      </c>
      <c r="B56" s="360">
        <v>0</v>
      </c>
      <c r="C56" s="128">
        <v>1</v>
      </c>
    </row>
    <row r="57" spans="1:3" ht="16.5" thickBot="1" x14ac:dyDescent="0.3">
      <c r="A57" s="137" t="s">
        <v>403</v>
      </c>
      <c r="B57" s="360">
        <v>0</v>
      </c>
      <c r="C57" s="128">
        <v>2</v>
      </c>
    </row>
    <row r="58" spans="1:3" ht="29.25" thickBot="1" x14ac:dyDescent="0.3">
      <c r="A58" s="143" t="s">
        <v>405</v>
      </c>
      <c r="B58" s="360">
        <f>B59+B63+B67+B71</f>
        <v>0.7</v>
      </c>
    </row>
    <row r="59" spans="1:3" s="326" customFormat="1" ht="30.75" thickBot="1" x14ac:dyDescent="0.3">
      <c r="A59" s="325" t="s">
        <v>615</v>
      </c>
      <c r="B59" s="362">
        <v>0.7</v>
      </c>
    </row>
    <row r="60" spans="1:3" ht="16.5" thickBot="1" x14ac:dyDescent="0.3">
      <c r="A60" s="137" t="s">
        <v>401</v>
      </c>
      <c r="B60" s="329">
        <f>B59/$B$27</f>
        <v>2.8955862472888963E-2</v>
      </c>
    </row>
    <row r="61" spans="1:3" ht="16.5" thickBot="1" x14ac:dyDescent="0.3">
      <c r="A61" s="137" t="s">
        <v>402</v>
      </c>
      <c r="B61" s="360">
        <v>0.7</v>
      </c>
      <c r="C61" s="128">
        <v>1</v>
      </c>
    </row>
    <row r="62" spans="1:3" ht="16.5" thickBot="1" x14ac:dyDescent="0.3">
      <c r="A62" s="137" t="s">
        <v>403</v>
      </c>
      <c r="B62" s="360">
        <v>0.7</v>
      </c>
      <c r="C62" s="128">
        <v>2</v>
      </c>
    </row>
    <row r="63" spans="1:3" s="326" customFormat="1" ht="16.5" thickBot="1" x14ac:dyDescent="0.3">
      <c r="A63" s="325" t="s">
        <v>400</v>
      </c>
      <c r="B63" s="361">
        <v>0</v>
      </c>
    </row>
    <row r="64" spans="1:3" ht="16.5" thickBot="1" x14ac:dyDescent="0.3">
      <c r="A64" s="137" t="s">
        <v>401</v>
      </c>
      <c r="B64" s="329">
        <f>B63/$B$27</f>
        <v>0</v>
      </c>
    </row>
    <row r="65" spans="1:3" ht="16.5" thickBot="1" x14ac:dyDescent="0.3">
      <c r="A65" s="137" t="s">
        <v>402</v>
      </c>
      <c r="B65" s="360">
        <v>0</v>
      </c>
      <c r="C65" s="128">
        <v>1</v>
      </c>
    </row>
    <row r="66" spans="1:3" ht="16.5" thickBot="1" x14ac:dyDescent="0.3">
      <c r="A66" s="137" t="s">
        <v>403</v>
      </c>
      <c r="B66" s="360">
        <v>0</v>
      </c>
      <c r="C66" s="128">
        <v>2</v>
      </c>
    </row>
    <row r="67" spans="1:3" s="326" customFormat="1" ht="16.5" thickBot="1" x14ac:dyDescent="0.3">
      <c r="A67" s="325" t="s">
        <v>400</v>
      </c>
      <c r="B67" s="361">
        <v>0</v>
      </c>
    </row>
    <row r="68" spans="1:3" ht="16.5" thickBot="1" x14ac:dyDescent="0.3">
      <c r="A68" s="137" t="s">
        <v>401</v>
      </c>
      <c r="B68" s="329">
        <f>B67/$B$27</f>
        <v>0</v>
      </c>
    </row>
    <row r="69" spans="1:3" ht="16.5" thickBot="1" x14ac:dyDescent="0.3">
      <c r="A69" s="137" t="s">
        <v>402</v>
      </c>
      <c r="B69" s="360">
        <v>0</v>
      </c>
      <c r="C69" s="128">
        <v>1</v>
      </c>
    </row>
    <row r="70" spans="1:3" ht="16.5" thickBot="1" x14ac:dyDescent="0.3">
      <c r="A70" s="137" t="s">
        <v>403</v>
      </c>
      <c r="B70" s="360">
        <v>0</v>
      </c>
      <c r="C70" s="128">
        <v>2</v>
      </c>
    </row>
    <row r="71" spans="1:3" s="326" customFormat="1" ht="16.5" thickBot="1" x14ac:dyDescent="0.3">
      <c r="A71" s="325" t="s">
        <v>400</v>
      </c>
      <c r="B71" s="361">
        <v>0</v>
      </c>
    </row>
    <row r="72" spans="1:3" ht="16.5" thickBot="1" x14ac:dyDescent="0.3">
      <c r="A72" s="137" t="s">
        <v>401</v>
      </c>
      <c r="B72" s="329">
        <f>B71/$B$27</f>
        <v>0</v>
      </c>
    </row>
    <row r="73" spans="1:3" ht="16.5" thickBot="1" x14ac:dyDescent="0.3">
      <c r="A73" s="137" t="s">
        <v>402</v>
      </c>
      <c r="B73" s="360">
        <v>0</v>
      </c>
      <c r="C73" s="128">
        <v>1</v>
      </c>
    </row>
    <row r="74" spans="1:3" ht="16.5" thickBot="1" x14ac:dyDescent="0.3">
      <c r="A74" s="137" t="s">
        <v>403</v>
      </c>
      <c r="B74" s="360">
        <v>0</v>
      </c>
      <c r="C74" s="128">
        <v>2</v>
      </c>
    </row>
    <row r="75" spans="1:3" ht="29.25" thickBot="1" x14ac:dyDescent="0.3">
      <c r="A75" s="136" t="s">
        <v>406</v>
      </c>
      <c r="B75" s="144"/>
    </row>
    <row r="76" spans="1:3" ht="16.5" thickBot="1" x14ac:dyDescent="0.3">
      <c r="A76" s="138" t="s">
        <v>398</v>
      </c>
      <c r="B76" s="144"/>
    </row>
    <row r="77" spans="1:3" ht="16.5" thickBot="1" x14ac:dyDescent="0.3">
      <c r="A77" s="138" t="s">
        <v>407</v>
      </c>
      <c r="B77" s="144"/>
    </row>
    <row r="78" spans="1:3" ht="16.5" thickBot="1" x14ac:dyDescent="0.3">
      <c r="A78" s="138" t="s">
        <v>408</v>
      </c>
      <c r="B78" s="144"/>
    </row>
    <row r="79" spans="1:3" ht="16.5" thickBot="1" x14ac:dyDescent="0.3">
      <c r="A79" s="138" t="s">
        <v>409</v>
      </c>
      <c r="B79" s="144"/>
    </row>
    <row r="80" spans="1:3" ht="16.5" thickBot="1" x14ac:dyDescent="0.3">
      <c r="A80" s="134" t="s">
        <v>410</v>
      </c>
      <c r="B80" s="330">
        <f>B81/$B$27</f>
        <v>2.8955862472888963E-2</v>
      </c>
    </row>
    <row r="81" spans="1:2" ht="16.5" thickBot="1" x14ac:dyDescent="0.3">
      <c r="A81" s="134" t="s">
        <v>411</v>
      </c>
      <c r="B81" s="327">
        <f xml:space="preserve"> SUMIF(C33:C74, 1,B33:B74)</f>
        <v>0.7</v>
      </c>
    </row>
    <row r="82" spans="1:2" ht="16.5" thickBot="1" x14ac:dyDescent="0.3">
      <c r="A82" s="134" t="s">
        <v>412</v>
      </c>
      <c r="B82" s="330">
        <f>B83/$B$27</f>
        <v>2.8955862472888963E-2</v>
      </c>
    </row>
    <row r="83" spans="1:2" ht="16.5" thickBot="1" x14ac:dyDescent="0.3">
      <c r="A83" s="135" t="s">
        <v>413</v>
      </c>
      <c r="B83" s="327">
        <f xml:space="preserve"> SUMIF(C35:C76, 2,B35:B76)</f>
        <v>0.7</v>
      </c>
    </row>
    <row r="84" spans="1:2" x14ac:dyDescent="0.25">
      <c r="A84" s="136" t="s">
        <v>414</v>
      </c>
      <c r="B84" s="500" t="s">
        <v>415</v>
      </c>
    </row>
    <row r="85" spans="1:2" x14ac:dyDescent="0.25">
      <c r="A85" s="140" t="s">
        <v>416</v>
      </c>
      <c r="B85" s="501"/>
    </row>
    <row r="86" spans="1:2" x14ac:dyDescent="0.25">
      <c r="A86" s="140" t="s">
        <v>417</v>
      </c>
      <c r="B86" s="501"/>
    </row>
    <row r="87" spans="1:2" x14ac:dyDescent="0.25">
      <c r="A87" s="140" t="s">
        <v>418</v>
      </c>
      <c r="B87" s="501"/>
    </row>
    <row r="88" spans="1:2" x14ac:dyDescent="0.25">
      <c r="A88" s="140" t="s">
        <v>419</v>
      </c>
      <c r="B88" s="501"/>
    </row>
    <row r="89" spans="1:2" ht="16.5" thickBot="1" x14ac:dyDescent="0.3">
      <c r="A89" s="141" t="s">
        <v>420</v>
      </c>
      <c r="B89" s="502"/>
    </row>
    <row r="90" spans="1:2" ht="30.75" thickBot="1" x14ac:dyDescent="0.3">
      <c r="A90" s="138" t="s">
        <v>421</v>
      </c>
      <c r="B90" s="139"/>
    </row>
    <row r="91" spans="1:2" ht="29.25" thickBot="1" x14ac:dyDescent="0.3">
      <c r="A91" s="134" t="s">
        <v>422</v>
      </c>
      <c r="B91" s="139"/>
    </row>
    <row r="92" spans="1:2" ht="16.5" thickBot="1" x14ac:dyDescent="0.3">
      <c r="A92" s="138" t="s">
        <v>398</v>
      </c>
      <c r="B92" s="146"/>
    </row>
    <row r="93" spans="1:2" ht="16.5" thickBot="1" x14ac:dyDescent="0.3">
      <c r="A93" s="138" t="s">
        <v>423</v>
      </c>
      <c r="B93" s="139"/>
    </row>
    <row r="94" spans="1:2" ht="16.5" thickBot="1" x14ac:dyDescent="0.3">
      <c r="A94" s="138" t="s">
        <v>424</v>
      </c>
      <c r="B94" s="146"/>
    </row>
    <row r="95" spans="1:2" ht="30.75" thickBot="1" x14ac:dyDescent="0.3">
      <c r="A95" s="147" t="s">
        <v>425</v>
      </c>
      <c r="B95" s="359" t="s">
        <v>426</v>
      </c>
    </row>
    <row r="96" spans="1:2" ht="16.5" thickBot="1" x14ac:dyDescent="0.3">
      <c r="A96" s="134" t="s">
        <v>427</v>
      </c>
      <c r="B96" s="145"/>
    </row>
    <row r="97" spans="1:2" ht="16.5" thickBot="1" x14ac:dyDescent="0.3">
      <c r="A97" s="140" t="s">
        <v>428</v>
      </c>
      <c r="B97" s="148"/>
    </row>
    <row r="98" spans="1:2" ht="16.5" thickBot="1" x14ac:dyDescent="0.3">
      <c r="A98" s="140" t="s">
        <v>429</v>
      </c>
      <c r="B98" s="148"/>
    </row>
    <row r="99" spans="1:2" ht="16.5" thickBot="1" x14ac:dyDescent="0.3">
      <c r="A99" s="140" t="s">
        <v>430</v>
      </c>
      <c r="B99" s="148"/>
    </row>
    <row r="100" spans="1:2" ht="45.75" thickBot="1" x14ac:dyDescent="0.3">
      <c r="A100" s="149" t="s">
        <v>431</v>
      </c>
      <c r="B100" s="146" t="s">
        <v>432</v>
      </c>
    </row>
    <row r="101" spans="1:2" ht="28.5" x14ac:dyDescent="0.25">
      <c r="A101" s="136" t="s">
        <v>433</v>
      </c>
      <c r="B101" s="500" t="s">
        <v>434</v>
      </c>
    </row>
    <row r="102" spans="1:2" x14ac:dyDescent="0.25">
      <c r="A102" s="140" t="s">
        <v>435</v>
      </c>
      <c r="B102" s="501"/>
    </row>
    <row r="103" spans="1:2" x14ac:dyDescent="0.25">
      <c r="A103" s="140" t="s">
        <v>436</v>
      </c>
      <c r="B103" s="501"/>
    </row>
    <row r="104" spans="1:2" x14ac:dyDescent="0.25">
      <c r="A104" s="140" t="s">
        <v>437</v>
      </c>
      <c r="B104" s="501"/>
    </row>
    <row r="105" spans="1:2" x14ac:dyDescent="0.25">
      <c r="A105" s="140" t="s">
        <v>438</v>
      </c>
      <c r="B105" s="501"/>
    </row>
    <row r="106" spans="1:2" ht="16.5" thickBot="1" x14ac:dyDescent="0.3">
      <c r="A106" s="150" t="s">
        <v>439</v>
      </c>
      <c r="B106" s="502"/>
    </row>
    <row r="109" spans="1:2" x14ac:dyDescent="0.25">
      <c r="A109" s="151"/>
      <c r="B109" s="152"/>
    </row>
    <row r="110" spans="1:2" x14ac:dyDescent="0.25">
      <c r="B110" s="153"/>
    </row>
    <row r="111" spans="1:2" x14ac:dyDescent="0.25">
      <c r="B111" s="15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7"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10</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4" t="str">
        <f>'1. паспорт местоположение'!A9:C9</f>
        <v xml:space="preserve">                         АО "Янтарьэнерго"                         </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9" t="s">
        <v>9</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4" t="str">
        <f>'1. паспорт местоположение'!A12:C12</f>
        <v>F_prj_111001_5326</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9" t="s">
        <v>8</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10"/>
      <c r="U13" s="10"/>
      <c r="V13" s="10"/>
      <c r="W13" s="10"/>
      <c r="X13" s="10"/>
      <c r="Y13" s="10"/>
      <c r="Z13" s="10"/>
      <c r="AA13" s="10"/>
      <c r="AB13" s="10"/>
    </row>
    <row r="14" spans="1:28" s="3" customFormat="1" ht="15.75" x14ac:dyDescent="0.2">
      <c r="A14" s="389"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389"/>
      <c r="C14" s="389"/>
      <c r="D14" s="389"/>
      <c r="E14" s="389"/>
      <c r="F14" s="389"/>
      <c r="G14" s="389"/>
      <c r="H14" s="389"/>
      <c r="I14" s="389"/>
      <c r="J14" s="389"/>
      <c r="K14" s="389"/>
      <c r="L14" s="389"/>
      <c r="M14" s="389"/>
      <c r="N14" s="389"/>
      <c r="O14" s="389"/>
      <c r="P14" s="389"/>
      <c r="Q14" s="389"/>
      <c r="R14" s="389"/>
      <c r="S14" s="389"/>
      <c r="T14" s="8"/>
      <c r="U14" s="8"/>
      <c r="V14" s="8"/>
      <c r="W14" s="8"/>
      <c r="X14" s="8"/>
      <c r="Y14" s="8"/>
      <c r="Z14" s="8"/>
      <c r="AA14" s="8"/>
      <c r="AB14" s="8"/>
    </row>
    <row r="15" spans="1:28" s="3" customFormat="1" ht="15" customHeight="1" x14ac:dyDescent="0.2">
      <c r="A15" s="379" t="s">
        <v>7</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90"/>
      <c r="B16" s="390"/>
      <c r="C16" s="390"/>
      <c r="D16" s="390"/>
      <c r="E16" s="390"/>
      <c r="F16" s="390"/>
      <c r="G16" s="390"/>
      <c r="H16" s="390"/>
      <c r="I16" s="390"/>
      <c r="J16" s="390"/>
      <c r="K16" s="390"/>
      <c r="L16" s="390"/>
      <c r="M16" s="390"/>
      <c r="N16" s="390"/>
      <c r="O16" s="390"/>
      <c r="P16" s="390"/>
      <c r="Q16" s="390"/>
      <c r="R16" s="390"/>
      <c r="S16" s="390"/>
      <c r="T16" s="4"/>
      <c r="U16" s="4"/>
      <c r="V16" s="4"/>
      <c r="W16" s="4"/>
      <c r="X16" s="4"/>
      <c r="Y16" s="4"/>
    </row>
    <row r="17" spans="1:28" s="3" customFormat="1" ht="45.75" customHeight="1" x14ac:dyDescent="0.2">
      <c r="A17" s="380" t="s">
        <v>498</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4"/>
      <c r="U18" s="4"/>
      <c r="V18" s="4"/>
      <c r="W18" s="4"/>
      <c r="X18" s="4"/>
      <c r="Y18" s="4"/>
    </row>
    <row r="19" spans="1:28" s="3" customFormat="1" ht="54" customHeight="1" x14ac:dyDescent="0.2">
      <c r="A19" s="383" t="s">
        <v>6</v>
      </c>
      <c r="B19" s="383" t="s">
        <v>101</v>
      </c>
      <c r="C19" s="385" t="s">
        <v>388</v>
      </c>
      <c r="D19" s="383" t="s">
        <v>387</v>
      </c>
      <c r="E19" s="383" t="s">
        <v>100</v>
      </c>
      <c r="F19" s="383" t="s">
        <v>99</v>
      </c>
      <c r="G19" s="383" t="s">
        <v>383</v>
      </c>
      <c r="H19" s="383" t="s">
        <v>98</v>
      </c>
      <c r="I19" s="383" t="s">
        <v>97</v>
      </c>
      <c r="J19" s="383" t="s">
        <v>96</v>
      </c>
      <c r="K19" s="383" t="s">
        <v>95</v>
      </c>
      <c r="L19" s="383" t="s">
        <v>94</v>
      </c>
      <c r="M19" s="383" t="s">
        <v>93</v>
      </c>
      <c r="N19" s="383" t="s">
        <v>92</v>
      </c>
      <c r="O19" s="383" t="s">
        <v>91</v>
      </c>
      <c r="P19" s="383" t="s">
        <v>90</v>
      </c>
      <c r="Q19" s="383" t="s">
        <v>386</v>
      </c>
      <c r="R19" s="383"/>
      <c r="S19" s="387" t="s">
        <v>492</v>
      </c>
      <c r="T19" s="4"/>
      <c r="U19" s="4"/>
      <c r="V19" s="4"/>
      <c r="W19" s="4"/>
      <c r="X19" s="4"/>
      <c r="Y19" s="4"/>
    </row>
    <row r="20" spans="1:28" s="3" customFormat="1" ht="180.75" customHeight="1" x14ac:dyDescent="0.2">
      <c r="A20" s="383"/>
      <c r="B20" s="383"/>
      <c r="C20" s="386"/>
      <c r="D20" s="383"/>
      <c r="E20" s="383"/>
      <c r="F20" s="383"/>
      <c r="G20" s="383"/>
      <c r="H20" s="383"/>
      <c r="I20" s="383"/>
      <c r="J20" s="383"/>
      <c r="K20" s="383"/>
      <c r="L20" s="383"/>
      <c r="M20" s="383"/>
      <c r="N20" s="383"/>
      <c r="O20" s="383"/>
      <c r="P20" s="383"/>
      <c r="Q20" s="47" t="s">
        <v>384</v>
      </c>
      <c r="R20" s="48" t="s">
        <v>385</v>
      </c>
      <c r="S20" s="387"/>
      <c r="T20" s="32"/>
      <c r="U20" s="32"/>
      <c r="V20" s="32"/>
      <c r="W20" s="32"/>
      <c r="X20" s="32"/>
      <c r="Y20" s="32"/>
      <c r="Z20" s="31"/>
      <c r="AA20" s="31"/>
      <c r="AB20" s="31"/>
    </row>
    <row r="21" spans="1:28" s="3" customFormat="1" ht="18.75" x14ac:dyDescent="0.2">
      <c r="A21" s="47">
        <v>1</v>
      </c>
      <c r="B21" s="52">
        <v>2</v>
      </c>
      <c r="C21" s="47">
        <v>3</v>
      </c>
      <c r="D21" s="52">
        <v>4</v>
      </c>
      <c r="E21" s="47">
        <v>5</v>
      </c>
      <c r="F21" s="52">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364.5" customHeight="1" x14ac:dyDescent="0.2">
      <c r="A22" s="47"/>
      <c r="B22" s="184" t="s">
        <v>617</v>
      </c>
      <c r="C22" s="184" t="s">
        <v>616</v>
      </c>
      <c r="D22" s="184" t="s">
        <v>544</v>
      </c>
      <c r="E22" s="184" t="s">
        <v>618</v>
      </c>
      <c r="F22" s="184" t="s">
        <v>545</v>
      </c>
      <c r="G22" s="184" t="s">
        <v>619</v>
      </c>
      <c r="H22" s="184">
        <v>250</v>
      </c>
      <c r="I22" s="184" t="s">
        <v>382</v>
      </c>
      <c r="J22" s="184">
        <v>250</v>
      </c>
      <c r="K22" s="184" t="s">
        <v>546</v>
      </c>
      <c r="L22" s="184">
        <v>3</v>
      </c>
      <c r="M22" s="184">
        <v>0.8</v>
      </c>
      <c r="N22" s="184">
        <v>2</v>
      </c>
      <c r="O22" s="184"/>
      <c r="P22" s="184"/>
      <c r="Q22" s="184" t="s">
        <v>621</v>
      </c>
      <c r="R22" s="184"/>
      <c r="S22" s="331">
        <v>2.7346794999999999</v>
      </c>
      <c r="T22" s="32"/>
      <c r="U22" s="32"/>
      <c r="V22" s="32"/>
      <c r="W22" s="32"/>
      <c r="X22" s="32"/>
      <c r="Y22" s="32"/>
      <c r="Z22" s="31"/>
      <c r="AA22" s="31"/>
      <c r="AB22" s="31"/>
    </row>
    <row r="23" spans="1:28" ht="20.25" customHeight="1" x14ac:dyDescent="0.25">
      <c r="A23" s="125"/>
      <c r="B23" s="52" t="s">
        <v>381</v>
      </c>
      <c r="C23" s="52"/>
      <c r="D23" s="52"/>
      <c r="E23" s="125" t="s">
        <v>382</v>
      </c>
      <c r="F23" s="125" t="s">
        <v>382</v>
      </c>
      <c r="G23" s="125" t="s">
        <v>382</v>
      </c>
      <c r="H23" s="125"/>
      <c r="I23" s="125"/>
      <c r="J23" s="125"/>
      <c r="K23" s="125"/>
      <c r="L23" s="125"/>
      <c r="M23" s="125"/>
      <c r="N23" s="125"/>
      <c r="O23" s="125"/>
      <c r="P23" s="125"/>
      <c r="Q23" s="126"/>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620</v>
      </c>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0" zoomScale="80" zoomScaleNormal="60" zoomScaleSheetLayoutView="80" workbookViewId="0">
      <selection activeCell="O25" sqref="O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6.85546875"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4.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2016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10</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4" t="str">
        <f>'1. паспорт местоположение'!A9:C9</f>
        <v xml:space="preserve">                         АО "Янтарьэнерго"                         </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9" t="s">
        <v>9</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4" t="str">
        <f>'1. паспорт местоположение'!A12:C12</f>
        <v>F_prj_111001_5326</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9" t="s">
        <v>8</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3" customFormat="1" x14ac:dyDescent="0.2">
      <c r="A16" s="389"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6" s="389"/>
      <c r="C16" s="389"/>
      <c r="D16" s="389"/>
      <c r="E16" s="389"/>
      <c r="F16" s="389"/>
      <c r="G16" s="389"/>
      <c r="H16" s="389"/>
      <c r="I16" s="389"/>
      <c r="J16" s="389"/>
      <c r="K16" s="389"/>
      <c r="L16" s="389"/>
      <c r="M16" s="389"/>
      <c r="N16" s="389"/>
      <c r="O16" s="389"/>
      <c r="P16" s="389"/>
      <c r="Q16" s="389"/>
      <c r="R16" s="389"/>
      <c r="S16" s="389"/>
      <c r="T16" s="389"/>
    </row>
    <row r="17" spans="1:113" s="3" customFormat="1" ht="15" customHeight="1" x14ac:dyDescent="0.2">
      <c r="A17" s="379" t="s">
        <v>7</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390"/>
    </row>
    <row r="19" spans="1:113" s="3" customFormat="1" ht="15" customHeight="1" x14ac:dyDescent="0.2">
      <c r="A19" s="381" t="s">
        <v>503</v>
      </c>
      <c r="B19" s="381"/>
      <c r="C19" s="381"/>
      <c r="D19" s="381"/>
      <c r="E19" s="381"/>
      <c r="F19" s="381"/>
      <c r="G19" s="381"/>
      <c r="H19" s="381"/>
      <c r="I19" s="381"/>
      <c r="J19" s="381"/>
      <c r="K19" s="381"/>
      <c r="L19" s="381"/>
      <c r="M19" s="381"/>
      <c r="N19" s="381"/>
      <c r="O19" s="381"/>
      <c r="P19" s="381"/>
      <c r="Q19" s="381"/>
      <c r="R19" s="381"/>
      <c r="S19" s="381"/>
      <c r="T19" s="381"/>
    </row>
    <row r="20" spans="1:113" s="65"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113" ht="46.5" customHeight="1" x14ac:dyDescent="0.25">
      <c r="A21" s="400" t="s">
        <v>6</v>
      </c>
      <c r="B21" s="393" t="s">
        <v>227</v>
      </c>
      <c r="C21" s="394"/>
      <c r="D21" s="397" t="s">
        <v>123</v>
      </c>
      <c r="E21" s="393" t="s">
        <v>532</v>
      </c>
      <c r="F21" s="394"/>
      <c r="G21" s="393" t="s">
        <v>278</v>
      </c>
      <c r="H21" s="394"/>
      <c r="I21" s="393" t="s">
        <v>122</v>
      </c>
      <c r="J21" s="394"/>
      <c r="K21" s="397" t="s">
        <v>121</v>
      </c>
      <c r="L21" s="393" t="s">
        <v>120</v>
      </c>
      <c r="M21" s="394"/>
      <c r="N21" s="393" t="s">
        <v>528</v>
      </c>
      <c r="O21" s="394"/>
      <c r="P21" s="397" t="s">
        <v>119</v>
      </c>
      <c r="Q21" s="403" t="s">
        <v>118</v>
      </c>
      <c r="R21" s="404"/>
      <c r="S21" s="403" t="s">
        <v>117</v>
      </c>
      <c r="T21" s="405"/>
    </row>
    <row r="22" spans="1:113" ht="204.75" customHeight="1" x14ac:dyDescent="0.25">
      <c r="A22" s="401"/>
      <c r="B22" s="395"/>
      <c r="C22" s="396"/>
      <c r="D22" s="399"/>
      <c r="E22" s="395"/>
      <c r="F22" s="396"/>
      <c r="G22" s="395"/>
      <c r="H22" s="396"/>
      <c r="I22" s="395"/>
      <c r="J22" s="396"/>
      <c r="K22" s="398"/>
      <c r="L22" s="395"/>
      <c r="M22" s="396"/>
      <c r="N22" s="395"/>
      <c r="O22" s="396"/>
      <c r="P22" s="398"/>
      <c r="Q22" s="113" t="s">
        <v>116</v>
      </c>
      <c r="R22" s="113" t="s">
        <v>502</v>
      </c>
      <c r="S22" s="113" t="s">
        <v>115</v>
      </c>
      <c r="T22" s="113" t="s">
        <v>114</v>
      </c>
    </row>
    <row r="23" spans="1:113" ht="51.75" customHeight="1" x14ac:dyDescent="0.25">
      <c r="A23" s="402"/>
      <c r="B23" s="166" t="s">
        <v>112</v>
      </c>
      <c r="C23" s="166" t="s">
        <v>113</v>
      </c>
      <c r="D23" s="398"/>
      <c r="E23" s="166" t="s">
        <v>112</v>
      </c>
      <c r="F23" s="166" t="s">
        <v>113</v>
      </c>
      <c r="G23" s="166" t="s">
        <v>112</v>
      </c>
      <c r="H23" s="166" t="s">
        <v>113</v>
      </c>
      <c r="I23" s="166" t="s">
        <v>112</v>
      </c>
      <c r="J23" s="166" t="s">
        <v>113</v>
      </c>
      <c r="K23" s="166" t="s">
        <v>112</v>
      </c>
      <c r="L23" s="166" t="s">
        <v>112</v>
      </c>
      <c r="M23" s="166" t="s">
        <v>113</v>
      </c>
      <c r="N23" s="166" t="s">
        <v>112</v>
      </c>
      <c r="O23" s="166" t="s">
        <v>113</v>
      </c>
      <c r="P23" s="167" t="s">
        <v>112</v>
      </c>
      <c r="Q23" s="113" t="s">
        <v>112</v>
      </c>
      <c r="R23" s="113" t="s">
        <v>112</v>
      </c>
      <c r="S23" s="113" t="s">
        <v>112</v>
      </c>
      <c r="T23" s="113"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189" customFormat="1" ht="47.25" x14ac:dyDescent="0.25">
      <c r="A25" s="67">
        <v>1</v>
      </c>
      <c r="B25" s="187" t="s">
        <v>382</v>
      </c>
      <c r="C25" s="187" t="s">
        <v>628</v>
      </c>
      <c r="D25" s="187" t="s">
        <v>108</v>
      </c>
      <c r="E25" s="187" t="s">
        <v>382</v>
      </c>
      <c r="F25" s="190" t="s">
        <v>629</v>
      </c>
      <c r="G25" s="187" t="s">
        <v>382</v>
      </c>
      <c r="H25" s="363" t="s">
        <v>630</v>
      </c>
      <c r="I25" s="187" t="s">
        <v>382</v>
      </c>
      <c r="J25" s="66" t="s">
        <v>632</v>
      </c>
      <c r="K25" s="187" t="s">
        <v>382</v>
      </c>
      <c r="L25" s="187" t="s">
        <v>382</v>
      </c>
      <c r="M25" s="187">
        <v>6</v>
      </c>
      <c r="N25" s="187" t="s">
        <v>382</v>
      </c>
      <c r="O25" s="187">
        <v>0.4</v>
      </c>
      <c r="P25" s="187" t="s">
        <v>382</v>
      </c>
      <c r="Q25" s="187" t="s">
        <v>382</v>
      </c>
      <c r="R25" s="187" t="s">
        <v>382</v>
      </c>
      <c r="S25" s="187" t="s">
        <v>382</v>
      </c>
      <c r="T25" s="187" t="s">
        <v>382</v>
      </c>
    </row>
    <row r="26" spans="1:113" s="189" customFormat="1" ht="47.25" x14ac:dyDescent="0.25">
      <c r="A26" s="67">
        <v>2</v>
      </c>
      <c r="B26" s="187" t="s">
        <v>382</v>
      </c>
      <c r="C26" s="187" t="s">
        <v>628</v>
      </c>
      <c r="D26" s="187" t="s">
        <v>108</v>
      </c>
      <c r="E26" s="187" t="s">
        <v>382</v>
      </c>
      <c r="F26" s="190" t="s">
        <v>629</v>
      </c>
      <c r="G26" s="187" t="s">
        <v>382</v>
      </c>
      <c r="H26" s="363" t="s">
        <v>631</v>
      </c>
      <c r="I26" s="187" t="s">
        <v>382</v>
      </c>
      <c r="J26" s="66" t="s">
        <v>632</v>
      </c>
      <c r="K26" s="187" t="s">
        <v>382</v>
      </c>
      <c r="L26" s="187" t="s">
        <v>382</v>
      </c>
      <c r="M26" s="187">
        <v>6</v>
      </c>
      <c r="N26" s="187" t="s">
        <v>382</v>
      </c>
      <c r="O26" s="187">
        <v>0.4</v>
      </c>
      <c r="P26" s="187" t="s">
        <v>382</v>
      </c>
      <c r="Q26" s="187" t="s">
        <v>382</v>
      </c>
      <c r="R26" s="187" t="s">
        <v>382</v>
      </c>
      <c r="S26" s="187" t="s">
        <v>382</v>
      </c>
      <c r="T26" s="187" t="s">
        <v>382</v>
      </c>
    </row>
    <row r="27" spans="1:113" ht="3" customHeight="1" x14ac:dyDescent="0.25"/>
    <row r="28" spans="1:113" s="63" customFormat="1" ht="12.75" x14ac:dyDescent="0.2">
      <c r="B28" s="64"/>
      <c r="C28" s="64"/>
      <c r="K28" s="64"/>
    </row>
    <row r="29" spans="1:113" s="63" customFormat="1" x14ac:dyDescent="0.25">
      <c r="B29" s="61" t="s">
        <v>111</v>
      </c>
      <c r="C29" s="61"/>
      <c r="D29" s="61"/>
      <c r="E29" s="61"/>
      <c r="F29" s="61"/>
      <c r="G29" s="61"/>
      <c r="H29" s="61"/>
      <c r="I29" s="61"/>
      <c r="J29" s="61"/>
      <c r="K29" s="61"/>
      <c r="L29" s="61"/>
      <c r="M29" s="61"/>
      <c r="N29" s="61"/>
      <c r="O29" s="61"/>
      <c r="P29" s="61"/>
      <c r="Q29" s="61"/>
      <c r="R29" s="61"/>
    </row>
    <row r="30" spans="1:113" x14ac:dyDescent="0.25">
      <c r="B30" s="392" t="s">
        <v>538</v>
      </c>
      <c r="C30" s="392"/>
      <c r="D30" s="392"/>
      <c r="E30" s="392"/>
      <c r="F30" s="392"/>
      <c r="G30" s="392"/>
      <c r="H30" s="392"/>
      <c r="I30" s="392"/>
      <c r="J30" s="392"/>
      <c r="K30" s="392"/>
      <c r="L30" s="392"/>
      <c r="M30" s="392"/>
      <c r="N30" s="392"/>
      <c r="O30" s="392"/>
      <c r="P30" s="392"/>
      <c r="Q30" s="392"/>
      <c r="R30" s="392"/>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501</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110</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109</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108</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Q30" sqref="Q3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382" t="s">
        <v>10</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 xml:space="preserve">                         АО "Янтарьэнерго"                         </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79" t="s">
        <v>9</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F_prj_111001_5326</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9" t="s">
        <v>8</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9" t="str">
        <f>'1. паспорт местоположение'!A15</f>
        <v xml:space="preserve">Строительство БКТП 6/0,4 кВ,  реконструкция КЛ 6 кВ ф.12, строительство участка КЛ 6 кВ от ТПн до места рассечки КЛ 6 кВ ф.12 по ул. Искры в г.Советск </v>
      </c>
      <c r="F15" s="389"/>
      <c r="G15" s="389"/>
      <c r="H15" s="389"/>
      <c r="I15" s="389"/>
      <c r="J15" s="389"/>
      <c r="K15" s="389"/>
      <c r="L15" s="389"/>
      <c r="M15" s="389"/>
      <c r="N15" s="389"/>
      <c r="O15" s="389"/>
      <c r="P15" s="389"/>
      <c r="Q15" s="389"/>
      <c r="R15" s="389"/>
      <c r="S15" s="389"/>
      <c r="T15" s="389"/>
      <c r="U15" s="389"/>
      <c r="V15" s="389"/>
      <c r="W15" s="389"/>
      <c r="X15" s="389"/>
      <c r="Y15" s="389"/>
    </row>
    <row r="16" spans="1:27" s="3" customFormat="1" ht="15" customHeight="1" x14ac:dyDescent="0.2">
      <c r="E16" s="379" t="s">
        <v>7</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505</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5" customFormat="1" ht="21" customHeight="1" x14ac:dyDescent="0.25"/>
    <row r="21" spans="1:27" ht="15.75" customHeight="1" x14ac:dyDescent="0.25">
      <c r="A21" s="407" t="s">
        <v>6</v>
      </c>
      <c r="B21" s="410" t="s">
        <v>512</v>
      </c>
      <c r="C21" s="411"/>
      <c r="D21" s="410" t="s">
        <v>514</v>
      </c>
      <c r="E21" s="411"/>
      <c r="F21" s="403" t="s">
        <v>95</v>
      </c>
      <c r="G21" s="405"/>
      <c r="H21" s="405"/>
      <c r="I21" s="404"/>
      <c r="J21" s="407" t="s">
        <v>515</v>
      </c>
      <c r="K21" s="410" t="s">
        <v>516</v>
      </c>
      <c r="L21" s="411"/>
      <c r="M21" s="410" t="s">
        <v>517</v>
      </c>
      <c r="N21" s="411"/>
      <c r="O21" s="410" t="s">
        <v>504</v>
      </c>
      <c r="P21" s="411"/>
      <c r="Q21" s="410" t="s">
        <v>128</v>
      </c>
      <c r="R21" s="411"/>
      <c r="S21" s="407" t="s">
        <v>127</v>
      </c>
      <c r="T21" s="407" t="s">
        <v>518</v>
      </c>
      <c r="U21" s="407" t="s">
        <v>513</v>
      </c>
      <c r="V21" s="410" t="s">
        <v>126</v>
      </c>
      <c r="W21" s="411"/>
      <c r="X21" s="403" t="s">
        <v>118</v>
      </c>
      <c r="Y21" s="405"/>
      <c r="Z21" s="403" t="s">
        <v>117</v>
      </c>
      <c r="AA21" s="405"/>
    </row>
    <row r="22" spans="1:27" ht="216" customHeight="1" x14ac:dyDescent="0.25">
      <c r="A22" s="408"/>
      <c r="B22" s="412"/>
      <c r="C22" s="413"/>
      <c r="D22" s="412"/>
      <c r="E22" s="413"/>
      <c r="F22" s="403" t="s">
        <v>125</v>
      </c>
      <c r="G22" s="404"/>
      <c r="H22" s="403" t="s">
        <v>124</v>
      </c>
      <c r="I22" s="404"/>
      <c r="J22" s="409"/>
      <c r="K22" s="412"/>
      <c r="L22" s="413"/>
      <c r="M22" s="412"/>
      <c r="N22" s="413"/>
      <c r="O22" s="412"/>
      <c r="P22" s="413"/>
      <c r="Q22" s="412"/>
      <c r="R22" s="413"/>
      <c r="S22" s="409"/>
      <c r="T22" s="409"/>
      <c r="U22" s="409"/>
      <c r="V22" s="412"/>
      <c r="W22" s="413"/>
      <c r="X22" s="113" t="s">
        <v>116</v>
      </c>
      <c r="Y22" s="113" t="s">
        <v>502</v>
      </c>
      <c r="Z22" s="113" t="s">
        <v>115</v>
      </c>
      <c r="AA22" s="113" t="s">
        <v>114</v>
      </c>
    </row>
    <row r="23" spans="1:27" ht="60" customHeight="1" x14ac:dyDescent="0.25">
      <c r="A23" s="409"/>
      <c r="B23" s="164" t="s">
        <v>112</v>
      </c>
      <c r="C23" s="164" t="s">
        <v>113</v>
      </c>
      <c r="D23" s="114" t="s">
        <v>112</v>
      </c>
      <c r="E23" s="114" t="s">
        <v>113</v>
      </c>
      <c r="F23" s="114" t="s">
        <v>112</v>
      </c>
      <c r="G23" s="114" t="s">
        <v>113</v>
      </c>
      <c r="H23" s="114" t="s">
        <v>112</v>
      </c>
      <c r="I23" s="114" t="s">
        <v>113</v>
      </c>
      <c r="J23" s="114" t="s">
        <v>112</v>
      </c>
      <c r="K23" s="114" t="s">
        <v>112</v>
      </c>
      <c r="L23" s="114" t="s">
        <v>113</v>
      </c>
      <c r="M23" s="114" t="s">
        <v>112</v>
      </c>
      <c r="N23" s="114" t="s">
        <v>113</v>
      </c>
      <c r="O23" s="114" t="s">
        <v>112</v>
      </c>
      <c r="P23" s="114" t="s">
        <v>113</v>
      </c>
      <c r="Q23" s="114" t="s">
        <v>112</v>
      </c>
      <c r="R23" s="114" t="s">
        <v>113</v>
      </c>
      <c r="S23" s="114" t="s">
        <v>112</v>
      </c>
      <c r="T23" s="114" t="s">
        <v>112</v>
      </c>
      <c r="U23" s="114" t="s">
        <v>112</v>
      </c>
      <c r="V23" s="114" t="s">
        <v>112</v>
      </c>
      <c r="W23" s="114" t="s">
        <v>113</v>
      </c>
      <c r="X23" s="114" t="s">
        <v>112</v>
      </c>
      <c r="Y23" s="114" t="s">
        <v>112</v>
      </c>
      <c r="Z23" s="113" t="s">
        <v>112</v>
      </c>
      <c r="AA23" s="113" t="s">
        <v>112</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67" customFormat="1" ht="47.25" x14ac:dyDescent="0.25">
      <c r="A25" s="187">
        <v>1</v>
      </c>
      <c r="B25" s="187" t="s">
        <v>633</v>
      </c>
      <c r="C25" s="187" t="s">
        <v>633</v>
      </c>
      <c r="D25" s="187" t="s">
        <v>633</v>
      </c>
      <c r="E25" s="187" t="s">
        <v>633</v>
      </c>
      <c r="F25" s="187">
        <v>6</v>
      </c>
      <c r="G25" s="187">
        <v>6</v>
      </c>
      <c r="H25" s="187">
        <v>6</v>
      </c>
      <c r="I25" s="187">
        <v>6</v>
      </c>
      <c r="J25" s="187" t="s">
        <v>382</v>
      </c>
      <c r="K25" s="187" t="s">
        <v>382</v>
      </c>
      <c r="L25" s="188" t="s">
        <v>66</v>
      </c>
      <c r="M25" s="187" t="s">
        <v>382</v>
      </c>
      <c r="N25" s="365">
        <v>300</v>
      </c>
      <c r="O25" s="365" t="s">
        <v>566</v>
      </c>
      <c r="P25" s="365" t="s">
        <v>566</v>
      </c>
      <c r="Q25" s="187">
        <v>3.8809999999999998</v>
      </c>
      <c r="R25" s="187">
        <v>3.8809999999999998</v>
      </c>
      <c r="S25" s="187" t="s">
        <v>382</v>
      </c>
      <c r="T25" s="187" t="s">
        <v>382</v>
      </c>
      <c r="U25" s="187" t="s">
        <v>382</v>
      </c>
      <c r="V25" s="187" t="s">
        <v>382</v>
      </c>
      <c r="W25" s="366" t="s">
        <v>634</v>
      </c>
      <c r="X25" s="187" t="s">
        <v>382</v>
      </c>
      <c r="Y25" s="187" t="s">
        <v>382</v>
      </c>
      <c r="Z25" s="187" t="s">
        <v>382</v>
      </c>
      <c r="AA25" s="187" t="s">
        <v>382</v>
      </c>
    </row>
    <row r="26" spans="1:27" s="367" customFormat="1" ht="78.75" x14ac:dyDescent="0.25">
      <c r="A26" s="187">
        <v>1</v>
      </c>
      <c r="B26" s="187" t="s">
        <v>382</v>
      </c>
      <c r="C26" s="187" t="s">
        <v>635</v>
      </c>
      <c r="D26" s="187" t="s">
        <v>382</v>
      </c>
      <c r="E26" s="187" t="s">
        <v>635</v>
      </c>
      <c r="F26" s="187" t="s">
        <v>382</v>
      </c>
      <c r="G26" s="187">
        <v>6</v>
      </c>
      <c r="H26" s="187" t="s">
        <v>382</v>
      </c>
      <c r="I26" s="187">
        <v>6</v>
      </c>
      <c r="J26" s="187" t="s">
        <v>382</v>
      </c>
      <c r="K26" s="187" t="s">
        <v>382</v>
      </c>
      <c r="L26" s="188" t="s">
        <v>66</v>
      </c>
      <c r="M26" s="187" t="s">
        <v>382</v>
      </c>
      <c r="N26" s="365">
        <v>240</v>
      </c>
      <c r="O26" s="365" t="s">
        <v>566</v>
      </c>
      <c r="P26" s="365" t="s">
        <v>566</v>
      </c>
      <c r="Q26" s="187" t="s">
        <v>382</v>
      </c>
      <c r="R26" s="187">
        <v>0.27700000000000002</v>
      </c>
      <c r="S26" s="187" t="s">
        <v>382</v>
      </c>
      <c r="T26" s="187" t="s">
        <v>382</v>
      </c>
      <c r="U26" s="187" t="s">
        <v>382</v>
      </c>
      <c r="V26" s="187" t="s">
        <v>382</v>
      </c>
      <c r="W26" s="366" t="s">
        <v>634</v>
      </c>
      <c r="X26" s="187" t="s">
        <v>382</v>
      </c>
      <c r="Y26" s="187" t="s">
        <v>382</v>
      </c>
      <c r="Z26" s="187" t="s">
        <v>382</v>
      </c>
      <c r="AA26" s="187" t="s">
        <v>382</v>
      </c>
    </row>
    <row r="27" spans="1:27" ht="3" customHeight="1" x14ac:dyDescent="0.3">
      <c r="C27" s="364" t="s">
        <v>633</v>
      </c>
      <c r="X27" s="115"/>
      <c r="Y27" s="116"/>
      <c r="Z27" s="58"/>
      <c r="AA27" s="58"/>
    </row>
    <row r="28" spans="1:27" s="63" customFormat="1" ht="12.75" x14ac:dyDescent="0.2">
      <c r="A28" s="64"/>
      <c r="B28" s="64"/>
      <c r="C28" s="64"/>
      <c r="E28" s="64"/>
      <c r="X28" s="117"/>
      <c r="Y28" s="117"/>
      <c r="Z28" s="117"/>
      <c r="AA28" s="117"/>
    </row>
    <row r="29" spans="1:27" s="63" customFormat="1" ht="12.75" x14ac:dyDescent="0.2">
      <c r="A29" s="64"/>
      <c r="B29" s="64"/>
      <c r="C29"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2016 год</v>
      </c>
      <c r="B5" s="378"/>
      <c r="C5" s="378"/>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382" t="s">
        <v>10</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 xml:space="preserve">                         АО "Янтарьэнерго"                         </v>
      </c>
      <c r="B9" s="384"/>
      <c r="C9" s="384"/>
      <c r="D9" s="8"/>
      <c r="E9" s="8"/>
      <c r="F9" s="8"/>
      <c r="G9" s="8"/>
      <c r="H9" s="13"/>
      <c r="I9" s="13"/>
      <c r="J9" s="13"/>
      <c r="K9" s="13"/>
      <c r="L9" s="13"/>
      <c r="M9" s="13"/>
      <c r="N9" s="13"/>
      <c r="O9" s="13"/>
      <c r="P9" s="13"/>
      <c r="Q9" s="13"/>
      <c r="R9" s="13"/>
      <c r="S9" s="13"/>
      <c r="T9" s="13"/>
      <c r="U9" s="13"/>
    </row>
    <row r="10" spans="1:29" s="12" customFormat="1" ht="18.75" x14ac:dyDescent="0.2">
      <c r="A10" s="379" t="s">
        <v>9</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F_prj_111001_5326</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9" t="s">
        <v>8</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8"/>
      <c r="B14" s="388"/>
      <c r="C14" s="38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9"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89"/>
      <c r="C15" s="389"/>
      <c r="D15" s="8"/>
      <c r="E15" s="8"/>
      <c r="F15" s="8"/>
      <c r="G15" s="8"/>
      <c r="H15" s="8"/>
      <c r="I15" s="8"/>
      <c r="J15" s="8"/>
      <c r="K15" s="8"/>
      <c r="L15" s="8"/>
      <c r="M15" s="8"/>
      <c r="N15" s="8"/>
      <c r="O15" s="8"/>
      <c r="P15" s="8"/>
      <c r="Q15" s="8"/>
      <c r="R15" s="8"/>
      <c r="S15" s="8"/>
      <c r="T15" s="8"/>
      <c r="U15" s="8"/>
    </row>
    <row r="16" spans="1:29" s="3" customFormat="1" ht="15" customHeight="1" x14ac:dyDescent="0.2">
      <c r="A16" s="379" t="s">
        <v>7</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90"/>
      <c r="B17" s="390"/>
      <c r="C17" s="390"/>
      <c r="D17" s="4"/>
      <c r="E17" s="4"/>
      <c r="F17" s="4"/>
      <c r="G17" s="4"/>
      <c r="H17" s="4"/>
      <c r="I17" s="4"/>
      <c r="J17" s="4"/>
      <c r="K17" s="4"/>
      <c r="L17" s="4"/>
      <c r="M17" s="4"/>
      <c r="N17" s="4"/>
      <c r="O17" s="4"/>
      <c r="P17" s="4"/>
      <c r="Q17" s="4"/>
      <c r="R17" s="4"/>
    </row>
    <row r="18" spans="1:21" s="3" customFormat="1" ht="27.75" customHeight="1" x14ac:dyDescent="0.2">
      <c r="A18" s="380" t="s">
        <v>497</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510</v>
      </c>
      <c r="C22" s="34" t="s">
        <v>553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t="s">
        <v>626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626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t="s">
        <v>554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10</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61"/>
      <c r="AB6" s="161"/>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61"/>
      <c r="AB7" s="161"/>
    </row>
    <row r="8" spans="1:28" ht="15.75" x14ac:dyDescent="0.25">
      <c r="A8" s="384" t="str">
        <f>'1. паспорт местоположение'!A9:C9</f>
        <v xml:space="preserve">                         АО "Янтарьэнерго"                         </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62"/>
      <c r="AB8" s="162"/>
    </row>
    <row r="9" spans="1:28" ht="15.75"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63"/>
      <c r="AB9" s="163"/>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61"/>
      <c r="AB10" s="161"/>
    </row>
    <row r="11" spans="1:28" ht="15.75" x14ac:dyDescent="0.25">
      <c r="A11" s="384" t="str">
        <f>'1. паспорт местоположение'!A12:C12</f>
        <v>F_prj_111001_5326</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62"/>
      <c r="AB11" s="162"/>
    </row>
    <row r="12" spans="1:28" ht="15.75"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63"/>
      <c r="AB12" s="163"/>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11"/>
      <c r="AB13" s="11"/>
    </row>
    <row r="14" spans="1:28" ht="15.75" x14ac:dyDescent="0.25">
      <c r="A14" s="389"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162"/>
      <c r="AB14" s="162"/>
    </row>
    <row r="15" spans="1:28" ht="15.75"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63"/>
      <c r="AB15" s="163"/>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71"/>
      <c r="AB16" s="171"/>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71"/>
      <c r="AB17" s="171"/>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71"/>
      <c r="AB18" s="171"/>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71"/>
      <c r="AB19" s="171"/>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72"/>
      <c r="AB20" s="172"/>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72"/>
      <c r="AB21" s="172"/>
    </row>
    <row r="22" spans="1:28" x14ac:dyDescent="0.25">
      <c r="A22" s="415" t="s">
        <v>529</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73"/>
      <c r="AB22" s="173"/>
    </row>
    <row r="23" spans="1:28" ht="32.25" customHeight="1" x14ac:dyDescent="0.25">
      <c r="A23" s="417" t="s">
        <v>379</v>
      </c>
      <c r="B23" s="418"/>
      <c r="C23" s="418"/>
      <c r="D23" s="418"/>
      <c r="E23" s="418"/>
      <c r="F23" s="418"/>
      <c r="G23" s="418"/>
      <c r="H23" s="418"/>
      <c r="I23" s="418"/>
      <c r="J23" s="418"/>
      <c r="K23" s="418"/>
      <c r="L23" s="419"/>
      <c r="M23" s="416" t="s">
        <v>380</v>
      </c>
      <c r="N23" s="416"/>
      <c r="O23" s="416"/>
      <c r="P23" s="416"/>
      <c r="Q23" s="416"/>
      <c r="R23" s="416"/>
      <c r="S23" s="416"/>
      <c r="T23" s="416"/>
      <c r="U23" s="416"/>
      <c r="V23" s="416"/>
      <c r="W23" s="416"/>
      <c r="X23" s="416"/>
      <c r="Y23" s="416"/>
      <c r="Z23" s="416"/>
    </row>
    <row r="24" spans="1:28" ht="151.5" customHeight="1" x14ac:dyDescent="0.25">
      <c r="A24" s="110" t="s">
        <v>238</v>
      </c>
      <c r="B24" s="111" t="s">
        <v>267</v>
      </c>
      <c r="C24" s="110" t="s">
        <v>373</v>
      </c>
      <c r="D24" s="110" t="s">
        <v>239</v>
      </c>
      <c r="E24" s="110" t="s">
        <v>374</v>
      </c>
      <c r="F24" s="110" t="s">
        <v>376</v>
      </c>
      <c r="G24" s="110" t="s">
        <v>375</v>
      </c>
      <c r="H24" s="110" t="s">
        <v>240</v>
      </c>
      <c r="I24" s="110" t="s">
        <v>377</v>
      </c>
      <c r="J24" s="110" t="s">
        <v>272</v>
      </c>
      <c r="K24" s="111" t="s">
        <v>266</v>
      </c>
      <c r="L24" s="111" t="s">
        <v>241</v>
      </c>
      <c r="M24" s="112" t="s">
        <v>286</v>
      </c>
      <c r="N24" s="111" t="s">
        <v>540</v>
      </c>
      <c r="O24" s="110" t="s">
        <v>283</v>
      </c>
      <c r="P24" s="110" t="s">
        <v>284</v>
      </c>
      <c r="Q24" s="110" t="s">
        <v>282</v>
      </c>
      <c r="R24" s="110" t="s">
        <v>240</v>
      </c>
      <c r="S24" s="110" t="s">
        <v>281</v>
      </c>
      <c r="T24" s="110" t="s">
        <v>280</v>
      </c>
      <c r="U24" s="110" t="s">
        <v>372</v>
      </c>
      <c r="V24" s="110" t="s">
        <v>282</v>
      </c>
      <c r="W24" s="119" t="s">
        <v>265</v>
      </c>
      <c r="X24" s="119" t="s">
        <v>297</v>
      </c>
      <c r="Y24" s="119" t="s">
        <v>298</v>
      </c>
      <c r="Z24" s="121" t="s">
        <v>295</v>
      </c>
    </row>
    <row r="25" spans="1:28" ht="16.5" customHeight="1" x14ac:dyDescent="0.25">
      <c r="A25" s="110">
        <v>1</v>
      </c>
      <c r="B25" s="111">
        <v>2</v>
      </c>
      <c r="C25" s="110">
        <v>3</v>
      </c>
      <c r="D25" s="111">
        <v>4</v>
      </c>
      <c r="E25" s="110">
        <v>5</v>
      </c>
      <c r="F25" s="111">
        <v>6</v>
      </c>
      <c r="G25" s="110">
        <v>7</v>
      </c>
      <c r="H25" s="111">
        <v>8</v>
      </c>
      <c r="I25" s="110">
        <v>9</v>
      </c>
      <c r="J25" s="111">
        <v>10</v>
      </c>
      <c r="K25" s="174">
        <v>11</v>
      </c>
      <c r="L25" s="111">
        <v>12</v>
      </c>
      <c r="M25" s="174">
        <v>13</v>
      </c>
      <c r="N25" s="111">
        <v>14</v>
      </c>
      <c r="O25" s="174">
        <v>15</v>
      </c>
      <c r="P25" s="111">
        <v>16</v>
      </c>
      <c r="Q25" s="174">
        <v>17</v>
      </c>
      <c r="R25" s="111">
        <v>18</v>
      </c>
      <c r="S25" s="174">
        <v>19</v>
      </c>
      <c r="T25" s="111">
        <v>20</v>
      </c>
      <c r="U25" s="174">
        <v>21</v>
      </c>
      <c r="V25" s="111">
        <v>22</v>
      </c>
      <c r="W25" s="174">
        <v>23</v>
      </c>
      <c r="X25" s="111">
        <v>24</v>
      </c>
      <c r="Y25" s="174">
        <v>25</v>
      </c>
      <c r="Z25" s="111">
        <v>26</v>
      </c>
    </row>
    <row r="26" spans="1:28" ht="45.75" customHeight="1" x14ac:dyDescent="0.25">
      <c r="A26" s="103" t="s">
        <v>357</v>
      </c>
      <c r="B26" s="109"/>
      <c r="C26" s="105" t="s">
        <v>359</v>
      </c>
      <c r="D26" s="105" t="s">
        <v>360</v>
      </c>
      <c r="E26" s="105" t="s">
        <v>361</v>
      </c>
      <c r="F26" s="105" t="s">
        <v>277</v>
      </c>
      <c r="G26" s="105" t="s">
        <v>362</v>
      </c>
      <c r="H26" s="105" t="s">
        <v>240</v>
      </c>
      <c r="I26" s="105" t="s">
        <v>363</v>
      </c>
      <c r="J26" s="105" t="s">
        <v>364</v>
      </c>
      <c r="K26" s="102"/>
      <c r="L26" s="106" t="s">
        <v>263</v>
      </c>
      <c r="M26" s="108" t="s">
        <v>279</v>
      </c>
      <c r="N26" s="102"/>
      <c r="O26" s="102"/>
      <c r="P26" s="102"/>
      <c r="Q26" s="102"/>
      <c r="R26" s="102"/>
      <c r="S26" s="102"/>
      <c r="T26" s="102"/>
      <c r="U26" s="102"/>
      <c r="V26" s="102"/>
      <c r="W26" s="102"/>
      <c r="X26" s="102"/>
      <c r="Y26" s="102"/>
      <c r="Z26" s="104" t="s">
        <v>296</v>
      </c>
    </row>
    <row r="27" spans="1:28" x14ac:dyDescent="0.25">
      <c r="A27" s="102" t="s">
        <v>242</v>
      </c>
      <c r="B27" s="102" t="s">
        <v>268</v>
      </c>
      <c r="C27" s="102" t="s">
        <v>247</v>
      </c>
      <c r="D27" s="102" t="s">
        <v>248</v>
      </c>
      <c r="E27" s="102" t="s">
        <v>287</v>
      </c>
      <c r="F27" s="105" t="s">
        <v>243</v>
      </c>
      <c r="G27" s="105" t="s">
        <v>291</v>
      </c>
      <c r="H27" s="102" t="s">
        <v>240</v>
      </c>
      <c r="I27" s="105" t="s">
        <v>273</v>
      </c>
      <c r="J27" s="105" t="s">
        <v>255</v>
      </c>
      <c r="K27" s="106" t="s">
        <v>259</v>
      </c>
      <c r="L27" s="102"/>
      <c r="M27" s="106" t="s">
        <v>285</v>
      </c>
      <c r="N27" s="102"/>
      <c r="O27" s="102"/>
      <c r="P27" s="102"/>
      <c r="Q27" s="102"/>
      <c r="R27" s="102"/>
      <c r="S27" s="102"/>
      <c r="T27" s="102"/>
      <c r="U27" s="102"/>
      <c r="V27" s="102"/>
      <c r="W27" s="102"/>
      <c r="X27" s="102"/>
      <c r="Y27" s="102"/>
      <c r="Z27" s="102"/>
    </row>
    <row r="28" spans="1:28" x14ac:dyDescent="0.25">
      <c r="A28" s="102" t="s">
        <v>242</v>
      </c>
      <c r="B28" s="102" t="s">
        <v>269</v>
      </c>
      <c r="C28" s="102" t="s">
        <v>249</v>
      </c>
      <c r="D28" s="102" t="s">
        <v>250</v>
      </c>
      <c r="E28" s="102" t="s">
        <v>288</v>
      </c>
      <c r="F28" s="105" t="s">
        <v>244</v>
      </c>
      <c r="G28" s="105" t="s">
        <v>292</v>
      </c>
      <c r="H28" s="102" t="s">
        <v>240</v>
      </c>
      <c r="I28" s="105" t="s">
        <v>274</v>
      </c>
      <c r="J28" s="105" t="s">
        <v>256</v>
      </c>
      <c r="K28" s="106" t="s">
        <v>260</v>
      </c>
      <c r="L28" s="107"/>
      <c r="M28" s="106" t="s">
        <v>0</v>
      </c>
      <c r="N28" s="106"/>
      <c r="O28" s="106"/>
      <c r="P28" s="106"/>
      <c r="Q28" s="106"/>
      <c r="R28" s="106"/>
      <c r="S28" s="106"/>
      <c r="T28" s="106"/>
      <c r="U28" s="106"/>
      <c r="V28" s="106"/>
      <c r="W28" s="106"/>
      <c r="X28" s="106"/>
      <c r="Y28" s="106"/>
      <c r="Z28" s="106"/>
    </row>
    <row r="29" spans="1:28" x14ac:dyDescent="0.25">
      <c r="A29" s="102" t="s">
        <v>242</v>
      </c>
      <c r="B29" s="102" t="s">
        <v>270</v>
      </c>
      <c r="C29" s="102" t="s">
        <v>251</v>
      </c>
      <c r="D29" s="102" t="s">
        <v>252</v>
      </c>
      <c r="E29" s="102" t="s">
        <v>289</v>
      </c>
      <c r="F29" s="105" t="s">
        <v>245</v>
      </c>
      <c r="G29" s="105" t="s">
        <v>293</v>
      </c>
      <c r="H29" s="102" t="s">
        <v>240</v>
      </c>
      <c r="I29" s="105" t="s">
        <v>275</v>
      </c>
      <c r="J29" s="105" t="s">
        <v>257</v>
      </c>
      <c r="K29" s="106" t="s">
        <v>261</v>
      </c>
      <c r="L29" s="107"/>
      <c r="M29" s="102"/>
      <c r="N29" s="102"/>
      <c r="O29" s="102"/>
      <c r="P29" s="102"/>
      <c r="Q29" s="102"/>
      <c r="R29" s="102"/>
      <c r="S29" s="102"/>
      <c r="T29" s="102"/>
      <c r="U29" s="102"/>
      <c r="V29" s="102"/>
      <c r="W29" s="102"/>
      <c r="X29" s="102"/>
      <c r="Y29" s="102"/>
      <c r="Z29" s="102"/>
    </row>
    <row r="30" spans="1:28" x14ac:dyDescent="0.25">
      <c r="A30" s="102" t="s">
        <v>242</v>
      </c>
      <c r="B30" s="102" t="s">
        <v>271</v>
      </c>
      <c r="C30" s="102" t="s">
        <v>253</v>
      </c>
      <c r="D30" s="102" t="s">
        <v>254</v>
      </c>
      <c r="E30" s="102" t="s">
        <v>290</v>
      </c>
      <c r="F30" s="105" t="s">
        <v>246</v>
      </c>
      <c r="G30" s="105" t="s">
        <v>294</v>
      </c>
      <c r="H30" s="102" t="s">
        <v>240</v>
      </c>
      <c r="I30" s="105" t="s">
        <v>276</v>
      </c>
      <c r="J30" s="105" t="s">
        <v>258</v>
      </c>
      <c r="K30" s="106" t="s">
        <v>262</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358</v>
      </c>
      <c r="B32" s="109"/>
      <c r="C32" s="105" t="s">
        <v>365</v>
      </c>
      <c r="D32" s="105" t="s">
        <v>366</v>
      </c>
      <c r="E32" s="105" t="s">
        <v>367</v>
      </c>
      <c r="F32" s="105" t="s">
        <v>368</v>
      </c>
      <c r="G32" s="105" t="s">
        <v>369</v>
      </c>
      <c r="H32" s="105" t="s">
        <v>240</v>
      </c>
      <c r="I32" s="105" t="s">
        <v>370</v>
      </c>
      <c r="J32" s="105" t="s">
        <v>371</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82" t="s">
        <v>10</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4" t="str">
        <f>'1. паспорт местоположение'!A9:C9</f>
        <v xml:space="preserve">                         АО "Янтарьэнерго"                         </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9" t="s">
        <v>9</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4" t="str">
        <f>'1. паспорт местоположение'!A12:C12</f>
        <v>F_prj_111001_5326</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9" t="s">
        <v>8</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8"/>
      <c r="B14" s="388"/>
      <c r="C14" s="388"/>
      <c r="D14" s="388"/>
      <c r="E14" s="388"/>
      <c r="F14" s="388"/>
      <c r="G14" s="388"/>
      <c r="H14" s="388"/>
      <c r="I14" s="388"/>
      <c r="J14" s="388"/>
      <c r="K14" s="388"/>
      <c r="L14" s="388"/>
      <c r="M14" s="388"/>
      <c r="N14" s="388"/>
      <c r="O14" s="388"/>
      <c r="P14" s="10"/>
      <c r="Q14" s="10"/>
      <c r="R14" s="10"/>
      <c r="S14" s="10"/>
      <c r="T14" s="10"/>
      <c r="U14" s="10"/>
      <c r="V14" s="10"/>
      <c r="W14" s="10"/>
      <c r="X14" s="10"/>
      <c r="Y14" s="10"/>
      <c r="Z14" s="10"/>
    </row>
    <row r="15" spans="1:28" s="3" customFormat="1" ht="15.75" x14ac:dyDescent="0.2">
      <c r="A15" s="38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9" t="s">
        <v>7</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90"/>
      <c r="B17" s="390"/>
      <c r="C17" s="390"/>
      <c r="D17" s="390"/>
      <c r="E17" s="390"/>
      <c r="F17" s="390"/>
      <c r="G17" s="390"/>
      <c r="H17" s="390"/>
      <c r="I17" s="390"/>
      <c r="J17" s="390"/>
      <c r="K17" s="390"/>
      <c r="L17" s="390"/>
      <c r="M17" s="390"/>
      <c r="N17" s="390"/>
      <c r="O17" s="390"/>
      <c r="P17" s="4"/>
      <c r="Q17" s="4"/>
      <c r="R17" s="4"/>
      <c r="S17" s="4"/>
      <c r="T17" s="4"/>
      <c r="U17" s="4"/>
      <c r="V17" s="4"/>
      <c r="W17" s="4"/>
    </row>
    <row r="18" spans="1:26" s="3" customFormat="1" ht="91.5" customHeight="1" x14ac:dyDescent="0.2">
      <c r="A18" s="424" t="s">
        <v>506</v>
      </c>
      <c r="B18" s="424"/>
      <c r="C18" s="424"/>
      <c r="D18" s="424"/>
      <c r="E18" s="424"/>
      <c r="F18" s="424"/>
      <c r="G18" s="424"/>
      <c r="H18" s="424"/>
      <c r="I18" s="424"/>
      <c r="J18" s="424"/>
      <c r="K18" s="424"/>
      <c r="L18" s="424"/>
      <c r="M18" s="424"/>
      <c r="N18" s="424"/>
      <c r="O18" s="424"/>
      <c r="P18" s="7"/>
      <c r="Q18" s="7"/>
      <c r="R18" s="7"/>
      <c r="S18" s="7"/>
      <c r="T18" s="7"/>
      <c r="U18" s="7"/>
      <c r="V18" s="7"/>
      <c r="W18" s="7"/>
      <c r="X18" s="7"/>
      <c r="Y18" s="7"/>
      <c r="Z18" s="7"/>
    </row>
    <row r="19" spans="1:26" s="3" customFormat="1" ht="78" customHeight="1" x14ac:dyDescent="0.2">
      <c r="A19" s="383" t="s">
        <v>6</v>
      </c>
      <c r="B19" s="383" t="s">
        <v>89</v>
      </c>
      <c r="C19" s="383" t="s">
        <v>88</v>
      </c>
      <c r="D19" s="383" t="s">
        <v>77</v>
      </c>
      <c r="E19" s="421" t="s">
        <v>87</v>
      </c>
      <c r="F19" s="422"/>
      <c r="G19" s="422"/>
      <c r="H19" s="422"/>
      <c r="I19" s="423"/>
      <c r="J19" s="383" t="s">
        <v>86</v>
      </c>
      <c r="K19" s="383"/>
      <c r="L19" s="383"/>
      <c r="M19" s="383"/>
      <c r="N19" s="383"/>
      <c r="O19" s="383"/>
      <c r="P19" s="4"/>
      <c r="Q19" s="4"/>
      <c r="R19" s="4"/>
      <c r="S19" s="4"/>
      <c r="T19" s="4"/>
      <c r="U19" s="4"/>
      <c r="V19" s="4"/>
      <c r="W19" s="4"/>
    </row>
    <row r="20" spans="1:26" s="3" customFormat="1" ht="51" customHeight="1" x14ac:dyDescent="0.2">
      <c r="A20" s="383"/>
      <c r="B20" s="383"/>
      <c r="C20" s="383"/>
      <c r="D20" s="383"/>
      <c r="E20" s="47" t="s">
        <v>85</v>
      </c>
      <c r="F20" s="47" t="s">
        <v>84</v>
      </c>
      <c r="G20" s="47" t="s">
        <v>83</v>
      </c>
      <c r="H20" s="47" t="s">
        <v>82</v>
      </c>
      <c r="I20" s="47" t="s">
        <v>81</v>
      </c>
      <c r="J20" s="47" t="s">
        <v>80</v>
      </c>
      <c r="K20" s="47" t="s">
        <v>5</v>
      </c>
      <c r="L20" s="55" t="s">
        <v>4</v>
      </c>
      <c r="M20" s="54" t="s">
        <v>236</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2" zoomScale="80" zoomScaleNormal="80" workbookViewId="0">
      <selection activeCell="B26" sqref="B26"/>
    </sheetView>
  </sheetViews>
  <sheetFormatPr defaultColWidth="9.140625" defaultRowHeight="15.75" x14ac:dyDescent="0.2"/>
  <cols>
    <col min="1" max="1" width="61.7109375" style="206" customWidth="1"/>
    <col min="2" max="2" width="18.5703125" style="191" customWidth="1"/>
    <col min="3" max="12" width="16.85546875" style="191" customWidth="1"/>
    <col min="13" max="42" width="16.85546875" style="191" hidden="1" customWidth="1"/>
    <col min="43" max="45" width="16.85546875" style="192" hidden="1"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425" t="str">
        <f>'[1]1. паспорт местоположение'!A5:C5</f>
        <v>Год раскрытия информации: 2016 год</v>
      </c>
      <c r="B5" s="425"/>
      <c r="C5" s="425"/>
      <c r="D5" s="425"/>
      <c r="E5" s="425"/>
      <c r="F5" s="425"/>
      <c r="G5" s="425"/>
      <c r="H5" s="425"/>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382" t="str">
        <f>'[1]1. паспорт местоположение'!A7:C7</f>
        <v xml:space="preserve">Паспорт инвестиционного проекта </v>
      </c>
      <c r="B7" s="382"/>
      <c r="C7" s="382"/>
      <c r="D7" s="382"/>
      <c r="E7" s="382"/>
      <c r="F7" s="382"/>
      <c r="G7" s="382"/>
      <c r="H7" s="382"/>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98"/>
      <c r="AR7" s="198"/>
    </row>
    <row r="8" spans="1:44" ht="18.75" x14ac:dyDescent="0.2">
      <c r="A8" s="175"/>
      <c r="B8" s="175"/>
      <c r="C8" s="175"/>
      <c r="D8" s="175"/>
      <c r="E8" s="175"/>
      <c r="F8" s="175"/>
      <c r="G8" s="175"/>
      <c r="H8" s="175"/>
      <c r="I8" s="175"/>
      <c r="J8" s="175"/>
      <c r="K8" s="175"/>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95"/>
      <c r="AR8" s="195"/>
    </row>
    <row r="9" spans="1:44" ht="18.75" x14ac:dyDescent="0.2">
      <c r="A9" s="381" t="str">
        <f>'1. паспорт местоположение'!A9:C9</f>
        <v xml:space="preserve">                         АО "Янтарьэнерго"                         </v>
      </c>
      <c r="B9" s="381"/>
      <c r="C9" s="381"/>
      <c r="D9" s="381"/>
      <c r="E9" s="381"/>
      <c r="F9" s="381"/>
      <c r="G9" s="381"/>
      <c r="H9" s="381"/>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99"/>
      <c r="AR9" s="199"/>
    </row>
    <row r="10" spans="1:44" x14ac:dyDescent="0.2">
      <c r="A10" s="379" t="s">
        <v>9</v>
      </c>
      <c r="B10" s="379"/>
      <c r="C10" s="379"/>
      <c r="D10" s="379"/>
      <c r="E10" s="379"/>
      <c r="F10" s="379"/>
      <c r="G10" s="379"/>
      <c r="H10" s="379"/>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200"/>
      <c r="AR10" s="200"/>
    </row>
    <row r="11" spans="1:44" ht="18.75" x14ac:dyDescent="0.2">
      <c r="A11" s="175"/>
      <c r="B11" s="175"/>
      <c r="C11" s="175"/>
      <c r="D11" s="175"/>
      <c r="E11" s="175"/>
      <c r="F11" s="175"/>
      <c r="G11" s="175"/>
      <c r="H11" s="175"/>
      <c r="I11" s="175"/>
      <c r="J11" s="175"/>
      <c r="K11" s="175"/>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381" t="str">
        <f>'1. паспорт местоположение'!A12:C12</f>
        <v>F_prj_111001_5326</v>
      </c>
      <c r="B12" s="381"/>
      <c r="C12" s="381"/>
      <c r="D12" s="381"/>
      <c r="E12" s="381"/>
      <c r="F12" s="381"/>
      <c r="G12" s="381"/>
      <c r="H12" s="381"/>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99"/>
      <c r="AR12" s="199"/>
    </row>
    <row r="13" spans="1:44" x14ac:dyDescent="0.2">
      <c r="A13" s="379" t="s">
        <v>8</v>
      </c>
      <c r="B13" s="379"/>
      <c r="C13" s="379"/>
      <c r="D13" s="379"/>
      <c r="E13" s="379"/>
      <c r="F13" s="379"/>
      <c r="G13" s="379"/>
      <c r="H13" s="379"/>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200"/>
      <c r="AR13" s="200"/>
    </row>
    <row r="14" spans="1:44" ht="18.75"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9"/>
      <c r="AA14" s="9"/>
      <c r="AB14" s="9"/>
      <c r="AC14" s="9"/>
      <c r="AD14" s="9"/>
      <c r="AE14" s="9"/>
      <c r="AF14" s="9"/>
      <c r="AG14" s="9"/>
      <c r="AH14" s="9"/>
      <c r="AI14" s="9"/>
      <c r="AJ14" s="9"/>
      <c r="AK14" s="9"/>
      <c r="AL14" s="9"/>
      <c r="AM14" s="9"/>
      <c r="AN14" s="9"/>
      <c r="AO14" s="9"/>
      <c r="AP14" s="9"/>
      <c r="AQ14" s="201"/>
      <c r="AR14" s="201"/>
    </row>
    <row r="15" spans="1:44" ht="38.450000000000003" customHeight="1" x14ac:dyDescent="0.2">
      <c r="A15" s="380"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80"/>
      <c r="C15" s="380"/>
      <c r="D15" s="380"/>
      <c r="E15" s="380"/>
      <c r="F15" s="380"/>
      <c r="G15" s="380"/>
      <c r="H15" s="380"/>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99"/>
      <c r="AR15" s="199"/>
    </row>
    <row r="16" spans="1:44" x14ac:dyDescent="0.2">
      <c r="A16" s="379" t="s">
        <v>7</v>
      </c>
      <c r="B16" s="379"/>
      <c r="C16" s="379"/>
      <c r="D16" s="379"/>
      <c r="E16" s="379"/>
      <c r="F16" s="379"/>
      <c r="G16" s="379"/>
      <c r="H16" s="379"/>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200"/>
      <c r="AR16" s="200"/>
    </row>
    <row r="17" spans="1:44" ht="18.75"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381" t="s">
        <v>507</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353</v>
      </c>
      <c r="B24" s="209" t="s">
        <v>1</v>
      </c>
      <c r="D24" s="210"/>
      <c r="E24" s="211"/>
      <c r="F24" s="211"/>
      <c r="G24" s="211"/>
      <c r="H24" s="211"/>
    </row>
    <row r="25" spans="1:44" x14ac:dyDescent="0.2">
      <c r="A25" s="212" t="s">
        <v>569</v>
      </c>
      <c r="B25" s="213">
        <f>$B$126/1.18</f>
        <v>20487054.721249472</v>
      </c>
    </row>
    <row r="26" spans="1:44" x14ac:dyDescent="0.2">
      <c r="A26" s="214" t="s">
        <v>351</v>
      </c>
      <c r="B26" s="215">
        <v>0</v>
      </c>
    </row>
    <row r="27" spans="1:44" x14ac:dyDescent="0.2">
      <c r="A27" s="214" t="s">
        <v>349</v>
      </c>
      <c r="B27" s="215">
        <f>$B$123</f>
        <v>25</v>
      </c>
      <c r="D27" s="207" t="s">
        <v>352</v>
      </c>
    </row>
    <row r="28" spans="1:44" ht="16.149999999999999" customHeight="1" thickBot="1" x14ac:dyDescent="0.25">
      <c r="A28" s="216" t="s">
        <v>347</v>
      </c>
      <c r="B28" s="217">
        <v>1</v>
      </c>
      <c r="D28" s="428" t="s">
        <v>350</v>
      </c>
      <c r="E28" s="429"/>
      <c r="F28" s="430"/>
      <c r="G28" s="431">
        <f>IF(SUM(B89:L89)=0,"не окупается",SUM(B89:L89))</f>
        <v>3.2505506963718052</v>
      </c>
      <c r="H28" s="432"/>
    </row>
    <row r="29" spans="1:44" ht="15.6" customHeight="1" x14ac:dyDescent="0.2">
      <c r="A29" s="212" t="s">
        <v>345</v>
      </c>
      <c r="B29" s="213">
        <f>$B$126*$B$127</f>
        <v>241747.24571074379</v>
      </c>
      <c r="D29" s="428" t="s">
        <v>348</v>
      </c>
      <c r="E29" s="429"/>
      <c r="F29" s="430"/>
      <c r="G29" s="431">
        <f>IF(SUM(B90:L90)=0,"не окупается",SUM(B90:L90))</f>
        <v>3.8649880467315478</v>
      </c>
      <c r="H29" s="432"/>
    </row>
    <row r="30" spans="1:44" ht="27.6" customHeight="1" x14ac:dyDescent="0.2">
      <c r="A30" s="214" t="s">
        <v>570</v>
      </c>
      <c r="B30" s="215">
        <v>1</v>
      </c>
      <c r="D30" s="428" t="s">
        <v>346</v>
      </c>
      <c r="E30" s="429"/>
      <c r="F30" s="430"/>
      <c r="G30" s="433">
        <f>L87</f>
        <v>6483413.760268419</v>
      </c>
      <c r="H30" s="434"/>
    </row>
    <row r="31" spans="1:44" x14ac:dyDescent="0.2">
      <c r="A31" s="214" t="s">
        <v>344</v>
      </c>
      <c r="B31" s="215">
        <v>1</v>
      </c>
      <c r="D31" s="435"/>
      <c r="E31" s="436"/>
      <c r="F31" s="437"/>
      <c r="G31" s="435"/>
      <c r="H31" s="437"/>
    </row>
    <row r="32" spans="1:44" x14ac:dyDescent="0.2">
      <c r="A32" s="214" t="s">
        <v>322</v>
      </c>
      <c r="B32" s="215"/>
    </row>
    <row r="33" spans="1:42" x14ac:dyDescent="0.2">
      <c r="A33" s="214" t="s">
        <v>343</v>
      </c>
      <c r="B33" s="215"/>
    </row>
    <row r="34" spans="1:42" x14ac:dyDescent="0.2">
      <c r="A34" s="214" t="s">
        <v>342</v>
      </c>
      <c r="B34" s="215"/>
    </row>
    <row r="35" spans="1:42" x14ac:dyDescent="0.2">
      <c r="A35" s="218"/>
      <c r="B35" s="215"/>
    </row>
    <row r="36" spans="1:42" ht="16.5" thickBot="1" x14ac:dyDescent="0.25">
      <c r="A36" s="216" t="s">
        <v>314</v>
      </c>
      <c r="B36" s="219">
        <v>0.2</v>
      </c>
    </row>
    <row r="37" spans="1:42" x14ac:dyDescent="0.2">
      <c r="A37" s="212" t="s">
        <v>571</v>
      </c>
      <c r="B37" s="213">
        <v>0</v>
      </c>
    </row>
    <row r="38" spans="1:42" x14ac:dyDescent="0.2">
      <c r="A38" s="214" t="s">
        <v>341</v>
      </c>
      <c r="B38" s="215"/>
    </row>
    <row r="39" spans="1:42" ht="16.5" thickBot="1" x14ac:dyDescent="0.25">
      <c r="A39" s="220" t="s">
        <v>340</v>
      </c>
      <c r="B39" s="221"/>
    </row>
    <row r="40" spans="1:42" x14ac:dyDescent="0.2">
      <c r="A40" s="222" t="s">
        <v>572</v>
      </c>
      <c r="B40" s="223">
        <v>1</v>
      </c>
    </row>
    <row r="41" spans="1:42" x14ac:dyDescent="0.2">
      <c r="A41" s="224" t="s">
        <v>339</v>
      </c>
      <c r="B41" s="225"/>
    </row>
    <row r="42" spans="1:42" x14ac:dyDescent="0.2">
      <c r="A42" s="224" t="s">
        <v>338</v>
      </c>
      <c r="B42" s="226"/>
    </row>
    <row r="43" spans="1:42" x14ac:dyDescent="0.2">
      <c r="A43" s="224" t="s">
        <v>337</v>
      </c>
      <c r="B43" s="226">
        <v>0</v>
      </c>
    </row>
    <row r="44" spans="1:42" x14ac:dyDescent="0.2">
      <c r="A44" s="224" t="s">
        <v>336</v>
      </c>
      <c r="B44" s="226">
        <f>B129</f>
        <v>0.20499999999999999</v>
      </c>
    </row>
    <row r="45" spans="1:42" x14ac:dyDescent="0.2">
      <c r="A45" s="224" t="s">
        <v>335</v>
      </c>
      <c r="B45" s="226">
        <f>1-B43</f>
        <v>1</v>
      </c>
    </row>
    <row r="46" spans="1:42" ht="16.5" thickBot="1" x14ac:dyDescent="0.25">
      <c r="A46" s="227" t="s">
        <v>334</v>
      </c>
      <c r="B46" s="228">
        <f>B45*B44+B43*B42*(1-B36)</f>
        <v>0.20499999999999999</v>
      </c>
      <c r="C46" s="229"/>
    </row>
    <row r="47" spans="1:42" s="232" customFormat="1" x14ac:dyDescent="0.2">
      <c r="A47" s="230" t="s">
        <v>333</v>
      </c>
      <c r="B47" s="231">
        <f>B58</f>
        <v>1</v>
      </c>
      <c r="C47" s="231">
        <f t="shared" ref="C47:AO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 t="shared" si="0"/>
        <v>34</v>
      </c>
      <c r="AJ47" s="231">
        <f t="shared" si="0"/>
        <v>35</v>
      </c>
      <c r="AK47" s="231">
        <f t="shared" si="0"/>
        <v>36</v>
      </c>
      <c r="AL47" s="231">
        <f t="shared" si="0"/>
        <v>37</v>
      </c>
      <c r="AM47" s="231">
        <f t="shared" si="0"/>
        <v>38</v>
      </c>
      <c r="AN47" s="231">
        <f t="shared" si="0"/>
        <v>39</v>
      </c>
      <c r="AO47" s="231">
        <f t="shared" si="0"/>
        <v>40</v>
      </c>
      <c r="AP47" s="231">
        <f>AP58</f>
        <v>41</v>
      </c>
    </row>
    <row r="48" spans="1:42" s="232" customFormat="1" x14ac:dyDescent="0.2">
      <c r="A48" s="233" t="s">
        <v>332</v>
      </c>
      <c r="B48" s="234">
        <f>D136</f>
        <v>5.5E-2</v>
      </c>
      <c r="C48" s="234">
        <f t="shared" ref="C48:AP49" si="1">E136</f>
        <v>5.5E-2</v>
      </c>
      <c r="D48" s="234">
        <f t="shared" si="1"/>
        <v>5.5E-2</v>
      </c>
      <c r="E48" s="234">
        <f t="shared" si="1"/>
        <v>5.5E-2</v>
      </c>
      <c r="F48" s="234">
        <f t="shared" si="1"/>
        <v>5.5E-2</v>
      </c>
      <c r="G48" s="234">
        <f t="shared" si="1"/>
        <v>5.5E-2</v>
      </c>
      <c r="H48" s="234">
        <f t="shared" si="1"/>
        <v>5.5E-2</v>
      </c>
      <c r="I48" s="234">
        <f t="shared" si="1"/>
        <v>5.5E-2</v>
      </c>
      <c r="J48" s="234">
        <f t="shared" si="1"/>
        <v>5.5E-2</v>
      </c>
      <c r="K48" s="234">
        <f t="shared" si="1"/>
        <v>5.5E-2</v>
      </c>
      <c r="L48" s="234">
        <f t="shared" si="1"/>
        <v>5.5E-2</v>
      </c>
      <c r="M48" s="234">
        <f t="shared" si="1"/>
        <v>5.5E-2</v>
      </c>
      <c r="N48" s="234">
        <f t="shared" si="1"/>
        <v>5.5E-2</v>
      </c>
      <c r="O48" s="234">
        <f t="shared" si="1"/>
        <v>5.5E-2</v>
      </c>
      <c r="P48" s="234">
        <f t="shared" si="1"/>
        <v>5.5E-2</v>
      </c>
      <c r="Q48" s="234">
        <f t="shared" si="1"/>
        <v>5.5E-2</v>
      </c>
      <c r="R48" s="234">
        <f t="shared" si="1"/>
        <v>5.5E-2</v>
      </c>
      <c r="S48" s="234">
        <f t="shared" si="1"/>
        <v>5.5E-2</v>
      </c>
      <c r="T48" s="234">
        <f t="shared" si="1"/>
        <v>5.5E-2</v>
      </c>
      <c r="U48" s="234">
        <f t="shared" si="1"/>
        <v>5.5E-2</v>
      </c>
      <c r="V48" s="234">
        <f t="shared" si="1"/>
        <v>5.5E-2</v>
      </c>
      <c r="W48" s="234">
        <f t="shared" si="1"/>
        <v>5.5E-2</v>
      </c>
      <c r="X48" s="234">
        <f t="shared" si="1"/>
        <v>5.5E-2</v>
      </c>
      <c r="Y48" s="234">
        <f t="shared" si="1"/>
        <v>5.5E-2</v>
      </c>
      <c r="Z48" s="234">
        <f t="shared" si="1"/>
        <v>5.5E-2</v>
      </c>
      <c r="AA48" s="234">
        <f t="shared" si="1"/>
        <v>5.5E-2</v>
      </c>
      <c r="AB48" s="234">
        <f t="shared" si="1"/>
        <v>5.5E-2</v>
      </c>
      <c r="AC48" s="234">
        <f t="shared" si="1"/>
        <v>5.5E-2</v>
      </c>
      <c r="AD48" s="234">
        <f t="shared" si="1"/>
        <v>5.5E-2</v>
      </c>
      <c r="AE48" s="234">
        <f t="shared" si="1"/>
        <v>5.5E-2</v>
      </c>
      <c r="AF48" s="234">
        <f t="shared" si="1"/>
        <v>5.5E-2</v>
      </c>
      <c r="AG48" s="234">
        <f t="shared" si="1"/>
        <v>5.5E-2</v>
      </c>
      <c r="AH48" s="234">
        <f t="shared" si="1"/>
        <v>5.5E-2</v>
      </c>
      <c r="AI48" s="234">
        <f t="shared" si="1"/>
        <v>5.5E-2</v>
      </c>
      <c r="AJ48" s="234">
        <f t="shared" si="1"/>
        <v>5.5E-2</v>
      </c>
      <c r="AK48" s="234">
        <f t="shared" si="1"/>
        <v>5.5E-2</v>
      </c>
      <c r="AL48" s="234">
        <f t="shared" si="1"/>
        <v>5.5E-2</v>
      </c>
      <c r="AM48" s="234">
        <f t="shared" si="1"/>
        <v>5.5E-2</v>
      </c>
      <c r="AN48" s="234">
        <f t="shared" si="1"/>
        <v>5.5E-2</v>
      </c>
      <c r="AO48" s="234">
        <f t="shared" si="1"/>
        <v>5.5E-2</v>
      </c>
      <c r="AP48" s="234">
        <f t="shared" si="1"/>
        <v>5.5E-2</v>
      </c>
    </row>
    <row r="49" spans="1:45" s="232" customFormat="1" x14ac:dyDescent="0.2">
      <c r="A49" s="233" t="s">
        <v>331</v>
      </c>
      <c r="B49" s="234">
        <f>D137</f>
        <v>0.11619000000000002</v>
      </c>
      <c r="C49" s="234">
        <f t="shared" si="1"/>
        <v>0.17758045</v>
      </c>
      <c r="D49" s="234">
        <f t="shared" si="1"/>
        <v>0.24234737475000001</v>
      </c>
      <c r="E49" s="234">
        <f t="shared" si="1"/>
        <v>0.31067648036124984</v>
      </c>
      <c r="F49" s="234">
        <f t="shared" si="1"/>
        <v>0.38276368678111861</v>
      </c>
      <c r="G49" s="234">
        <f t="shared" si="1"/>
        <v>0.45881568955408003</v>
      </c>
      <c r="H49" s="234">
        <f t="shared" si="1"/>
        <v>0.53905055247955436</v>
      </c>
      <c r="I49" s="234">
        <f t="shared" si="1"/>
        <v>0.62369833286592979</v>
      </c>
      <c r="J49" s="234">
        <f t="shared" si="1"/>
        <v>0.71300174117355586</v>
      </c>
      <c r="K49" s="234">
        <f t="shared" si="1"/>
        <v>0.80721683693810142</v>
      </c>
      <c r="L49" s="234">
        <f t="shared" si="1"/>
        <v>0.90661376296969687</v>
      </c>
      <c r="M49" s="234">
        <f t="shared" si="1"/>
        <v>1.0114775199330301</v>
      </c>
      <c r="N49" s="234">
        <f t="shared" si="1"/>
        <v>1.1221087835293466</v>
      </c>
      <c r="O49" s="234">
        <f t="shared" si="1"/>
        <v>1.2388247666234604</v>
      </c>
      <c r="P49" s="234">
        <f t="shared" si="1"/>
        <v>1.3619601287877505</v>
      </c>
      <c r="Q49" s="234">
        <f t="shared" si="1"/>
        <v>1.4918679358710767</v>
      </c>
      <c r="R49" s="234">
        <f t="shared" si="1"/>
        <v>1.6289206723439857</v>
      </c>
      <c r="S49" s="234">
        <f t="shared" si="1"/>
        <v>1.7735113093229047</v>
      </c>
      <c r="T49" s="234">
        <f t="shared" si="1"/>
        <v>1.9260544313356642</v>
      </c>
      <c r="U49" s="234">
        <f t="shared" si="1"/>
        <v>2.0869874250591254</v>
      </c>
      <c r="V49" s="234">
        <f t="shared" si="1"/>
        <v>2.2567717334373771</v>
      </c>
      <c r="W49" s="234">
        <f t="shared" si="1"/>
        <v>2.4358941787764326</v>
      </c>
      <c r="X49" s="234">
        <f t="shared" si="1"/>
        <v>2.6248683586091359</v>
      </c>
      <c r="Y49" s="234">
        <f t="shared" si="1"/>
        <v>2.8242361183326383</v>
      </c>
      <c r="Z49" s="234">
        <f t="shared" si="1"/>
        <v>3.0345691048409336</v>
      </c>
      <c r="AA49" s="234">
        <f t="shared" si="1"/>
        <v>3.2564704056071845</v>
      </c>
      <c r="AB49" s="234">
        <f t="shared" si="1"/>
        <v>3.4905762779155793</v>
      </c>
      <c r="AC49" s="234">
        <f t="shared" si="1"/>
        <v>3.7375579732009356</v>
      </c>
      <c r="AD49" s="234">
        <f t="shared" si="1"/>
        <v>3.9981236617269866</v>
      </c>
      <c r="AE49" s="234">
        <f t="shared" si="1"/>
        <v>4.2730204631219708</v>
      </c>
      <c r="AF49" s="234">
        <f t="shared" si="1"/>
        <v>4.563036588593679</v>
      </c>
      <c r="AG49" s="234">
        <f t="shared" si="1"/>
        <v>4.8690036009663311</v>
      </c>
      <c r="AH49" s="234">
        <f t="shared" si="1"/>
        <v>5.1917987990194794</v>
      </c>
      <c r="AI49" s="234">
        <f t="shared" si="1"/>
        <v>5.5323477329655502</v>
      </c>
      <c r="AJ49" s="234">
        <f t="shared" si="1"/>
        <v>5.8916268582786548</v>
      </c>
      <c r="AK49" s="234">
        <f t="shared" si="1"/>
        <v>6.2706663354839804</v>
      </c>
      <c r="AL49" s="234">
        <f t="shared" si="1"/>
        <v>6.6705529839355986</v>
      </c>
      <c r="AM49" s="234">
        <f t="shared" si="1"/>
        <v>7.0924333980520569</v>
      </c>
      <c r="AN49" s="234">
        <f t="shared" si="1"/>
        <v>7.5375172349449198</v>
      </c>
      <c r="AO49" s="234">
        <f t="shared" si="1"/>
        <v>8.0070806828668903</v>
      </c>
      <c r="AP49" s="234">
        <f t="shared" si="1"/>
        <v>8.5024701204245687</v>
      </c>
    </row>
    <row r="50" spans="1:45" s="232" customFormat="1" ht="16.5" thickBot="1" x14ac:dyDescent="0.25">
      <c r="A50" s="235" t="s">
        <v>573</v>
      </c>
      <c r="B50" s="236">
        <f>IF($B$124="да",($B$126-0.05),0)</f>
        <v>24174724.521074377</v>
      </c>
      <c r="C50" s="236">
        <f>C108*(1+C49)</f>
        <v>1558514.4423167938</v>
      </c>
      <c r="D50" s="236">
        <f t="shared" ref="D50:AP50" si="2">D108*(1+D49)</f>
        <v>3288465.473288435</v>
      </c>
      <c r="E50" s="236">
        <f t="shared" si="2"/>
        <v>5256562.2338171201</v>
      </c>
      <c r="F50" s="236">
        <f t="shared" si="2"/>
        <v>5545673.1566770617</v>
      </c>
      <c r="G50" s="236">
        <f t="shared" si="2"/>
        <v>5850685.1802942995</v>
      </c>
      <c r="H50" s="236">
        <f t="shared" si="2"/>
        <v>6172472.8652104856</v>
      </c>
      <c r="I50" s="236">
        <f t="shared" si="2"/>
        <v>6511958.8727970626</v>
      </c>
      <c r="J50" s="236">
        <f t="shared" si="2"/>
        <v>6870116.6108009005</v>
      </c>
      <c r="K50" s="236">
        <f t="shared" si="2"/>
        <v>7247973.0243949499</v>
      </c>
      <c r="L50" s="236">
        <f t="shared" si="2"/>
        <v>7646611.5407366715</v>
      </c>
      <c r="M50" s="236">
        <f t="shared" si="2"/>
        <v>8067175.175477189</v>
      </c>
      <c r="N50" s="236">
        <f t="shared" si="2"/>
        <v>8510869.8101284336</v>
      </c>
      <c r="O50" s="236">
        <f t="shared" si="2"/>
        <v>8978967.6496854965</v>
      </c>
      <c r="P50" s="236">
        <f t="shared" si="2"/>
        <v>9472810.8704181965</v>
      </c>
      <c r="Q50" s="236">
        <f t="shared" si="2"/>
        <v>9993815.468291197</v>
      </c>
      <c r="R50" s="236">
        <f t="shared" si="2"/>
        <v>10543475.319047213</v>
      </c>
      <c r="S50" s="236">
        <f t="shared" si="2"/>
        <v>11123366.461594809</v>
      </c>
      <c r="T50" s="236">
        <f t="shared" si="2"/>
        <v>11735151.616982521</v>
      </c>
      <c r="U50" s="236">
        <f t="shared" si="2"/>
        <v>12380584.955916559</v>
      </c>
      <c r="V50" s="236">
        <f t="shared" si="2"/>
        <v>13061517.12849197</v>
      </c>
      <c r="W50" s="236">
        <f t="shared" si="2"/>
        <v>13779900.570559027</v>
      </c>
      <c r="X50" s="236">
        <f t="shared" si="2"/>
        <v>14537795.101939771</v>
      </c>
      <c r="Y50" s="236">
        <f t="shared" si="2"/>
        <v>15337373.83254646</v>
      </c>
      <c r="Z50" s="236">
        <f t="shared" si="2"/>
        <v>16180929.393336514</v>
      </c>
      <c r="AA50" s="236">
        <f t="shared" si="2"/>
        <v>17070880.509970021</v>
      </c>
      <c r="AB50" s="236">
        <f t="shared" si="2"/>
        <v>18009778.93801837</v>
      </c>
      <c r="AC50" s="236">
        <f t="shared" si="2"/>
        <v>19000316.779609378</v>
      </c>
      <c r="AD50" s="236">
        <f t="shared" si="2"/>
        <v>20045334.202487893</v>
      </c>
      <c r="AE50" s="236">
        <f t="shared" si="2"/>
        <v>21147827.583624728</v>
      </c>
      <c r="AF50" s="236">
        <f t="shared" si="2"/>
        <v>22310958.100724086</v>
      </c>
      <c r="AG50" s="236">
        <f t="shared" si="2"/>
        <v>23538060.796263911</v>
      </c>
      <c r="AH50" s="236">
        <f t="shared" si="2"/>
        <v>24832654.140058424</v>
      </c>
      <c r="AI50" s="236">
        <f t="shared" si="2"/>
        <v>26198450.117761634</v>
      </c>
      <c r="AJ50" s="236">
        <f t="shared" si="2"/>
        <v>27639364.874238525</v>
      </c>
      <c r="AK50" s="236">
        <f t="shared" si="2"/>
        <v>29159529.94232164</v>
      </c>
      <c r="AL50" s="236">
        <f t="shared" si="2"/>
        <v>30763304.089149326</v>
      </c>
      <c r="AM50" s="236">
        <f t="shared" si="2"/>
        <v>32455285.814052541</v>
      </c>
      <c r="AN50" s="236">
        <f t="shared" si="2"/>
        <v>34240326.533825435</v>
      </c>
      <c r="AO50" s="236">
        <f t="shared" si="2"/>
        <v>36123544.493185833</v>
      </c>
      <c r="AP50" s="236">
        <f t="shared" si="2"/>
        <v>38110339.440311052</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40">
        <v>0</v>
      </c>
      <c r="C53" s="240">
        <f t="shared" ref="C53:AP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 t="shared" si="4"/>
        <v>0</v>
      </c>
      <c r="AC53" s="240">
        <f t="shared" si="4"/>
        <v>0</v>
      </c>
      <c r="AD53" s="240">
        <f t="shared" si="4"/>
        <v>0</v>
      </c>
      <c r="AE53" s="240">
        <f t="shared" si="4"/>
        <v>0</v>
      </c>
      <c r="AF53" s="240">
        <f t="shared" si="4"/>
        <v>0</v>
      </c>
      <c r="AG53" s="240">
        <f t="shared" si="4"/>
        <v>0</v>
      </c>
      <c r="AH53" s="240">
        <f t="shared" si="4"/>
        <v>0</v>
      </c>
      <c r="AI53" s="240">
        <f t="shared" si="4"/>
        <v>0</v>
      </c>
      <c r="AJ53" s="240">
        <f t="shared" si="4"/>
        <v>0</v>
      </c>
      <c r="AK53" s="240">
        <f t="shared" si="4"/>
        <v>0</v>
      </c>
      <c r="AL53" s="240">
        <f t="shared" si="4"/>
        <v>0</v>
      </c>
      <c r="AM53" s="240">
        <f t="shared" si="4"/>
        <v>0</v>
      </c>
      <c r="AN53" s="240">
        <f t="shared" si="4"/>
        <v>0</v>
      </c>
      <c r="AO53" s="240">
        <f t="shared" si="4"/>
        <v>0</v>
      </c>
      <c r="AP53" s="240">
        <f t="shared" si="4"/>
        <v>0</v>
      </c>
    </row>
    <row r="54" spans="1:45" x14ac:dyDescent="0.2">
      <c r="A54" s="239" t="s">
        <v>328</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327</v>
      </c>
      <c r="B55" s="240">
        <f>$B$54/$B$40</f>
        <v>0</v>
      </c>
      <c r="C55" s="240">
        <f t="shared" ref="C55:AP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 t="shared" si="5"/>
        <v>0</v>
      </c>
      <c r="AC55" s="240">
        <f t="shared" si="5"/>
        <v>0</v>
      </c>
      <c r="AD55" s="240">
        <f t="shared" si="5"/>
        <v>0</v>
      </c>
      <c r="AE55" s="240">
        <f t="shared" si="5"/>
        <v>0</v>
      </c>
      <c r="AF55" s="240">
        <f t="shared" si="5"/>
        <v>0</v>
      </c>
      <c r="AG55" s="240">
        <f t="shared" si="5"/>
        <v>0</v>
      </c>
      <c r="AH55" s="240">
        <f t="shared" si="5"/>
        <v>0</v>
      </c>
      <c r="AI55" s="240">
        <f t="shared" si="5"/>
        <v>0</v>
      </c>
      <c r="AJ55" s="240">
        <f t="shared" si="5"/>
        <v>0</v>
      </c>
      <c r="AK55" s="240">
        <f t="shared" si="5"/>
        <v>0</v>
      </c>
      <c r="AL55" s="240">
        <f t="shared" si="5"/>
        <v>0</v>
      </c>
      <c r="AM55" s="240">
        <f t="shared" si="5"/>
        <v>0</v>
      </c>
      <c r="AN55" s="240">
        <f t="shared" si="5"/>
        <v>0</v>
      </c>
      <c r="AO55" s="240">
        <f t="shared" si="5"/>
        <v>0</v>
      </c>
      <c r="AP55" s="240">
        <f t="shared" si="5"/>
        <v>0</v>
      </c>
    </row>
    <row r="56" spans="1:45" ht="16.5" thickBot="1" x14ac:dyDescent="0.25">
      <c r="A56" s="241" t="s">
        <v>326</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574</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6" t="s">
        <v>325</v>
      </c>
      <c r="B59" s="247">
        <f t="shared" ref="B59:AP59" si="8">B50*$B$28</f>
        <v>24174724.521074377</v>
      </c>
      <c r="C59" s="247">
        <f t="shared" si="8"/>
        <v>1558514.4423167938</v>
      </c>
      <c r="D59" s="247">
        <f t="shared" si="8"/>
        <v>3288465.473288435</v>
      </c>
      <c r="E59" s="247">
        <f t="shared" si="8"/>
        <v>5256562.2338171201</v>
      </c>
      <c r="F59" s="247">
        <f t="shared" si="8"/>
        <v>5545673.1566770617</v>
      </c>
      <c r="G59" s="247">
        <f t="shared" si="8"/>
        <v>5850685.1802942995</v>
      </c>
      <c r="H59" s="247">
        <f t="shared" si="8"/>
        <v>6172472.8652104856</v>
      </c>
      <c r="I59" s="247">
        <f t="shared" si="8"/>
        <v>6511958.8727970626</v>
      </c>
      <c r="J59" s="247">
        <f t="shared" si="8"/>
        <v>6870116.6108009005</v>
      </c>
      <c r="K59" s="247">
        <f t="shared" si="8"/>
        <v>7247973.0243949499</v>
      </c>
      <c r="L59" s="247">
        <f t="shared" si="8"/>
        <v>7646611.5407366715</v>
      </c>
      <c r="M59" s="247">
        <f t="shared" si="8"/>
        <v>8067175.175477189</v>
      </c>
      <c r="N59" s="247">
        <f t="shared" si="8"/>
        <v>8510869.8101284336</v>
      </c>
      <c r="O59" s="247">
        <f t="shared" si="8"/>
        <v>8978967.6496854965</v>
      </c>
      <c r="P59" s="247">
        <f t="shared" si="8"/>
        <v>9472810.8704181965</v>
      </c>
      <c r="Q59" s="247">
        <f t="shared" si="8"/>
        <v>9993815.468291197</v>
      </c>
      <c r="R59" s="247">
        <f t="shared" si="8"/>
        <v>10543475.319047213</v>
      </c>
      <c r="S59" s="247">
        <f t="shared" si="8"/>
        <v>11123366.461594809</v>
      </c>
      <c r="T59" s="247">
        <f t="shared" si="8"/>
        <v>11735151.616982521</v>
      </c>
      <c r="U59" s="247">
        <f t="shared" si="8"/>
        <v>12380584.955916559</v>
      </c>
      <c r="V59" s="247">
        <f t="shared" si="8"/>
        <v>13061517.12849197</v>
      </c>
      <c r="W59" s="247">
        <f t="shared" si="8"/>
        <v>13779900.570559027</v>
      </c>
      <c r="X59" s="247">
        <f t="shared" si="8"/>
        <v>14537795.101939771</v>
      </c>
      <c r="Y59" s="247">
        <f t="shared" si="8"/>
        <v>15337373.83254646</v>
      </c>
      <c r="Z59" s="247">
        <f t="shared" si="8"/>
        <v>16180929.393336514</v>
      </c>
      <c r="AA59" s="247">
        <f t="shared" si="8"/>
        <v>17070880.509970021</v>
      </c>
      <c r="AB59" s="247">
        <f t="shared" si="8"/>
        <v>18009778.93801837</v>
      </c>
      <c r="AC59" s="247">
        <f t="shared" si="8"/>
        <v>19000316.779609378</v>
      </c>
      <c r="AD59" s="247">
        <f t="shared" si="8"/>
        <v>20045334.202487893</v>
      </c>
      <c r="AE59" s="247">
        <f t="shared" si="8"/>
        <v>21147827.583624728</v>
      </c>
      <c r="AF59" s="247">
        <f t="shared" si="8"/>
        <v>22310958.100724086</v>
      </c>
      <c r="AG59" s="247">
        <f t="shared" si="8"/>
        <v>23538060.796263911</v>
      </c>
      <c r="AH59" s="247">
        <f t="shared" si="8"/>
        <v>24832654.140058424</v>
      </c>
      <c r="AI59" s="247">
        <f t="shared" si="8"/>
        <v>26198450.117761634</v>
      </c>
      <c r="AJ59" s="247">
        <f t="shared" si="8"/>
        <v>27639364.874238525</v>
      </c>
      <c r="AK59" s="247">
        <f t="shared" si="8"/>
        <v>29159529.94232164</v>
      </c>
      <c r="AL59" s="247">
        <f t="shared" si="8"/>
        <v>30763304.089149326</v>
      </c>
      <c r="AM59" s="247">
        <f t="shared" si="8"/>
        <v>32455285.814052541</v>
      </c>
      <c r="AN59" s="247">
        <f t="shared" si="8"/>
        <v>34240326.533825435</v>
      </c>
      <c r="AO59" s="247">
        <f t="shared" si="8"/>
        <v>36123544.493185833</v>
      </c>
      <c r="AP59" s="247">
        <f t="shared" si="8"/>
        <v>38110339.440311052</v>
      </c>
    </row>
    <row r="60" spans="1:45" x14ac:dyDescent="0.2">
      <c r="A60" s="239" t="s">
        <v>324</v>
      </c>
      <c r="B60" s="240">
        <f t="shared" ref="B60:Z60" si="9">SUM(B61:B65)</f>
        <v>0</v>
      </c>
      <c r="C60" s="240">
        <f t="shared" si="9"/>
        <v>-284676.83039031824</v>
      </c>
      <c r="D60" s="240">
        <f>SUM(D61:D65)</f>
        <v>-300334.05606178573</v>
      </c>
      <c r="E60" s="240">
        <f t="shared" si="9"/>
        <v>-316852.42914518394</v>
      </c>
      <c r="F60" s="240">
        <f t="shared" si="9"/>
        <v>-334279.31274816906</v>
      </c>
      <c r="G60" s="240">
        <f t="shared" si="9"/>
        <v>-352664.67494931835</v>
      </c>
      <c r="H60" s="240">
        <f t="shared" si="9"/>
        <v>-372061.23207153083</v>
      </c>
      <c r="I60" s="240">
        <f t="shared" si="9"/>
        <v>-392524.59983546502</v>
      </c>
      <c r="J60" s="240">
        <f t="shared" si="9"/>
        <v>-414113.45282641554</v>
      </c>
      <c r="K60" s="240">
        <f t="shared" si="9"/>
        <v>-436889.69273186842</v>
      </c>
      <c r="L60" s="240">
        <f t="shared" si="9"/>
        <v>-460918.62583212112</v>
      </c>
      <c r="M60" s="240">
        <f t="shared" si="9"/>
        <v>-486269.1502528878</v>
      </c>
      <c r="N60" s="240">
        <f t="shared" si="9"/>
        <v>-513013.95351679658</v>
      </c>
      <c r="O60" s="240">
        <f t="shared" si="9"/>
        <v>-541229.72096022032</v>
      </c>
      <c r="P60" s="240">
        <f t="shared" si="9"/>
        <v>-570997.35561303236</v>
      </c>
      <c r="Q60" s="240">
        <f t="shared" si="9"/>
        <v>-602402.21017174912</v>
      </c>
      <c r="R60" s="240">
        <f t="shared" si="9"/>
        <v>-635534.33173119533</v>
      </c>
      <c r="S60" s="240">
        <f t="shared" si="9"/>
        <v>-670488.71997641097</v>
      </c>
      <c r="T60" s="240">
        <f t="shared" si="9"/>
        <v>-707365.59957511351</v>
      </c>
      <c r="U60" s="240">
        <f t="shared" si="9"/>
        <v>-746270.70755174465</v>
      </c>
      <c r="V60" s="240">
        <f t="shared" si="9"/>
        <v>-787315.59646709065</v>
      </c>
      <c r="W60" s="240">
        <f t="shared" si="9"/>
        <v>-830617.95427278045</v>
      </c>
      <c r="X60" s="240">
        <f t="shared" si="9"/>
        <v>-876301.94175778329</v>
      </c>
      <c r="Y60" s="240">
        <f t="shared" si="9"/>
        <v>-924498.54855446145</v>
      </c>
      <c r="Z60" s="240">
        <f t="shared" si="9"/>
        <v>-975345.96872495685</v>
      </c>
      <c r="AA60" s="240">
        <f t="shared" ref="AA60:AP60" si="10">SUM(AA61:AA65)</f>
        <v>-1028989.9970048293</v>
      </c>
      <c r="AB60" s="240">
        <f t="shared" si="10"/>
        <v>-1085584.4468400949</v>
      </c>
      <c r="AC60" s="240">
        <f t="shared" si="10"/>
        <v>-1145291.5914163</v>
      </c>
      <c r="AD60" s="240">
        <f t="shared" si="10"/>
        <v>-1208282.6289441963</v>
      </c>
      <c r="AE60" s="240">
        <f t="shared" si="10"/>
        <v>-1274738.1735361272</v>
      </c>
      <c r="AF60" s="240">
        <f t="shared" si="10"/>
        <v>-1344848.7730806142</v>
      </c>
      <c r="AG60" s="240">
        <f t="shared" si="10"/>
        <v>-1418815.4556000477</v>
      </c>
      <c r="AH60" s="240">
        <f t="shared" si="10"/>
        <v>-1496850.3056580503</v>
      </c>
      <c r="AI60" s="240">
        <f t="shared" si="10"/>
        <v>-1579177.0724692431</v>
      </c>
      <c r="AJ60" s="240">
        <f t="shared" si="10"/>
        <v>-1666031.8114550512</v>
      </c>
      <c r="AK60" s="240">
        <f t="shared" si="10"/>
        <v>-1757663.5610850791</v>
      </c>
      <c r="AL60" s="240">
        <f t="shared" si="10"/>
        <v>-1854335.0569447582</v>
      </c>
      <c r="AM60" s="240">
        <f t="shared" si="10"/>
        <v>-1956323.4850767199</v>
      </c>
      <c r="AN60" s="240">
        <f t="shared" si="10"/>
        <v>-2063921.2767559395</v>
      </c>
      <c r="AO60" s="240">
        <f t="shared" si="10"/>
        <v>-2177436.9469775162</v>
      </c>
      <c r="AP60" s="240">
        <f t="shared" si="10"/>
        <v>-2297195.9790612794</v>
      </c>
    </row>
    <row r="61" spans="1:45" x14ac:dyDescent="0.2">
      <c r="A61" s="248" t="s">
        <v>323</v>
      </c>
      <c r="B61" s="240"/>
      <c r="C61" s="240">
        <f>-IF(C$47&lt;=$B$30,0,$B$29*(1+C$49)*$B$28)</f>
        <v>-284676.83039031824</v>
      </c>
      <c r="D61" s="240">
        <f>-IF(D$47&lt;=$B$30,0,$B$29*(1+D$49)*$B$28)</f>
        <v>-300334.05606178573</v>
      </c>
      <c r="E61" s="240">
        <f t="shared" ref="E61:AP61" si="11">-IF(E$47&lt;=$B$30,0,$B$29*(1+E$49)*$B$28)</f>
        <v>-316852.42914518394</v>
      </c>
      <c r="F61" s="240">
        <f t="shared" si="11"/>
        <v>-334279.31274816906</v>
      </c>
      <c r="G61" s="240">
        <f t="shared" si="11"/>
        <v>-352664.67494931835</v>
      </c>
      <c r="H61" s="240">
        <f t="shared" si="11"/>
        <v>-372061.23207153083</v>
      </c>
      <c r="I61" s="240">
        <f t="shared" si="11"/>
        <v>-392524.59983546502</v>
      </c>
      <c r="J61" s="240">
        <f t="shared" si="11"/>
        <v>-414113.45282641554</v>
      </c>
      <c r="K61" s="240">
        <f t="shared" si="11"/>
        <v>-436889.69273186842</v>
      </c>
      <c r="L61" s="240">
        <f t="shared" si="11"/>
        <v>-460918.62583212112</v>
      </c>
      <c r="M61" s="240">
        <f t="shared" si="11"/>
        <v>-486269.1502528878</v>
      </c>
      <c r="N61" s="240">
        <f t="shared" si="11"/>
        <v>-513013.95351679658</v>
      </c>
      <c r="O61" s="240">
        <f t="shared" si="11"/>
        <v>-541229.72096022032</v>
      </c>
      <c r="P61" s="240">
        <f t="shared" si="11"/>
        <v>-570997.35561303236</v>
      </c>
      <c r="Q61" s="240">
        <f t="shared" si="11"/>
        <v>-602402.21017174912</v>
      </c>
      <c r="R61" s="240">
        <f t="shared" si="11"/>
        <v>-635534.33173119533</v>
      </c>
      <c r="S61" s="240">
        <f t="shared" si="11"/>
        <v>-670488.71997641097</v>
      </c>
      <c r="T61" s="240">
        <f t="shared" si="11"/>
        <v>-707365.59957511351</v>
      </c>
      <c r="U61" s="240">
        <f t="shared" si="11"/>
        <v>-746270.70755174465</v>
      </c>
      <c r="V61" s="240">
        <f t="shared" si="11"/>
        <v>-787315.59646709065</v>
      </c>
      <c r="W61" s="240">
        <f t="shared" si="11"/>
        <v>-830617.95427278045</v>
      </c>
      <c r="X61" s="240">
        <f t="shared" si="11"/>
        <v>-876301.94175778329</v>
      </c>
      <c r="Y61" s="240">
        <f t="shared" si="11"/>
        <v>-924498.54855446145</v>
      </c>
      <c r="Z61" s="240">
        <f t="shared" si="11"/>
        <v>-975345.96872495685</v>
      </c>
      <c r="AA61" s="240">
        <f t="shared" si="11"/>
        <v>-1028989.9970048293</v>
      </c>
      <c r="AB61" s="240">
        <f t="shared" si="11"/>
        <v>-1085584.4468400949</v>
      </c>
      <c r="AC61" s="240">
        <f t="shared" si="11"/>
        <v>-1145291.5914163</v>
      </c>
      <c r="AD61" s="240">
        <f t="shared" si="11"/>
        <v>-1208282.6289441963</v>
      </c>
      <c r="AE61" s="240">
        <f t="shared" si="11"/>
        <v>-1274738.1735361272</v>
      </c>
      <c r="AF61" s="240">
        <f t="shared" si="11"/>
        <v>-1344848.7730806142</v>
      </c>
      <c r="AG61" s="240">
        <f t="shared" si="11"/>
        <v>-1418815.4556000477</v>
      </c>
      <c r="AH61" s="240">
        <f t="shared" si="11"/>
        <v>-1496850.3056580503</v>
      </c>
      <c r="AI61" s="240">
        <f t="shared" si="11"/>
        <v>-1579177.0724692431</v>
      </c>
      <c r="AJ61" s="240">
        <f t="shared" si="11"/>
        <v>-1666031.8114550512</v>
      </c>
      <c r="AK61" s="240">
        <f t="shared" si="11"/>
        <v>-1757663.5610850791</v>
      </c>
      <c r="AL61" s="240">
        <f t="shared" si="11"/>
        <v>-1854335.0569447582</v>
      </c>
      <c r="AM61" s="240">
        <f t="shared" si="11"/>
        <v>-1956323.4850767199</v>
      </c>
      <c r="AN61" s="240">
        <f t="shared" si="11"/>
        <v>-2063921.2767559395</v>
      </c>
      <c r="AO61" s="240">
        <f t="shared" si="11"/>
        <v>-2177436.9469775162</v>
      </c>
      <c r="AP61" s="240">
        <f t="shared" si="11"/>
        <v>-2297195.9790612794</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571</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571</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575</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321</v>
      </c>
      <c r="B66" s="247">
        <f t="shared" ref="B66:AO66" si="12">B59+B60</f>
        <v>24174724.521074377</v>
      </c>
      <c r="C66" s="247">
        <f t="shared" si="12"/>
        <v>1273837.6119264755</v>
      </c>
      <c r="D66" s="247">
        <f t="shared" si="12"/>
        <v>2988131.4172266494</v>
      </c>
      <c r="E66" s="247">
        <f t="shared" si="12"/>
        <v>4939709.8046719357</v>
      </c>
      <c r="F66" s="247">
        <f t="shared" si="12"/>
        <v>5211393.8439288922</v>
      </c>
      <c r="G66" s="247">
        <f t="shared" si="12"/>
        <v>5498020.5053449813</v>
      </c>
      <c r="H66" s="247">
        <f t="shared" si="12"/>
        <v>5800411.6331389546</v>
      </c>
      <c r="I66" s="247">
        <f t="shared" si="12"/>
        <v>6119434.2729615979</v>
      </c>
      <c r="J66" s="247">
        <f t="shared" si="12"/>
        <v>6456003.1579744853</v>
      </c>
      <c r="K66" s="247">
        <f t="shared" si="12"/>
        <v>6811083.3316630814</v>
      </c>
      <c r="L66" s="247">
        <f t="shared" si="12"/>
        <v>7185692.9149045506</v>
      </c>
      <c r="M66" s="247">
        <f t="shared" si="12"/>
        <v>7580906.025224301</v>
      </c>
      <c r="N66" s="247">
        <f t="shared" si="12"/>
        <v>7997855.8566116374</v>
      </c>
      <c r="O66" s="247">
        <f t="shared" si="12"/>
        <v>8437737.9287252761</v>
      </c>
      <c r="P66" s="247">
        <f t="shared" si="12"/>
        <v>8901813.5148051642</v>
      </c>
      <c r="Q66" s="247">
        <f t="shared" si="12"/>
        <v>9391413.2581194472</v>
      </c>
      <c r="R66" s="247">
        <f t="shared" si="12"/>
        <v>9907940.987316018</v>
      </c>
      <c r="S66" s="247">
        <f t="shared" si="12"/>
        <v>10452877.741618399</v>
      </c>
      <c r="T66" s="247">
        <f t="shared" si="12"/>
        <v>11027786.017407408</v>
      </c>
      <c r="U66" s="247">
        <f t="shared" si="12"/>
        <v>11634314.248364815</v>
      </c>
      <c r="V66" s="247">
        <f t="shared" si="12"/>
        <v>12274201.532024879</v>
      </c>
      <c r="W66" s="247">
        <f t="shared" si="12"/>
        <v>12949282.616286246</v>
      </c>
      <c r="X66" s="247">
        <f t="shared" si="12"/>
        <v>13661493.160181988</v>
      </c>
      <c r="Y66" s="247">
        <f t="shared" si="12"/>
        <v>14412875.283991998</v>
      </c>
      <c r="Z66" s="247">
        <f t="shared" si="12"/>
        <v>15205583.424611557</v>
      </c>
      <c r="AA66" s="247">
        <f t="shared" si="12"/>
        <v>16041890.512965191</v>
      </c>
      <c r="AB66" s="247">
        <f t="shared" si="12"/>
        <v>16924194.491178274</v>
      </c>
      <c r="AC66" s="247">
        <f t="shared" si="12"/>
        <v>17855025.188193079</v>
      </c>
      <c r="AD66" s="247">
        <f t="shared" si="12"/>
        <v>18837051.573543698</v>
      </c>
      <c r="AE66" s="247">
        <f t="shared" si="12"/>
        <v>19873089.410088602</v>
      </c>
      <c r="AF66" s="247">
        <f t="shared" si="12"/>
        <v>20966109.327643473</v>
      </c>
      <c r="AG66" s="247">
        <f t="shared" si="12"/>
        <v>22119245.340663861</v>
      </c>
      <c r="AH66" s="247">
        <f t="shared" si="12"/>
        <v>23335803.834400374</v>
      </c>
      <c r="AI66" s="247">
        <f t="shared" si="12"/>
        <v>24619273.045292392</v>
      </c>
      <c r="AJ66" s="247">
        <f t="shared" si="12"/>
        <v>25973333.062783472</v>
      </c>
      <c r="AK66" s="247">
        <f t="shared" si="12"/>
        <v>27401866.381236561</v>
      </c>
      <c r="AL66" s="247">
        <f t="shared" si="12"/>
        <v>28908969.032204568</v>
      </c>
      <c r="AM66" s="247">
        <f t="shared" si="12"/>
        <v>30498962.328975819</v>
      </c>
      <c r="AN66" s="247">
        <f t="shared" si="12"/>
        <v>32176405.257069495</v>
      </c>
      <c r="AO66" s="247">
        <f t="shared" si="12"/>
        <v>33946107.546208315</v>
      </c>
      <c r="AP66" s="247">
        <f>AP59+AP60</f>
        <v>35813143.461249769</v>
      </c>
    </row>
    <row r="67" spans="1:45" x14ac:dyDescent="0.2">
      <c r="A67" s="248" t="s">
        <v>316</v>
      </c>
      <c r="B67" s="250"/>
      <c r="C67" s="240">
        <f>-($B$25)*1.18*$B$28/$B$27</f>
        <v>-966988.98284297506</v>
      </c>
      <c r="D67" s="240">
        <f>C67</f>
        <v>-966988.98284297506</v>
      </c>
      <c r="E67" s="240">
        <f t="shared" ref="E67:AP67" si="13">D67</f>
        <v>-966988.98284297506</v>
      </c>
      <c r="F67" s="240">
        <f t="shared" si="13"/>
        <v>-966988.98284297506</v>
      </c>
      <c r="G67" s="240">
        <f t="shared" si="13"/>
        <v>-966988.98284297506</v>
      </c>
      <c r="H67" s="240">
        <f t="shared" si="13"/>
        <v>-966988.98284297506</v>
      </c>
      <c r="I67" s="240">
        <f t="shared" si="13"/>
        <v>-966988.98284297506</v>
      </c>
      <c r="J67" s="240">
        <f t="shared" si="13"/>
        <v>-966988.98284297506</v>
      </c>
      <c r="K67" s="240">
        <f t="shared" si="13"/>
        <v>-966988.98284297506</v>
      </c>
      <c r="L67" s="240">
        <f t="shared" si="13"/>
        <v>-966988.98284297506</v>
      </c>
      <c r="M67" s="240">
        <f t="shared" si="13"/>
        <v>-966988.98284297506</v>
      </c>
      <c r="N67" s="240">
        <f t="shared" si="13"/>
        <v>-966988.98284297506</v>
      </c>
      <c r="O67" s="240">
        <f t="shared" si="13"/>
        <v>-966988.98284297506</v>
      </c>
      <c r="P67" s="240">
        <f t="shared" si="13"/>
        <v>-966988.98284297506</v>
      </c>
      <c r="Q67" s="240">
        <f t="shared" si="13"/>
        <v>-966988.98284297506</v>
      </c>
      <c r="R67" s="240">
        <f t="shared" si="13"/>
        <v>-966988.98284297506</v>
      </c>
      <c r="S67" s="240">
        <f t="shared" si="13"/>
        <v>-966988.98284297506</v>
      </c>
      <c r="T67" s="240">
        <f t="shared" si="13"/>
        <v>-966988.98284297506</v>
      </c>
      <c r="U67" s="240">
        <f t="shared" si="13"/>
        <v>-966988.98284297506</v>
      </c>
      <c r="V67" s="240">
        <f t="shared" si="13"/>
        <v>-966988.98284297506</v>
      </c>
      <c r="W67" s="240">
        <f t="shared" si="13"/>
        <v>-966988.98284297506</v>
      </c>
      <c r="X67" s="240">
        <f t="shared" si="13"/>
        <v>-966988.98284297506</v>
      </c>
      <c r="Y67" s="240">
        <f t="shared" si="13"/>
        <v>-966988.98284297506</v>
      </c>
      <c r="Z67" s="240">
        <f t="shared" si="13"/>
        <v>-966988.98284297506</v>
      </c>
      <c r="AA67" s="240">
        <f t="shared" si="13"/>
        <v>-966988.98284297506</v>
      </c>
      <c r="AB67" s="240">
        <f t="shared" si="13"/>
        <v>-966988.98284297506</v>
      </c>
      <c r="AC67" s="240">
        <f t="shared" si="13"/>
        <v>-966988.98284297506</v>
      </c>
      <c r="AD67" s="240">
        <f t="shared" si="13"/>
        <v>-966988.98284297506</v>
      </c>
      <c r="AE67" s="240">
        <f t="shared" si="13"/>
        <v>-966988.98284297506</v>
      </c>
      <c r="AF67" s="240">
        <f t="shared" si="13"/>
        <v>-966988.98284297506</v>
      </c>
      <c r="AG67" s="240">
        <f t="shared" si="13"/>
        <v>-966988.98284297506</v>
      </c>
      <c r="AH67" s="240">
        <f t="shared" si="13"/>
        <v>-966988.98284297506</v>
      </c>
      <c r="AI67" s="240">
        <f t="shared" si="13"/>
        <v>-966988.98284297506</v>
      </c>
      <c r="AJ67" s="240">
        <f t="shared" si="13"/>
        <v>-966988.98284297506</v>
      </c>
      <c r="AK67" s="240">
        <f t="shared" si="13"/>
        <v>-966988.98284297506</v>
      </c>
      <c r="AL67" s="240">
        <f t="shared" si="13"/>
        <v>-966988.98284297506</v>
      </c>
      <c r="AM67" s="240">
        <f t="shared" si="13"/>
        <v>-966988.98284297506</v>
      </c>
      <c r="AN67" s="240">
        <f t="shared" si="13"/>
        <v>-966988.98284297506</v>
      </c>
      <c r="AO67" s="240">
        <f t="shared" si="13"/>
        <v>-966988.98284297506</v>
      </c>
      <c r="AP67" s="240">
        <f t="shared" si="13"/>
        <v>-966988.98284297506</v>
      </c>
      <c r="AQ67" s="251">
        <f>SUM(B67:AA67)/1.18</f>
        <v>-20487054.721249465</v>
      </c>
      <c r="AR67" s="252">
        <f>SUM(B67:AF67)/1.18</f>
        <v>-24584465.665499356</v>
      </c>
      <c r="AS67" s="252">
        <f>SUM(B67:AP67)/1.18</f>
        <v>-32779287.553999141</v>
      </c>
    </row>
    <row r="68" spans="1:45" ht="28.5" x14ac:dyDescent="0.2">
      <c r="A68" s="249" t="s">
        <v>317</v>
      </c>
      <c r="B68" s="247">
        <f t="shared" ref="B68:J68" si="14">B66+B67</f>
        <v>24174724.521074377</v>
      </c>
      <c r="C68" s="247">
        <f>C66+C67</f>
        <v>306848.62908350048</v>
      </c>
      <c r="D68" s="247">
        <f>D66+D67</f>
        <v>2021142.4343836743</v>
      </c>
      <c r="E68" s="247">
        <f t="shared" si="14"/>
        <v>3972720.8218289604</v>
      </c>
      <c r="F68" s="247">
        <f>F66+C67</f>
        <v>4244404.8610859169</v>
      </c>
      <c r="G68" s="247">
        <f t="shared" si="14"/>
        <v>4531031.522502006</v>
      </c>
      <c r="H68" s="247">
        <f t="shared" si="14"/>
        <v>4833422.6502959793</v>
      </c>
      <c r="I68" s="247">
        <f t="shared" si="14"/>
        <v>5152445.2901186226</v>
      </c>
      <c r="J68" s="247">
        <f t="shared" si="14"/>
        <v>5489014.17513151</v>
      </c>
      <c r="K68" s="247">
        <f>K66+K67</f>
        <v>5844094.3488201061</v>
      </c>
      <c r="L68" s="247">
        <f>L66+L67</f>
        <v>6218703.9320615754</v>
      </c>
      <c r="M68" s="247">
        <f t="shared" ref="M68:AO68" si="15">M66+M67</f>
        <v>6613917.0423813257</v>
      </c>
      <c r="N68" s="247">
        <f t="shared" si="15"/>
        <v>7030866.8737686621</v>
      </c>
      <c r="O68" s="247">
        <f t="shared" si="15"/>
        <v>7470748.9458823008</v>
      </c>
      <c r="P68" s="247">
        <f t="shared" si="15"/>
        <v>7934824.5319621889</v>
      </c>
      <c r="Q68" s="247">
        <f t="shared" si="15"/>
        <v>8424424.2752764728</v>
      </c>
      <c r="R68" s="247">
        <f t="shared" si="15"/>
        <v>8940952.0044730436</v>
      </c>
      <c r="S68" s="247">
        <f t="shared" si="15"/>
        <v>9485888.7587754242</v>
      </c>
      <c r="T68" s="247">
        <f t="shared" si="15"/>
        <v>10060797.034564434</v>
      </c>
      <c r="U68" s="247">
        <f t="shared" si="15"/>
        <v>10667325.265521841</v>
      </c>
      <c r="V68" s="247">
        <f t="shared" si="15"/>
        <v>11307212.549181905</v>
      </c>
      <c r="W68" s="247">
        <f t="shared" si="15"/>
        <v>11982293.633443272</v>
      </c>
      <c r="X68" s="247">
        <f t="shared" si="15"/>
        <v>12694504.177339014</v>
      </c>
      <c r="Y68" s="247">
        <f t="shared" si="15"/>
        <v>13445886.301149024</v>
      </c>
      <c r="Z68" s="247">
        <f t="shared" si="15"/>
        <v>14238594.441768583</v>
      </c>
      <c r="AA68" s="247">
        <f t="shared" si="15"/>
        <v>15074901.530122217</v>
      </c>
      <c r="AB68" s="247">
        <f t="shared" si="15"/>
        <v>15957205.5083353</v>
      </c>
      <c r="AC68" s="247">
        <f t="shared" si="15"/>
        <v>16888036.205350105</v>
      </c>
      <c r="AD68" s="247">
        <f t="shared" si="15"/>
        <v>17870062.590700723</v>
      </c>
      <c r="AE68" s="247">
        <f t="shared" si="15"/>
        <v>18906100.427245628</v>
      </c>
      <c r="AF68" s="247">
        <f t="shared" si="15"/>
        <v>19999120.344800498</v>
      </c>
      <c r="AG68" s="247">
        <f t="shared" si="15"/>
        <v>21152256.357820887</v>
      </c>
      <c r="AH68" s="247">
        <f t="shared" si="15"/>
        <v>22368814.8515574</v>
      </c>
      <c r="AI68" s="247">
        <f t="shared" si="15"/>
        <v>23652284.062449418</v>
      </c>
      <c r="AJ68" s="247">
        <f t="shared" si="15"/>
        <v>25006344.079940498</v>
      </c>
      <c r="AK68" s="247">
        <f t="shared" si="15"/>
        <v>26434877.398393586</v>
      </c>
      <c r="AL68" s="247">
        <f t="shared" si="15"/>
        <v>27941980.049361594</v>
      </c>
      <c r="AM68" s="247">
        <f t="shared" si="15"/>
        <v>29531973.346132845</v>
      </c>
      <c r="AN68" s="247">
        <f t="shared" si="15"/>
        <v>31209416.27422652</v>
      </c>
      <c r="AO68" s="247">
        <f t="shared" si="15"/>
        <v>32979118.56336534</v>
      </c>
      <c r="AP68" s="247">
        <f>AP66+AP67</f>
        <v>34846154.478406794</v>
      </c>
      <c r="AQ68" s="192">
        <v>25</v>
      </c>
      <c r="AR68" s="192">
        <v>30</v>
      </c>
      <c r="AS68" s="192">
        <v>40</v>
      </c>
    </row>
    <row r="69" spans="1:45" x14ac:dyDescent="0.2">
      <c r="A69" s="248" t="s">
        <v>315</v>
      </c>
      <c r="B69" s="240">
        <f t="shared" ref="B69:AO69" si="16">-B56</f>
        <v>0</v>
      </c>
      <c r="C69" s="240">
        <f t="shared" si="16"/>
        <v>0</v>
      </c>
      <c r="D69" s="240">
        <f t="shared" si="16"/>
        <v>0</v>
      </c>
      <c r="E69" s="240">
        <f t="shared" si="16"/>
        <v>0</v>
      </c>
      <c r="F69" s="240">
        <f t="shared" si="16"/>
        <v>0</v>
      </c>
      <c r="G69" s="240">
        <f t="shared" si="16"/>
        <v>0</v>
      </c>
      <c r="H69" s="240">
        <f t="shared" si="16"/>
        <v>0</v>
      </c>
      <c r="I69" s="240">
        <f t="shared" si="16"/>
        <v>0</v>
      </c>
      <c r="J69" s="240">
        <f t="shared" si="16"/>
        <v>0</v>
      </c>
      <c r="K69" s="240">
        <f t="shared" si="16"/>
        <v>0</v>
      </c>
      <c r="L69" s="240">
        <f t="shared" si="16"/>
        <v>0</v>
      </c>
      <c r="M69" s="240">
        <f t="shared" si="16"/>
        <v>0</v>
      </c>
      <c r="N69" s="240">
        <f t="shared" si="16"/>
        <v>0</v>
      </c>
      <c r="O69" s="240">
        <f t="shared" si="16"/>
        <v>0</v>
      </c>
      <c r="P69" s="240">
        <f t="shared" si="16"/>
        <v>0</v>
      </c>
      <c r="Q69" s="240">
        <f t="shared" si="16"/>
        <v>0</v>
      </c>
      <c r="R69" s="240">
        <f t="shared" si="16"/>
        <v>0</v>
      </c>
      <c r="S69" s="240">
        <f t="shared" si="16"/>
        <v>0</v>
      </c>
      <c r="T69" s="240">
        <f t="shared" si="16"/>
        <v>0</v>
      </c>
      <c r="U69" s="240">
        <f t="shared" si="16"/>
        <v>0</v>
      </c>
      <c r="V69" s="240">
        <f t="shared" si="16"/>
        <v>0</v>
      </c>
      <c r="W69" s="240">
        <f t="shared" si="16"/>
        <v>0</v>
      </c>
      <c r="X69" s="240">
        <f t="shared" si="16"/>
        <v>0</v>
      </c>
      <c r="Y69" s="240">
        <f t="shared" si="16"/>
        <v>0</v>
      </c>
      <c r="Z69" s="240">
        <f t="shared" si="16"/>
        <v>0</v>
      </c>
      <c r="AA69" s="240">
        <f t="shared" si="16"/>
        <v>0</v>
      </c>
      <c r="AB69" s="240">
        <f t="shared" si="16"/>
        <v>0</v>
      </c>
      <c r="AC69" s="240">
        <f t="shared" si="16"/>
        <v>0</v>
      </c>
      <c r="AD69" s="240">
        <f t="shared" si="16"/>
        <v>0</v>
      </c>
      <c r="AE69" s="240">
        <f t="shared" si="16"/>
        <v>0</v>
      </c>
      <c r="AF69" s="240">
        <f t="shared" si="16"/>
        <v>0</v>
      </c>
      <c r="AG69" s="240">
        <f t="shared" si="16"/>
        <v>0</v>
      </c>
      <c r="AH69" s="240">
        <f t="shared" si="16"/>
        <v>0</v>
      </c>
      <c r="AI69" s="240">
        <f t="shared" si="16"/>
        <v>0</v>
      </c>
      <c r="AJ69" s="240">
        <f t="shared" si="16"/>
        <v>0</v>
      </c>
      <c r="AK69" s="240">
        <f t="shared" si="16"/>
        <v>0</v>
      </c>
      <c r="AL69" s="240">
        <f t="shared" si="16"/>
        <v>0</v>
      </c>
      <c r="AM69" s="240">
        <f t="shared" si="16"/>
        <v>0</v>
      </c>
      <c r="AN69" s="240">
        <f t="shared" si="16"/>
        <v>0</v>
      </c>
      <c r="AO69" s="240">
        <f t="shared" si="16"/>
        <v>0</v>
      </c>
      <c r="AP69" s="240">
        <f>-AP56</f>
        <v>0</v>
      </c>
    </row>
    <row r="70" spans="1:45" ht="14.25" x14ac:dyDescent="0.2">
      <c r="A70" s="249" t="s">
        <v>320</v>
      </c>
      <c r="B70" s="247">
        <f t="shared" ref="B70:AO70" si="17">B68+B69</f>
        <v>24174724.521074377</v>
      </c>
      <c r="C70" s="247">
        <f t="shared" si="17"/>
        <v>306848.62908350048</v>
      </c>
      <c r="D70" s="247">
        <f t="shared" si="17"/>
        <v>2021142.4343836743</v>
      </c>
      <c r="E70" s="247">
        <f t="shared" si="17"/>
        <v>3972720.8218289604</v>
      </c>
      <c r="F70" s="247">
        <f t="shared" si="17"/>
        <v>4244404.8610859169</v>
      </c>
      <c r="G70" s="247">
        <f t="shared" si="17"/>
        <v>4531031.522502006</v>
      </c>
      <c r="H70" s="247">
        <f t="shared" si="17"/>
        <v>4833422.6502959793</v>
      </c>
      <c r="I70" s="247">
        <f t="shared" si="17"/>
        <v>5152445.2901186226</v>
      </c>
      <c r="J70" s="247">
        <f t="shared" si="17"/>
        <v>5489014.17513151</v>
      </c>
      <c r="K70" s="247">
        <f t="shared" si="17"/>
        <v>5844094.3488201061</v>
      </c>
      <c r="L70" s="247">
        <f t="shared" si="17"/>
        <v>6218703.9320615754</v>
      </c>
      <c r="M70" s="247">
        <f t="shared" si="17"/>
        <v>6613917.0423813257</v>
      </c>
      <c r="N70" s="247">
        <f t="shared" si="17"/>
        <v>7030866.8737686621</v>
      </c>
      <c r="O70" s="247">
        <f t="shared" si="17"/>
        <v>7470748.9458823008</v>
      </c>
      <c r="P70" s="247">
        <f t="shared" si="17"/>
        <v>7934824.5319621889</v>
      </c>
      <c r="Q70" s="247">
        <f t="shared" si="17"/>
        <v>8424424.2752764728</v>
      </c>
      <c r="R70" s="247">
        <f t="shared" si="17"/>
        <v>8940952.0044730436</v>
      </c>
      <c r="S70" s="247">
        <f t="shared" si="17"/>
        <v>9485888.7587754242</v>
      </c>
      <c r="T70" s="247">
        <f t="shared" si="17"/>
        <v>10060797.034564434</v>
      </c>
      <c r="U70" s="247">
        <f t="shared" si="17"/>
        <v>10667325.265521841</v>
      </c>
      <c r="V70" s="247">
        <f t="shared" si="17"/>
        <v>11307212.549181905</v>
      </c>
      <c r="W70" s="247">
        <f t="shared" si="17"/>
        <v>11982293.633443272</v>
      </c>
      <c r="X70" s="247">
        <f t="shared" si="17"/>
        <v>12694504.177339014</v>
      </c>
      <c r="Y70" s="247">
        <f t="shared" si="17"/>
        <v>13445886.301149024</v>
      </c>
      <c r="Z70" s="247">
        <f t="shared" si="17"/>
        <v>14238594.441768583</v>
      </c>
      <c r="AA70" s="247">
        <f t="shared" si="17"/>
        <v>15074901.530122217</v>
      </c>
      <c r="AB70" s="247">
        <f t="shared" si="17"/>
        <v>15957205.5083353</v>
      </c>
      <c r="AC70" s="247">
        <f t="shared" si="17"/>
        <v>16888036.205350105</v>
      </c>
      <c r="AD70" s="247">
        <f t="shared" si="17"/>
        <v>17870062.590700723</v>
      </c>
      <c r="AE70" s="247">
        <f t="shared" si="17"/>
        <v>18906100.427245628</v>
      </c>
      <c r="AF70" s="247">
        <f t="shared" si="17"/>
        <v>19999120.344800498</v>
      </c>
      <c r="AG70" s="247">
        <f t="shared" si="17"/>
        <v>21152256.357820887</v>
      </c>
      <c r="AH70" s="247">
        <f t="shared" si="17"/>
        <v>22368814.8515574</v>
      </c>
      <c r="AI70" s="247">
        <f t="shared" si="17"/>
        <v>23652284.062449418</v>
      </c>
      <c r="AJ70" s="247">
        <f t="shared" si="17"/>
        <v>25006344.079940498</v>
      </c>
      <c r="AK70" s="247">
        <f t="shared" si="17"/>
        <v>26434877.398393586</v>
      </c>
      <c r="AL70" s="247">
        <f t="shared" si="17"/>
        <v>27941980.049361594</v>
      </c>
      <c r="AM70" s="247">
        <f t="shared" si="17"/>
        <v>29531973.346132845</v>
      </c>
      <c r="AN70" s="247">
        <f t="shared" si="17"/>
        <v>31209416.27422652</v>
      </c>
      <c r="AO70" s="247">
        <f t="shared" si="17"/>
        <v>32979118.56336534</v>
      </c>
      <c r="AP70" s="247">
        <f>AP68+AP69</f>
        <v>34846154.478406794</v>
      </c>
    </row>
    <row r="71" spans="1:45" x14ac:dyDescent="0.2">
      <c r="A71" s="248" t="s">
        <v>314</v>
      </c>
      <c r="B71" s="240">
        <f t="shared" ref="B71:AP71" si="18">-B70*$B$36</f>
        <v>-4834944.9042148758</v>
      </c>
      <c r="C71" s="240">
        <f t="shared" si="18"/>
        <v>-61369.725816700098</v>
      </c>
      <c r="D71" s="240">
        <f t="shared" si="18"/>
        <v>-404228.48687673488</v>
      </c>
      <c r="E71" s="240">
        <f t="shared" si="18"/>
        <v>-794544.16436579218</v>
      </c>
      <c r="F71" s="240">
        <f t="shared" si="18"/>
        <v>-848880.97221718344</v>
      </c>
      <c r="G71" s="240">
        <f t="shared" si="18"/>
        <v>-906206.30450040125</v>
      </c>
      <c r="H71" s="240">
        <f t="shared" si="18"/>
        <v>-966684.53005919594</v>
      </c>
      <c r="I71" s="240">
        <f t="shared" si="18"/>
        <v>-1030489.0580237246</v>
      </c>
      <c r="J71" s="240">
        <f t="shared" si="18"/>
        <v>-1097802.8350263021</v>
      </c>
      <c r="K71" s="240">
        <f t="shared" si="18"/>
        <v>-1168818.8697640214</v>
      </c>
      <c r="L71" s="240">
        <f t="shared" si="18"/>
        <v>-1243740.7864123152</v>
      </c>
      <c r="M71" s="240">
        <f t="shared" si="18"/>
        <v>-1322783.4084762651</v>
      </c>
      <c r="N71" s="240">
        <f t="shared" si="18"/>
        <v>-1406173.3747537325</v>
      </c>
      <c r="O71" s="240">
        <f t="shared" si="18"/>
        <v>-1494149.7891764604</v>
      </c>
      <c r="P71" s="240">
        <f t="shared" si="18"/>
        <v>-1586964.9063924379</v>
      </c>
      <c r="Q71" s="240">
        <f t="shared" si="18"/>
        <v>-1684884.8550552947</v>
      </c>
      <c r="R71" s="240">
        <f t="shared" si="18"/>
        <v>-1788190.4008946088</v>
      </c>
      <c r="S71" s="240">
        <f t="shared" si="18"/>
        <v>-1897177.7517550848</v>
      </c>
      <c r="T71" s="240">
        <f t="shared" si="18"/>
        <v>-2012159.4069128868</v>
      </c>
      <c r="U71" s="240">
        <f t="shared" si="18"/>
        <v>-2133465.0531043685</v>
      </c>
      <c r="V71" s="240">
        <f t="shared" si="18"/>
        <v>-2261442.5098363808</v>
      </c>
      <c r="W71" s="240">
        <f t="shared" si="18"/>
        <v>-2396458.7266886546</v>
      </c>
      <c r="X71" s="240">
        <f t="shared" si="18"/>
        <v>-2538900.8354678028</v>
      </c>
      <c r="Y71" s="240">
        <f t="shared" si="18"/>
        <v>-2689177.260229805</v>
      </c>
      <c r="Z71" s="240">
        <f t="shared" si="18"/>
        <v>-2847718.8883537166</v>
      </c>
      <c r="AA71" s="240">
        <f t="shared" si="18"/>
        <v>-3014980.3060244434</v>
      </c>
      <c r="AB71" s="240">
        <f t="shared" si="18"/>
        <v>-3191441.1016670601</v>
      </c>
      <c r="AC71" s="240">
        <f t="shared" si="18"/>
        <v>-3377607.2410700209</v>
      </c>
      <c r="AD71" s="240">
        <f t="shared" si="18"/>
        <v>-3574012.5181401446</v>
      </c>
      <c r="AE71" s="240">
        <f t="shared" si="18"/>
        <v>-3781220.0854491256</v>
      </c>
      <c r="AF71" s="240">
        <f t="shared" si="18"/>
        <v>-3999824.0689600999</v>
      </c>
      <c r="AG71" s="240">
        <f t="shared" si="18"/>
        <v>-4230451.2715641772</v>
      </c>
      <c r="AH71" s="240">
        <f t="shared" si="18"/>
        <v>-4473762.9703114806</v>
      </c>
      <c r="AI71" s="240">
        <f t="shared" si="18"/>
        <v>-4730456.812489884</v>
      </c>
      <c r="AJ71" s="240">
        <f t="shared" si="18"/>
        <v>-5001268.8159881001</v>
      </c>
      <c r="AK71" s="240">
        <f t="shared" si="18"/>
        <v>-5286975.4796787174</v>
      </c>
      <c r="AL71" s="240">
        <f t="shared" si="18"/>
        <v>-5588396.0098723192</v>
      </c>
      <c r="AM71" s="240">
        <f t="shared" si="18"/>
        <v>-5906394.6692265691</v>
      </c>
      <c r="AN71" s="240">
        <f t="shared" si="18"/>
        <v>-6241883.2548453044</v>
      </c>
      <c r="AO71" s="240">
        <f t="shared" si="18"/>
        <v>-6595823.712673068</v>
      </c>
      <c r="AP71" s="240">
        <f t="shared" si="18"/>
        <v>-6969230.8956813589</v>
      </c>
    </row>
    <row r="72" spans="1:45" ht="15" thickBot="1" x14ac:dyDescent="0.25">
      <c r="A72" s="253" t="s">
        <v>319</v>
      </c>
      <c r="B72" s="254">
        <f t="shared" ref="B72:AO72" si="19">B70+B71</f>
        <v>19339779.616859503</v>
      </c>
      <c r="C72" s="254">
        <f t="shared" si="19"/>
        <v>245478.90326680039</v>
      </c>
      <c r="D72" s="254">
        <f t="shared" si="19"/>
        <v>1616913.9475069395</v>
      </c>
      <c r="E72" s="254">
        <f t="shared" si="19"/>
        <v>3178176.6574631683</v>
      </c>
      <c r="F72" s="254">
        <f t="shared" si="19"/>
        <v>3395523.8888687333</v>
      </c>
      <c r="G72" s="254">
        <f t="shared" si="19"/>
        <v>3624825.218001605</v>
      </c>
      <c r="H72" s="254">
        <f t="shared" si="19"/>
        <v>3866738.1202367833</v>
      </c>
      <c r="I72" s="254">
        <f t="shared" si="19"/>
        <v>4121956.2320948979</v>
      </c>
      <c r="J72" s="254">
        <f t="shared" si="19"/>
        <v>4391211.3401052076</v>
      </c>
      <c r="K72" s="254">
        <f t="shared" si="19"/>
        <v>4675275.4790560845</v>
      </c>
      <c r="L72" s="254">
        <f t="shared" si="19"/>
        <v>4974963.1456492599</v>
      </c>
      <c r="M72" s="254">
        <f t="shared" si="19"/>
        <v>5291133.6339050606</v>
      </c>
      <c r="N72" s="254">
        <f t="shared" si="19"/>
        <v>5624693.4990149299</v>
      </c>
      <c r="O72" s="254">
        <f t="shared" si="19"/>
        <v>5976599.1567058405</v>
      </c>
      <c r="P72" s="254">
        <f t="shared" si="19"/>
        <v>6347859.6255697515</v>
      </c>
      <c r="Q72" s="254">
        <f t="shared" si="19"/>
        <v>6739539.4202211779</v>
      </c>
      <c r="R72" s="254">
        <f t="shared" si="19"/>
        <v>7152761.6035784353</v>
      </c>
      <c r="S72" s="254">
        <f t="shared" si="19"/>
        <v>7588711.0070203394</v>
      </c>
      <c r="T72" s="254">
        <f t="shared" si="19"/>
        <v>8048637.6276515471</v>
      </c>
      <c r="U72" s="254">
        <f t="shared" si="19"/>
        <v>8533860.2124174722</v>
      </c>
      <c r="V72" s="254">
        <f t="shared" si="19"/>
        <v>9045770.0393455233</v>
      </c>
      <c r="W72" s="254">
        <f t="shared" si="19"/>
        <v>9585834.9067546166</v>
      </c>
      <c r="X72" s="254">
        <f t="shared" si="19"/>
        <v>10155603.341871211</v>
      </c>
      <c r="Y72" s="254">
        <f t="shared" si="19"/>
        <v>10756709.040919218</v>
      </c>
      <c r="Z72" s="254">
        <f t="shared" si="19"/>
        <v>11390875.553414866</v>
      </c>
      <c r="AA72" s="254">
        <f t="shared" si="19"/>
        <v>12059921.224097773</v>
      </c>
      <c r="AB72" s="254">
        <f t="shared" si="19"/>
        <v>12765764.40666824</v>
      </c>
      <c r="AC72" s="254">
        <f t="shared" si="19"/>
        <v>13510428.964280084</v>
      </c>
      <c r="AD72" s="254">
        <f t="shared" si="19"/>
        <v>14296050.072560579</v>
      </c>
      <c r="AE72" s="254">
        <f t="shared" si="19"/>
        <v>15124880.341796502</v>
      </c>
      <c r="AF72" s="254">
        <f t="shared" si="19"/>
        <v>15999296.275840398</v>
      </c>
      <c r="AG72" s="254">
        <f t="shared" si="19"/>
        <v>16921805.086256709</v>
      </c>
      <c r="AH72" s="254">
        <f t="shared" si="19"/>
        <v>17895051.881245919</v>
      </c>
      <c r="AI72" s="254">
        <f t="shared" si="19"/>
        <v>18921827.249959536</v>
      </c>
      <c r="AJ72" s="254">
        <f t="shared" si="19"/>
        <v>20005075.263952397</v>
      </c>
      <c r="AK72" s="254">
        <f t="shared" si="19"/>
        <v>21147901.91871487</v>
      </c>
      <c r="AL72" s="254">
        <f t="shared" si="19"/>
        <v>22353584.039489277</v>
      </c>
      <c r="AM72" s="254">
        <f t="shared" si="19"/>
        <v>23625578.676906276</v>
      </c>
      <c r="AN72" s="254">
        <f t="shared" si="19"/>
        <v>24967533.019381218</v>
      </c>
      <c r="AO72" s="254">
        <f t="shared" si="19"/>
        <v>26383294.850692272</v>
      </c>
      <c r="AP72" s="254">
        <f>AP70+AP71</f>
        <v>27876923.582725435</v>
      </c>
    </row>
    <row r="73" spans="1:45" s="256" customFormat="1" ht="16.5" thickBot="1" x14ac:dyDescent="0.25">
      <c r="A73" s="243"/>
      <c r="B73" s="255">
        <f>D141</f>
        <v>2.5</v>
      </c>
      <c r="C73" s="255">
        <f t="shared" ref="C73:AP73" si="20">E141</f>
        <v>3.5</v>
      </c>
      <c r="D73" s="255">
        <f t="shared" si="20"/>
        <v>4.5</v>
      </c>
      <c r="E73" s="255">
        <f t="shared" si="20"/>
        <v>5.5</v>
      </c>
      <c r="F73" s="255">
        <f t="shared" si="20"/>
        <v>6.5</v>
      </c>
      <c r="G73" s="255">
        <f t="shared" si="20"/>
        <v>7.5</v>
      </c>
      <c r="H73" s="255">
        <f t="shared" si="20"/>
        <v>8.5</v>
      </c>
      <c r="I73" s="255">
        <f t="shared" si="20"/>
        <v>9.5</v>
      </c>
      <c r="J73" s="255">
        <f t="shared" si="20"/>
        <v>10.5</v>
      </c>
      <c r="K73" s="255">
        <f t="shared" si="20"/>
        <v>11.5</v>
      </c>
      <c r="L73" s="255">
        <f t="shared" si="20"/>
        <v>12.5</v>
      </c>
      <c r="M73" s="255">
        <f t="shared" si="20"/>
        <v>13.5</v>
      </c>
      <c r="N73" s="255">
        <f t="shared" si="20"/>
        <v>14.5</v>
      </c>
      <c r="O73" s="255">
        <f t="shared" si="20"/>
        <v>15.5</v>
      </c>
      <c r="P73" s="255">
        <f t="shared" si="20"/>
        <v>16.5</v>
      </c>
      <c r="Q73" s="255">
        <f t="shared" si="20"/>
        <v>17.5</v>
      </c>
      <c r="R73" s="255">
        <f t="shared" si="20"/>
        <v>18.5</v>
      </c>
      <c r="S73" s="255">
        <f t="shared" si="20"/>
        <v>19.5</v>
      </c>
      <c r="T73" s="255">
        <f t="shared" si="20"/>
        <v>20.5</v>
      </c>
      <c r="U73" s="255">
        <f t="shared" si="20"/>
        <v>21.5</v>
      </c>
      <c r="V73" s="255">
        <f t="shared" si="20"/>
        <v>22.5</v>
      </c>
      <c r="W73" s="255">
        <f t="shared" si="20"/>
        <v>23.5</v>
      </c>
      <c r="X73" s="255">
        <f t="shared" si="20"/>
        <v>24.5</v>
      </c>
      <c r="Y73" s="255">
        <f t="shared" si="20"/>
        <v>25.5</v>
      </c>
      <c r="Z73" s="255">
        <f t="shared" si="20"/>
        <v>26.5</v>
      </c>
      <c r="AA73" s="255">
        <f t="shared" si="20"/>
        <v>27.5</v>
      </c>
      <c r="AB73" s="255">
        <f t="shared" si="20"/>
        <v>28.5</v>
      </c>
      <c r="AC73" s="255">
        <f t="shared" si="20"/>
        <v>29.5</v>
      </c>
      <c r="AD73" s="255">
        <f t="shared" si="20"/>
        <v>30.5</v>
      </c>
      <c r="AE73" s="255">
        <f t="shared" si="20"/>
        <v>31.5</v>
      </c>
      <c r="AF73" s="255">
        <f t="shared" si="20"/>
        <v>32.5</v>
      </c>
      <c r="AG73" s="255">
        <f t="shared" si="20"/>
        <v>33.5</v>
      </c>
      <c r="AH73" s="255">
        <f t="shared" si="20"/>
        <v>34.5</v>
      </c>
      <c r="AI73" s="255">
        <f t="shared" si="20"/>
        <v>35.5</v>
      </c>
      <c r="AJ73" s="255">
        <f t="shared" si="20"/>
        <v>36.5</v>
      </c>
      <c r="AK73" s="255">
        <f t="shared" si="20"/>
        <v>37.5</v>
      </c>
      <c r="AL73" s="255">
        <f t="shared" si="20"/>
        <v>38.5</v>
      </c>
      <c r="AM73" s="255">
        <f t="shared" si="20"/>
        <v>39.5</v>
      </c>
      <c r="AN73" s="255">
        <f t="shared" si="20"/>
        <v>40.5</v>
      </c>
      <c r="AO73" s="255">
        <f t="shared" si="20"/>
        <v>41.5</v>
      </c>
      <c r="AP73" s="255">
        <f t="shared" si="20"/>
        <v>42.5</v>
      </c>
      <c r="AQ73" s="192"/>
      <c r="AR73" s="192"/>
      <c r="AS73" s="192"/>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6" t="s">
        <v>317</v>
      </c>
      <c r="B75" s="247">
        <f t="shared" ref="B75:AO75" si="22">B68</f>
        <v>24174724.521074377</v>
      </c>
      <c r="C75" s="247">
        <f t="shared" si="22"/>
        <v>306848.62908350048</v>
      </c>
      <c r="D75" s="247">
        <f>D68</f>
        <v>2021142.4343836743</v>
      </c>
      <c r="E75" s="247">
        <f t="shared" si="22"/>
        <v>3972720.8218289604</v>
      </c>
      <c r="F75" s="247">
        <f t="shared" si="22"/>
        <v>4244404.8610859169</v>
      </c>
      <c r="G75" s="247">
        <f t="shared" si="22"/>
        <v>4531031.522502006</v>
      </c>
      <c r="H75" s="247">
        <f t="shared" si="22"/>
        <v>4833422.6502959793</v>
      </c>
      <c r="I75" s="247">
        <f t="shared" si="22"/>
        <v>5152445.2901186226</v>
      </c>
      <c r="J75" s="247">
        <f t="shared" si="22"/>
        <v>5489014.17513151</v>
      </c>
      <c r="K75" s="247">
        <f t="shared" si="22"/>
        <v>5844094.3488201061</v>
      </c>
      <c r="L75" s="247">
        <f t="shared" si="22"/>
        <v>6218703.9320615754</v>
      </c>
      <c r="M75" s="247">
        <f t="shared" si="22"/>
        <v>6613917.0423813257</v>
      </c>
      <c r="N75" s="247">
        <f t="shared" si="22"/>
        <v>7030866.8737686621</v>
      </c>
      <c r="O75" s="247">
        <f t="shared" si="22"/>
        <v>7470748.9458823008</v>
      </c>
      <c r="P75" s="247">
        <f t="shared" si="22"/>
        <v>7934824.5319621889</v>
      </c>
      <c r="Q75" s="247">
        <f t="shared" si="22"/>
        <v>8424424.2752764728</v>
      </c>
      <c r="R75" s="247">
        <f t="shared" si="22"/>
        <v>8940952.0044730436</v>
      </c>
      <c r="S75" s="247">
        <f t="shared" si="22"/>
        <v>9485888.7587754242</v>
      </c>
      <c r="T75" s="247">
        <f t="shared" si="22"/>
        <v>10060797.034564434</v>
      </c>
      <c r="U75" s="247">
        <f t="shared" si="22"/>
        <v>10667325.265521841</v>
      </c>
      <c r="V75" s="247">
        <f t="shared" si="22"/>
        <v>11307212.549181905</v>
      </c>
      <c r="W75" s="247">
        <f t="shared" si="22"/>
        <v>11982293.633443272</v>
      </c>
      <c r="X75" s="247">
        <f t="shared" si="22"/>
        <v>12694504.177339014</v>
      </c>
      <c r="Y75" s="247">
        <f t="shared" si="22"/>
        <v>13445886.301149024</v>
      </c>
      <c r="Z75" s="247">
        <f t="shared" si="22"/>
        <v>14238594.441768583</v>
      </c>
      <c r="AA75" s="247">
        <f t="shared" si="22"/>
        <v>15074901.530122217</v>
      </c>
      <c r="AB75" s="247">
        <f t="shared" si="22"/>
        <v>15957205.5083353</v>
      </c>
      <c r="AC75" s="247">
        <f t="shared" si="22"/>
        <v>16888036.205350105</v>
      </c>
      <c r="AD75" s="247">
        <f t="shared" si="22"/>
        <v>17870062.590700723</v>
      </c>
      <c r="AE75" s="247">
        <f t="shared" si="22"/>
        <v>18906100.427245628</v>
      </c>
      <c r="AF75" s="247">
        <f t="shared" si="22"/>
        <v>19999120.344800498</v>
      </c>
      <c r="AG75" s="247">
        <f t="shared" si="22"/>
        <v>21152256.357820887</v>
      </c>
      <c r="AH75" s="247">
        <f t="shared" si="22"/>
        <v>22368814.8515574</v>
      </c>
      <c r="AI75" s="247">
        <f t="shared" si="22"/>
        <v>23652284.062449418</v>
      </c>
      <c r="AJ75" s="247">
        <f t="shared" si="22"/>
        <v>25006344.079940498</v>
      </c>
      <c r="AK75" s="247">
        <f t="shared" si="22"/>
        <v>26434877.398393586</v>
      </c>
      <c r="AL75" s="247">
        <f t="shared" si="22"/>
        <v>27941980.049361594</v>
      </c>
      <c r="AM75" s="247">
        <f t="shared" si="22"/>
        <v>29531973.346132845</v>
      </c>
      <c r="AN75" s="247">
        <f t="shared" si="22"/>
        <v>31209416.27422652</v>
      </c>
      <c r="AO75" s="247">
        <f t="shared" si="22"/>
        <v>32979118.56336534</v>
      </c>
      <c r="AP75" s="247">
        <f>AP68</f>
        <v>34846154.478406794</v>
      </c>
    </row>
    <row r="76" spans="1:45" x14ac:dyDescent="0.2">
      <c r="A76" s="248" t="s">
        <v>316</v>
      </c>
      <c r="B76" s="240">
        <f t="shared" ref="B76:AO76" si="23">-B67</f>
        <v>0</v>
      </c>
      <c r="C76" s="240">
        <f>-C67</f>
        <v>966988.98284297506</v>
      </c>
      <c r="D76" s="240">
        <f t="shared" si="23"/>
        <v>966988.98284297506</v>
      </c>
      <c r="E76" s="240">
        <f t="shared" si="23"/>
        <v>966988.98284297506</v>
      </c>
      <c r="F76" s="240">
        <f>-C67</f>
        <v>966988.98284297506</v>
      </c>
      <c r="G76" s="240">
        <f t="shared" si="23"/>
        <v>966988.98284297506</v>
      </c>
      <c r="H76" s="240">
        <f t="shared" si="23"/>
        <v>966988.98284297506</v>
      </c>
      <c r="I76" s="240">
        <f t="shared" si="23"/>
        <v>966988.98284297506</v>
      </c>
      <c r="J76" s="240">
        <f t="shared" si="23"/>
        <v>966988.98284297506</v>
      </c>
      <c r="K76" s="240">
        <f t="shared" si="23"/>
        <v>966988.98284297506</v>
      </c>
      <c r="L76" s="240">
        <f>-L67</f>
        <v>966988.98284297506</v>
      </c>
      <c r="M76" s="240">
        <f>-M67</f>
        <v>966988.98284297506</v>
      </c>
      <c r="N76" s="240">
        <f t="shared" si="23"/>
        <v>966988.98284297506</v>
      </c>
      <c r="O76" s="240">
        <f t="shared" si="23"/>
        <v>966988.98284297506</v>
      </c>
      <c r="P76" s="240">
        <f t="shared" si="23"/>
        <v>966988.98284297506</v>
      </c>
      <c r="Q76" s="240">
        <f t="shared" si="23"/>
        <v>966988.98284297506</v>
      </c>
      <c r="R76" s="240">
        <f t="shared" si="23"/>
        <v>966988.98284297506</v>
      </c>
      <c r="S76" s="240">
        <f t="shared" si="23"/>
        <v>966988.98284297506</v>
      </c>
      <c r="T76" s="240">
        <f t="shared" si="23"/>
        <v>966988.98284297506</v>
      </c>
      <c r="U76" s="240">
        <f t="shared" si="23"/>
        <v>966988.98284297506</v>
      </c>
      <c r="V76" s="240">
        <f t="shared" si="23"/>
        <v>966988.98284297506</v>
      </c>
      <c r="W76" s="240">
        <f t="shared" si="23"/>
        <v>966988.98284297506</v>
      </c>
      <c r="X76" s="240">
        <f t="shared" si="23"/>
        <v>966988.98284297506</v>
      </c>
      <c r="Y76" s="240">
        <f t="shared" si="23"/>
        <v>966988.98284297506</v>
      </c>
      <c r="Z76" s="240">
        <f t="shared" si="23"/>
        <v>966988.98284297506</v>
      </c>
      <c r="AA76" s="240">
        <f t="shared" si="23"/>
        <v>966988.98284297506</v>
      </c>
      <c r="AB76" s="240">
        <f t="shared" si="23"/>
        <v>966988.98284297506</v>
      </c>
      <c r="AC76" s="240">
        <f t="shared" si="23"/>
        <v>966988.98284297506</v>
      </c>
      <c r="AD76" s="240">
        <f t="shared" si="23"/>
        <v>966988.98284297506</v>
      </c>
      <c r="AE76" s="240">
        <f t="shared" si="23"/>
        <v>966988.98284297506</v>
      </c>
      <c r="AF76" s="240">
        <f t="shared" si="23"/>
        <v>966988.98284297506</v>
      </c>
      <c r="AG76" s="240">
        <f t="shared" si="23"/>
        <v>966988.98284297506</v>
      </c>
      <c r="AH76" s="240">
        <f t="shared" si="23"/>
        <v>966988.98284297506</v>
      </c>
      <c r="AI76" s="240">
        <f t="shared" si="23"/>
        <v>966988.98284297506</v>
      </c>
      <c r="AJ76" s="240">
        <f t="shared" si="23"/>
        <v>966988.98284297506</v>
      </c>
      <c r="AK76" s="240">
        <f t="shared" si="23"/>
        <v>966988.98284297506</v>
      </c>
      <c r="AL76" s="240">
        <f t="shared" si="23"/>
        <v>966988.98284297506</v>
      </c>
      <c r="AM76" s="240">
        <f t="shared" si="23"/>
        <v>966988.98284297506</v>
      </c>
      <c r="AN76" s="240">
        <f t="shared" si="23"/>
        <v>966988.98284297506</v>
      </c>
      <c r="AO76" s="240">
        <f t="shared" si="23"/>
        <v>966988.98284297506</v>
      </c>
      <c r="AP76" s="240">
        <f>-AP67</f>
        <v>966988.98284297506</v>
      </c>
    </row>
    <row r="77" spans="1:45" x14ac:dyDescent="0.2">
      <c r="A77" s="248" t="s">
        <v>315</v>
      </c>
      <c r="B77" s="240">
        <f t="shared" ref="B77:AO77" si="24">B69</f>
        <v>0</v>
      </c>
      <c r="C77" s="240">
        <f t="shared" si="24"/>
        <v>0</v>
      </c>
      <c r="D77" s="240">
        <f t="shared" si="24"/>
        <v>0</v>
      </c>
      <c r="E77" s="240">
        <f t="shared" si="24"/>
        <v>0</v>
      </c>
      <c r="F77" s="240">
        <f t="shared" si="24"/>
        <v>0</v>
      </c>
      <c r="G77" s="240">
        <f t="shared" si="24"/>
        <v>0</v>
      </c>
      <c r="H77" s="240">
        <f t="shared" si="24"/>
        <v>0</v>
      </c>
      <c r="I77" s="240">
        <f t="shared" si="24"/>
        <v>0</v>
      </c>
      <c r="J77" s="240">
        <f t="shared" si="24"/>
        <v>0</v>
      </c>
      <c r="K77" s="240">
        <f t="shared" si="24"/>
        <v>0</v>
      </c>
      <c r="L77" s="240">
        <f t="shared" si="24"/>
        <v>0</v>
      </c>
      <c r="M77" s="240">
        <f t="shared" si="24"/>
        <v>0</v>
      </c>
      <c r="N77" s="240">
        <f t="shared" si="24"/>
        <v>0</v>
      </c>
      <c r="O77" s="240">
        <f t="shared" si="24"/>
        <v>0</v>
      </c>
      <c r="P77" s="240">
        <f t="shared" si="24"/>
        <v>0</v>
      </c>
      <c r="Q77" s="240">
        <f t="shared" si="24"/>
        <v>0</v>
      </c>
      <c r="R77" s="240">
        <f t="shared" si="24"/>
        <v>0</v>
      </c>
      <c r="S77" s="240">
        <f t="shared" si="24"/>
        <v>0</v>
      </c>
      <c r="T77" s="240">
        <f t="shared" si="24"/>
        <v>0</v>
      </c>
      <c r="U77" s="240">
        <f t="shared" si="24"/>
        <v>0</v>
      </c>
      <c r="V77" s="240">
        <f t="shared" si="24"/>
        <v>0</v>
      </c>
      <c r="W77" s="240">
        <f t="shared" si="24"/>
        <v>0</v>
      </c>
      <c r="X77" s="240">
        <f t="shared" si="24"/>
        <v>0</v>
      </c>
      <c r="Y77" s="240">
        <f t="shared" si="24"/>
        <v>0</v>
      </c>
      <c r="Z77" s="240">
        <f t="shared" si="24"/>
        <v>0</v>
      </c>
      <c r="AA77" s="240">
        <f t="shared" si="24"/>
        <v>0</v>
      </c>
      <c r="AB77" s="240">
        <f t="shared" si="24"/>
        <v>0</v>
      </c>
      <c r="AC77" s="240">
        <f t="shared" si="24"/>
        <v>0</v>
      </c>
      <c r="AD77" s="240">
        <f t="shared" si="24"/>
        <v>0</v>
      </c>
      <c r="AE77" s="240">
        <f t="shared" si="24"/>
        <v>0</v>
      </c>
      <c r="AF77" s="240">
        <f t="shared" si="24"/>
        <v>0</v>
      </c>
      <c r="AG77" s="240">
        <f t="shared" si="24"/>
        <v>0</v>
      </c>
      <c r="AH77" s="240">
        <f t="shared" si="24"/>
        <v>0</v>
      </c>
      <c r="AI77" s="240">
        <f t="shared" si="24"/>
        <v>0</v>
      </c>
      <c r="AJ77" s="240">
        <f t="shared" si="24"/>
        <v>0</v>
      </c>
      <c r="AK77" s="240">
        <f t="shared" si="24"/>
        <v>0</v>
      </c>
      <c r="AL77" s="240">
        <f t="shared" si="24"/>
        <v>0</v>
      </c>
      <c r="AM77" s="240">
        <f t="shared" si="24"/>
        <v>0</v>
      </c>
      <c r="AN77" s="240">
        <f t="shared" si="24"/>
        <v>0</v>
      </c>
      <c r="AO77" s="240">
        <f t="shared" si="24"/>
        <v>0</v>
      </c>
      <c r="AP77" s="240">
        <f>AP69</f>
        <v>0</v>
      </c>
    </row>
    <row r="78" spans="1:45" x14ac:dyDescent="0.2">
      <c r="A78" s="248" t="s">
        <v>314</v>
      </c>
      <c r="B78" s="240">
        <f>IF(SUM($B$71:B71)+SUM($A$78:A78)&gt;0,0,SUM($B$71:B71)-SUM($A$78:A78))</f>
        <v>-4834944.9042148758</v>
      </c>
      <c r="C78" s="240">
        <f>IF(SUM($B$71:C71)+SUM($A$78:B78)&gt;0,0,SUM($B$71:C71)-SUM($A$78:B78))</f>
        <v>-61369.725816699676</v>
      </c>
      <c r="D78" s="240">
        <f>IF(SUM($B$71:D71)+SUM($A$78:C78)&gt;0,0,SUM($B$71:D71)-SUM($A$78:C78))</f>
        <v>-404228.48687673453</v>
      </c>
      <c r="E78" s="240">
        <f>IF(SUM($B$71:E71)+SUM($A$78:D78)&gt;0,0,SUM($B$71:E71)-SUM($A$78:D78))</f>
        <v>-794544.16436579265</v>
      </c>
      <c r="F78" s="240">
        <f>IF(SUM($B$71:F71)+SUM($A$78:E78)&gt;0,0,SUM($B$71:F71)-SUM($A$78:E78))</f>
        <v>-848880.97221718356</v>
      </c>
      <c r="G78" s="240">
        <f>IF(SUM($B$71:G71)+SUM($A$78:F78)&gt;0,0,SUM($B$71:G71)-SUM($A$78:F78))</f>
        <v>-906206.30450040102</v>
      </c>
      <c r="H78" s="240">
        <f>IF(SUM($B$71:H71)+SUM($A$78:G78)&gt;0,0,SUM($B$71:H71)-SUM($A$78:G78))</f>
        <v>-966684.53005919605</v>
      </c>
      <c r="I78" s="240">
        <f>IF(SUM($B$71:I71)+SUM($A$78:H78)&gt;0,0,SUM($B$71:I71)-SUM($A$78:H78))</f>
        <v>-1030489.0580237247</v>
      </c>
      <c r="J78" s="240">
        <f>IF(SUM($B$71:J71)+SUM($A$78:I78)&gt;0,0,SUM($B$71:J71)-SUM($A$78:I78))</f>
        <v>-1097802.8350263014</v>
      </c>
      <c r="K78" s="240">
        <f>IF(SUM($B$71:K71)+SUM($A$78:J78)&gt;0,0,SUM($B$71:K71)-SUM($A$78:J78))</f>
        <v>-1168818.8697640207</v>
      </c>
      <c r="L78" s="240">
        <f>IF(SUM($B$71:L71)+SUM($A$78:K78)&gt;0,0,SUM($B$71:L71)-SUM($A$78:K78))</f>
        <v>-1243740.7864123154</v>
      </c>
      <c r="M78" s="240">
        <f>IF(SUM($B$71:M71)+SUM($A$78:L78)&gt;0,0,SUM($B$71:M71)-SUM($A$78:L78))</f>
        <v>-1322783.4084762651</v>
      </c>
      <c r="N78" s="240">
        <f>IF(SUM($B$71:N71)+SUM($A$78:M78)&gt;0,0,SUM($B$71:N71)-SUM($A$78:M78))</f>
        <v>-1406173.3747537322</v>
      </c>
      <c r="O78" s="240">
        <f>IF(SUM($B$71:O71)+SUM($A$78:N78)&gt;0,0,SUM($B$71:O71)-SUM($A$78:N78))</f>
        <v>-1494149.7891764585</v>
      </c>
      <c r="P78" s="240">
        <f>IF(SUM($B$71:P71)+SUM($A$78:O78)&gt;0,0,SUM($B$71:P71)-SUM($A$78:O78))</f>
        <v>-1586964.9063924365</v>
      </c>
      <c r="Q78" s="240">
        <f>IF(SUM($B$71:Q71)+SUM($A$78:P78)&gt;0,0,SUM($B$71:Q71)-SUM($A$78:P78))</f>
        <v>-1684884.8550552949</v>
      </c>
      <c r="R78" s="240">
        <f>IF(SUM($B$71:R71)+SUM($A$78:Q78)&gt;0,0,SUM($B$71:R71)-SUM($A$78:Q78))</f>
        <v>-1788190.4008946083</v>
      </c>
      <c r="S78" s="240">
        <f>IF(SUM($B$71:S71)+SUM($A$78:R78)&gt;0,0,SUM($B$71:S71)-SUM($A$78:R78))</f>
        <v>-1897177.7517550848</v>
      </c>
      <c r="T78" s="240">
        <f>IF(SUM($B$71:T71)+SUM($A$78:S78)&gt;0,0,SUM($B$71:T71)-SUM($A$78:S78))</f>
        <v>-2012159.4069128856</v>
      </c>
      <c r="U78" s="240">
        <f>IF(SUM($B$71:U71)+SUM($A$78:T78)&gt;0,0,SUM($B$71:U71)-SUM($A$78:T78))</f>
        <v>-2133465.0531043671</v>
      </c>
      <c r="V78" s="240">
        <f>IF(SUM($B$71:V71)+SUM($A$78:U78)&gt;0,0,SUM($B$71:V71)-SUM($A$78:U78))</f>
        <v>-2261442.5098363794</v>
      </c>
      <c r="W78" s="240">
        <f>IF(SUM($B$71:W71)+SUM($A$78:V78)&gt;0,0,SUM($B$71:W71)-SUM($A$78:V78))</f>
        <v>-2396458.7266886532</v>
      </c>
      <c r="X78" s="240">
        <f>IF(SUM($B$71:X71)+SUM($A$78:W78)&gt;0,0,SUM($B$71:X71)-SUM($A$78:W78))</f>
        <v>-2538900.8354678042</v>
      </c>
      <c r="Y78" s="240">
        <f>IF(SUM($B$71:Y71)+SUM($A$78:X78)&gt;0,0,SUM($B$71:Y71)-SUM($A$78:X78))</f>
        <v>-2689177.2602298036</v>
      </c>
      <c r="Z78" s="240">
        <f>IF(SUM($B$71:Z71)+SUM($A$78:Y78)&gt;0,0,SUM($B$71:Z71)-SUM($A$78:Y78))</f>
        <v>-2847718.8883537203</v>
      </c>
      <c r="AA78" s="240">
        <f>IF(SUM($B$71:AA71)+SUM($A$78:Z78)&gt;0,0,SUM($B$71:AA71)-SUM($A$78:Z78))</f>
        <v>-3014980.3060244471</v>
      </c>
      <c r="AB78" s="240">
        <f>IF(SUM($B$71:AB71)+SUM($A$78:AA78)&gt;0,0,SUM($B$71:AB71)-SUM($A$78:AA78))</f>
        <v>-3191441.1016670614</v>
      </c>
      <c r="AC78" s="240">
        <f>IF(SUM($B$71:AC71)+SUM($A$78:AB78)&gt;0,0,SUM($B$71:AC71)-SUM($A$78:AB78))</f>
        <v>-3377607.2410700172</v>
      </c>
      <c r="AD78" s="240">
        <f>IF(SUM($B$71:AD71)+SUM($A$78:AC78)&gt;0,0,SUM($B$71:AD71)-SUM($A$78:AC78))</f>
        <v>-3574012.5181401446</v>
      </c>
      <c r="AE78" s="240">
        <f>IF(SUM($B$71:AE71)+SUM($A$78:AD78)&gt;0,0,SUM($B$71:AE71)-SUM($A$78:AD78))</f>
        <v>-3781220.0854491219</v>
      </c>
      <c r="AF78" s="240">
        <f>IF(SUM($B$71:AF71)+SUM($A$78:AE78)&gt;0,0,SUM($B$71:AF71)-SUM($A$78:AE78))</f>
        <v>-3999824.0689601004</v>
      </c>
      <c r="AG78" s="240">
        <f>IF(SUM($B$71:AG71)+SUM($A$78:AF78)&gt;0,0,SUM($B$71:AG71)-SUM($A$78:AF78))</f>
        <v>-4230451.2715641782</v>
      </c>
      <c r="AH78" s="240">
        <f>IF(SUM($B$71:AH71)+SUM($A$78:AG78)&gt;0,0,SUM($B$71:AH71)-SUM($A$78:AG78))</f>
        <v>-4473762.9703114852</v>
      </c>
      <c r="AI78" s="240">
        <f>IF(SUM($B$71:AI71)+SUM($A$78:AH78)&gt;0,0,SUM($B$71:AI71)-SUM($A$78:AH78))</f>
        <v>-4730456.8124898821</v>
      </c>
      <c r="AJ78" s="240">
        <f>IF(SUM($B$71:AJ71)+SUM($A$78:AI78)&gt;0,0,SUM($B$71:AJ71)-SUM($A$78:AI78))</f>
        <v>-5001268.8159880936</v>
      </c>
      <c r="AK78" s="240">
        <f>IF(SUM($B$71:AK71)+SUM($A$78:AJ78)&gt;0,0,SUM($B$71:AK71)-SUM($A$78:AJ78))</f>
        <v>-5286975.4796787202</v>
      </c>
      <c r="AL78" s="240">
        <f>IF(SUM($B$71:AL71)+SUM($A$78:AK78)&gt;0,0,SUM($B$71:AL71)-SUM($A$78:AK78))</f>
        <v>-5588396.0098723173</v>
      </c>
      <c r="AM78" s="240">
        <f>IF(SUM($B$71:AM71)+SUM($A$78:AL78)&gt;0,0,SUM($B$71:AM71)-SUM($A$78:AL78))</f>
        <v>-5906394.6692265719</v>
      </c>
      <c r="AN78" s="240">
        <f>IF(SUM($B$71:AN71)+SUM($A$78:AM78)&gt;0,0,SUM($B$71:AN71)-SUM($A$78:AM78))</f>
        <v>-6241883.2548453063</v>
      </c>
      <c r="AO78" s="240">
        <f>IF(SUM($B$71:AO71)+SUM($A$78:AN78)&gt;0,0,SUM($B$71:AO71)-SUM($A$78:AN78))</f>
        <v>-6595823.712673068</v>
      </c>
      <c r="AP78" s="240">
        <f>IF(SUM($B$71:AP71)+SUM($A$78:AO78)&gt;0,0,SUM($B$71:AP71)-SUM($A$78:AO78))</f>
        <v>-6969230.8956813514</v>
      </c>
    </row>
    <row r="79" spans="1:45" x14ac:dyDescent="0.2">
      <c r="A79" s="248" t="s">
        <v>313</v>
      </c>
      <c r="B79" s="240">
        <f>IF(((SUM($B$59:B59)+SUM($B$61:B64))+SUM($B$81:B81))&lt;0,((SUM($B$59:B59)+SUM($B$61:B64))+SUM($B$81:B81))*0.18-SUM($A$79:A79),IF(SUM(A$79:$B79)&lt;0,0-SUM(A$79:$B79),0))</f>
        <v>-9.0000001341104512E-3</v>
      </c>
      <c r="C79" s="240">
        <f>IF(((SUM($B$59:C59)+SUM($B$61:C64))+SUM($B$81:C81))&lt;0,((SUM($B$59:C59)+SUM($B$61:C64))+SUM($B$81:C81))*0.18-SUM($A$79:B79),IF(SUM($B$79:B79)&lt;0,0-SUM($B$79:B79),0))</f>
        <v>9.0000001341104512E-3</v>
      </c>
      <c r="D79" s="240">
        <f>IF(((SUM($B$59:D59)+SUM($B$61:D64))+SUM($B$81:D81))&lt;0,((SUM($B$59:D59)+SUM($B$61:D64))+SUM($B$81:D81))*0.18-SUM($A$79:C79),IF(SUM($B$79:C79)&lt;0,0-SUM($B$79:C79),0))</f>
        <v>0</v>
      </c>
      <c r="E79" s="240">
        <f>IF(((SUM($B$59:E59)+SUM($B$61:E64))+SUM($B$81:E81))&lt;0,((SUM($B$59:E59)+SUM($B$61:E64))+SUM($B$81:E81))*0.18-SUM($A$79:D79),IF(SUM($B$79:D79)&lt;0,0-SUM($B$79:D79),0))</f>
        <v>0</v>
      </c>
      <c r="F79" s="240">
        <f>IF(((SUM($B$59:F59)+SUM($B$61:F64))+SUM($B$81:F81))&lt;0,((SUM($B$59:F59)+SUM($B$61:F64))+SUM($B$81:F81))*0.18-SUM($A$79:E79),IF(SUM($B$79:E79)&lt;0,0-SUM($B$79:E79),0))</f>
        <v>0</v>
      </c>
      <c r="G79" s="240">
        <f>IF(((SUM($B$59:G59)+SUM($B$61:G64))+SUM($B$81:G81))&lt;0,((SUM($B$59:G59)+SUM($B$61:G64))+SUM($B$81:G81))*0.18-SUM($A$79:F79),IF(SUM($B$79:F79)&lt;0,0-SUM($B$79:F79),0))</f>
        <v>0</v>
      </c>
      <c r="H79" s="240">
        <f>IF(((SUM($B$59:H59)+SUM($B$61:H64))+SUM($B$81:H81))&lt;0,((SUM($B$59:H59)+SUM($B$61:H64))+SUM($B$81:H81))*0.18-SUM($A$79:G79),IF(SUM($B$79:G79)&lt;0,0-SUM($B$79:G79),0))</f>
        <v>0</v>
      </c>
      <c r="I79" s="240">
        <f>IF(((SUM($B$59:I59)+SUM($B$61:I64))+SUM($B$81:I81))&lt;0,((SUM($B$59:I59)+SUM($B$61:I64))+SUM($B$81:I81))*0.18-SUM($A$79:H79),IF(SUM($B$79:H79)&lt;0,0-SUM($B$79:H79),0))</f>
        <v>0</v>
      </c>
      <c r="J79" s="240">
        <f>IF(((SUM($B$59:J59)+SUM($B$61:J64))+SUM($B$81:J81))&lt;0,((SUM($B$59:J59)+SUM($B$61:J64))+SUM($B$81:J81))*0.18-SUM($A$79:I79),IF(SUM($B$79:I79)&lt;0,0-SUM($B$79:I79),0))</f>
        <v>0</v>
      </c>
      <c r="K79" s="240">
        <f>IF(((SUM($B$59:K59)+SUM($B$61:K64))+SUM($B$81:K81))&lt;0,((SUM($B$59:K59)+SUM($B$61:K64))+SUM($B$81:K81))*0.18-SUM($A$79:J79),IF(SUM($B$79:J79)&lt;0,0-SUM($B$79:J79),0))</f>
        <v>0</v>
      </c>
      <c r="L79" s="240">
        <f>IF(((SUM($B$59:L59)+SUM($B$61:L64))+SUM($B$81:L81))&lt;0,((SUM($B$59:L59)+SUM($B$61:L64))+SUM($B$81:L81))*0.18-SUM($A$79:K79),IF(SUM($B$79:K79)&lt;0,0-SUM($B$79:K79),0))</f>
        <v>0</v>
      </c>
      <c r="M79" s="240">
        <f>IF(((SUM($B$59:M59)+SUM($B$61:M64))+SUM($B$81:M81))&lt;0,((SUM($B$59:M59)+SUM($B$61:M64))+SUM($B$81:M81))*0.18-SUM($A$79:L79),IF(SUM($B$79:L79)&lt;0,0-SUM($B$79:L79),0))</f>
        <v>0</v>
      </c>
      <c r="N79" s="240">
        <f>IF(((SUM($B$59:N59)+SUM($B$61:N64))+SUM($B$81:N81))&lt;0,((SUM($B$59:N59)+SUM($B$61:N64))+SUM($B$81:N81))*0.18-SUM($A$79:M79),IF(SUM($B$79:M79)&lt;0,0-SUM($B$79:M79),0))</f>
        <v>0</v>
      </c>
      <c r="O79" s="240">
        <f>IF(((SUM($B$59:O59)+SUM($B$61:O64))+SUM($B$81:O81))&lt;0,((SUM($B$59:O59)+SUM($B$61:O64))+SUM($B$81:O81))*0.18-SUM($A$79:N79),IF(SUM($B$79:N79)&lt;0,0-SUM($B$79:N79),0))</f>
        <v>0</v>
      </c>
      <c r="P79" s="240">
        <f>IF(((SUM($B$59:P59)+SUM($B$61:P64))+SUM($B$81:P81))&lt;0,((SUM($B$59:P59)+SUM($B$61:P64))+SUM($B$81:P81))*0.18-SUM($A$79:O79),IF(SUM($B$79:O79)&lt;0,0-SUM($B$79:O79),0))</f>
        <v>0</v>
      </c>
      <c r="Q79" s="240">
        <f>IF(((SUM($B$59:Q59)+SUM($B$61:Q64))+SUM($B$81:Q81))&lt;0,((SUM($B$59:Q59)+SUM($B$61:Q64))+SUM($B$81:Q81))*0.18-SUM($A$79:P79),IF(SUM($B$79:P79)&lt;0,0-SUM($B$79:P79),0))</f>
        <v>0</v>
      </c>
      <c r="R79" s="240">
        <f>IF(((SUM($B$59:R59)+SUM($B$61:R64))+SUM($B$81:R81))&lt;0,((SUM($B$59:R59)+SUM($B$61:R64))+SUM($B$81:R81))*0.18-SUM($A$79:Q79),IF(SUM($B$79:Q79)&lt;0,0-SUM($B$79:Q79),0))</f>
        <v>0</v>
      </c>
      <c r="S79" s="240">
        <f>IF(((SUM($B$59:S59)+SUM($B$61:S64))+SUM($B$81:S81))&lt;0,((SUM($B$59:S59)+SUM($B$61:S64))+SUM($B$81:S81))*0.18-SUM($A$79:R79),IF(SUM($B$79:R79)&lt;0,0-SUM($B$79:R79),0))</f>
        <v>0</v>
      </c>
      <c r="T79" s="240">
        <f>IF(((SUM($B$59:T59)+SUM($B$61:T64))+SUM($B$81:T81))&lt;0,((SUM($B$59:T59)+SUM($B$61:T64))+SUM($B$81:T81))*0.18-SUM($A$79:S79),IF(SUM($B$79:S79)&lt;0,0-SUM($B$79:S79),0))</f>
        <v>0</v>
      </c>
      <c r="U79" s="240">
        <f>IF(((SUM($B$59:U59)+SUM($B$61:U64))+SUM($B$81:U81))&lt;0,((SUM($B$59:U59)+SUM($B$61:U64))+SUM($B$81:U81))*0.18-SUM($A$79:T79),IF(SUM($B$79:T79)&lt;0,0-SUM($B$79:T79),0))</f>
        <v>0</v>
      </c>
      <c r="V79" s="240">
        <f>IF(((SUM($B$59:V59)+SUM($B$61:V64))+SUM($B$81:V81))&lt;0,((SUM($B$59:V59)+SUM($B$61:V64))+SUM($B$81:V81))*0.18-SUM($A$79:U79),IF(SUM($B$79:U79)&lt;0,0-SUM($B$79:U79),0))</f>
        <v>0</v>
      </c>
      <c r="W79" s="240">
        <f>IF(((SUM($B$59:W59)+SUM($B$61:W64))+SUM($B$81:W81))&lt;0,((SUM($B$59:W59)+SUM($B$61:W64))+SUM($B$81:W81))*0.18-SUM($A$79:V79),IF(SUM($B$79:V79)&lt;0,0-SUM($B$79:V79),0))</f>
        <v>0</v>
      </c>
      <c r="X79" s="240">
        <f>IF(((SUM($B$59:X59)+SUM($B$61:X64))+SUM($B$81:X81))&lt;0,((SUM($B$59:X59)+SUM($B$61:X64))+SUM($B$81:X81))*0.18-SUM($A$79:W79),IF(SUM($B$79:W79)&lt;0,0-SUM($B$79:W79),0))</f>
        <v>0</v>
      </c>
      <c r="Y79" s="240">
        <f>IF(((SUM($B$59:Y59)+SUM($B$61:Y64))+SUM($B$81:Y81))&lt;0,((SUM($B$59:Y59)+SUM($B$61:Y64))+SUM($B$81:Y81))*0.18-SUM($A$79:X79),IF(SUM($B$79:X79)&lt;0,0-SUM($B$79:X79),0))</f>
        <v>0</v>
      </c>
      <c r="Z79" s="240">
        <f>IF(((SUM($B$59:Z59)+SUM($B$61:Z64))+SUM($B$81:Z81))&lt;0,((SUM($B$59:Z59)+SUM($B$61:Z64))+SUM($B$81:Z81))*0.18-SUM($A$79:Y79),IF(SUM($B$79:Y79)&lt;0,0-SUM($B$79:Y79),0))</f>
        <v>0</v>
      </c>
      <c r="AA79" s="240">
        <f>IF(((SUM($B$59:AA59)+SUM($B$61:AA64))+SUM($B$81:AA81))&lt;0,((SUM($B$59:AA59)+SUM($B$61:AA64))+SUM($B$81:AA81))*0.18-SUM($A$79:Z79),IF(SUM($B$79:Z79)&lt;0,0-SUM($B$79:Z79),0))</f>
        <v>0</v>
      </c>
      <c r="AB79" s="240">
        <f>IF(((SUM($B$59:AB59)+SUM($B$61:AB64))+SUM($B$81:AB81))&lt;0,((SUM($B$59:AB59)+SUM($B$61:AB64))+SUM($B$81:AB81))*0.18-SUM($A$79:AA79),IF(SUM($B$79:AA79)&lt;0,0-SUM($B$79:AA79),0))</f>
        <v>0</v>
      </c>
      <c r="AC79" s="240">
        <f>IF(((SUM($B$59:AC59)+SUM($B$61:AC64))+SUM($B$81:AC81))&lt;0,((SUM($B$59:AC59)+SUM($B$61:AC64))+SUM($B$81:AC81))*0.18-SUM($A$79:AB79),IF(SUM($B$79:AB79)&lt;0,0-SUM($B$79:AB79),0))</f>
        <v>0</v>
      </c>
      <c r="AD79" s="240">
        <f>IF(((SUM($B$59:AD59)+SUM($B$61:AD64))+SUM($B$81:AD81))&lt;0,((SUM($B$59:AD59)+SUM($B$61:AD64))+SUM($B$81:AD81))*0.18-SUM($A$79:AC79),IF(SUM($B$79:AC79)&lt;0,0-SUM($B$79:AC79),0))</f>
        <v>0</v>
      </c>
      <c r="AE79" s="240">
        <f>IF(((SUM($B$59:AE59)+SUM($B$61:AE64))+SUM($B$81:AE81))&lt;0,((SUM($B$59:AE59)+SUM($B$61:AE64))+SUM($B$81:AE81))*0.18-SUM($A$79:AD79),IF(SUM($B$79:AD79)&lt;0,0-SUM($B$79:AD79),0))</f>
        <v>0</v>
      </c>
      <c r="AF79" s="240">
        <f>IF(((SUM($B$59:AF59)+SUM($B$61:AF64))+SUM($B$81:AF81))&lt;0,((SUM($B$59:AF59)+SUM($B$61:AF64))+SUM($B$81:AF81))*0.18-SUM($A$79:AE79),IF(SUM($B$79:AE79)&lt;0,0-SUM($B$79:AE79),0))</f>
        <v>0</v>
      </c>
      <c r="AG79" s="240">
        <f>IF(((SUM($B$59:AG59)+SUM($B$61:AG64))+SUM($B$81:AG81))&lt;0,((SUM($B$59:AG59)+SUM($B$61:AG64))+SUM($B$81:AG81))*0.18-SUM($A$79:AF79),IF(SUM($B$79:AF79)&lt;0,0-SUM($B$79:AF79),0))</f>
        <v>0</v>
      </c>
      <c r="AH79" s="240">
        <f>IF(((SUM($B$59:AH59)+SUM($B$61:AH64))+SUM($B$81:AH81))&lt;0,((SUM($B$59:AH59)+SUM($B$61:AH64))+SUM($B$81:AH81))*0.18-SUM($A$79:AG79),IF(SUM($B$79:AG79)&lt;0,0-SUM($B$79:AG79),0))</f>
        <v>0</v>
      </c>
      <c r="AI79" s="240">
        <f>IF(((SUM($B$59:AI59)+SUM($B$61:AI64))+SUM($B$81:AI81))&lt;0,((SUM($B$59:AI59)+SUM($B$61:AI64))+SUM($B$81:AI81))*0.18-SUM($A$79:AH79),IF(SUM($B$79:AH79)&lt;0,0-SUM($B$79:AH79),0))</f>
        <v>0</v>
      </c>
      <c r="AJ79" s="240">
        <f>IF(((SUM($B$59:AJ59)+SUM($B$61:AJ64))+SUM($B$81:AJ81))&lt;0,((SUM($B$59:AJ59)+SUM($B$61:AJ64))+SUM($B$81:AJ81))*0.18-SUM($A$79:AI79),IF(SUM($B$79:AI79)&lt;0,0-SUM($B$79:AI79),0))</f>
        <v>0</v>
      </c>
      <c r="AK79" s="240">
        <f>IF(((SUM($B$59:AK59)+SUM($B$61:AK64))+SUM($B$81:AK81))&lt;0,((SUM($B$59:AK59)+SUM($B$61:AK64))+SUM($B$81:AK81))*0.18-SUM($A$79:AJ79),IF(SUM($B$79:AJ79)&lt;0,0-SUM($B$79:AJ79),0))</f>
        <v>0</v>
      </c>
      <c r="AL79" s="240">
        <f>IF(((SUM($B$59:AL59)+SUM($B$61:AL64))+SUM($B$81:AL81))&lt;0,((SUM($B$59:AL59)+SUM($B$61:AL64))+SUM($B$81:AL81))*0.18-SUM($A$79:AK79),IF(SUM($B$79:AK79)&lt;0,0-SUM($B$79:AK79),0))</f>
        <v>0</v>
      </c>
      <c r="AM79" s="240">
        <f>IF(((SUM($B$59:AM59)+SUM($B$61:AM64))+SUM($B$81:AM81))&lt;0,((SUM($B$59:AM59)+SUM($B$61:AM64))+SUM($B$81:AM81))*0.18-SUM($A$79:AL79),IF(SUM($B$79:AL79)&lt;0,0-SUM($B$79:AL79),0))</f>
        <v>0</v>
      </c>
      <c r="AN79" s="240">
        <f>IF(((SUM($B$59:AN59)+SUM($B$61:AN64))+SUM($B$81:AN81))&lt;0,((SUM($B$59:AN59)+SUM($B$61:AN64))+SUM($B$81:AN81))*0.18-SUM($A$79:AM79),IF(SUM($B$79:AM79)&lt;0,0-SUM($B$79:AM79),0))</f>
        <v>0</v>
      </c>
      <c r="AO79" s="240">
        <f>IF(((SUM($B$59:AO59)+SUM($B$61:AO64))+SUM($B$81:AO81))&lt;0,((SUM($B$59:AO59)+SUM($B$61:AO64))+SUM($B$81:AO81))*0.18-SUM($A$79:AN79),IF(SUM($B$79:AN79)&lt;0,0-SUM($B$79:AN79),0))</f>
        <v>0</v>
      </c>
      <c r="AP79" s="240">
        <f>IF(((SUM($B$59:AP59)+SUM($B$61:AP64))+SUM($B$81:AP81))&lt;0,((SUM($B$59:AP59)+SUM($B$61:AP64))+SUM($B$81:AP81))*0.18-SUM($A$79:AO79),IF(SUM($B$79:AO79)&lt;0,0-SUM($B$79:AO79),0))</f>
        <v>0</v>
      </c>
    </row>
    <row r="80" spans="1:45" x14ac:dyDescent="0.2">
      <c r="A80" s="248" t="s">
        <v>312</v>
      </c>
      <c r="B80" s="240">
        <f>-B59*(B39)</f>
        <v>0</v>
      </c>
      <c r="C80" s="240">
        <f t="shared" ref="C80:AP80" si="25">-(C59-B59)*$B$39</f>
        <v>0</v>
      </c>
      <c r="D80" s="240">
        <f t="shared" si="25"/>
        <v>0</v>
      </c>
      <c r="E80" s="240">
        <f t="shared" si="25"/>
        <v>0</v>
      </c>
      <c r="F80" s="240">
        <f t="shared" si="25"/>
        <v>0</v>
      </c>
      <c r="G80" s="240">
        <f t="shared" si="25"/>
        <v>0</v>
      </c>
      <c r="H80" s="240">
        <f t="shared" si="25"/>
        <v>0</v>
      </c>
      <c r="I80" s="240">
        <f t="shared" si="25"/>
        <v>0</v>
      </c>
      <c r="J80" s="240">
        <f t="shared" si="25"/>
        <v>0</v>
      </c>
      <c r="K80" s="240">
        <f t="shared" si="25"/>
        <v>0</v>
      </c>
      <c r="L80" s="240">
        <f t="shared" si="25"/>
        <v>0</v>
      </c>
      <c r="M80" s="240">
        <f t="shared" si="25"/>
        <v>0</v>
      </c>
      <c r="N80" s="240">
        <f t="shared" si="25"/>
        <v>0</v>
      </c>
      <c r="O80" s="240">
        <f t="shared" si="25"/>
        <v>0</v>
      </c>
      <c r="P80" s="240">
        <f t="shared" si="25"/>
        <v>0</v>
      </c>
      <c r="Q80" s="240">
        <f t="shared" si="25"/>
        <v>0</v>
      </c>
      <c r="R80" s="240">
        <f t="shared" si="25"/>
        <v>0</v>
      </c>
      <c r="S80" s="240">
        <f t="shared" si="25"/>
        <v>0</v>
      </c>
      <c r="T80" s="240">
        <f t="shared" si="25"/>
        <v>0</v>
      </c>
      <c r="U80" s="240">
        <f t="shared" si="25"/>
        <v>0</v>
      </c>
      <c r="V80" s="240">
        <f t="shared" si="25"/>
        <v>0</v>
      </c>
      <c r="W80" s="240">
        <f t="shared" si="25"/>
        <v>0</v>
      </c>
      <c r="X80" s="240">
        <f t="shared" si="25"/>
        <v>0</v>
      </c>
      <c r="Y80" s="240">
        <f t="shared" si="25"/>
        <v>0</v>
      </c>
      <c r="Z80" s="240">
        <f t="shared" si="25"/>
        <v>0</v>
      </c>
      <c r="AA80" s="240">
        <f t="shared" si="25"/>
        <v>0</v>
      </c>
      <c r="AB80" s="240">
        <f t="shared" si="25"/>
        <v>0</v>
      </c>
      <c r="AC80" s="240">
        <f t="shared" si="25"/>
        <v>0</v>
      </c>
      <c r="AD80" s="240">
        <f t="shared" si="25"/>
        <v>0</v>
      </c>
      <c r="AE80" s="240">
        <f t="shared" si="25"/>
        <v>0</v>
      </c>
      <c r="AF80" s="240">
        <f t="shared" si="25"/>
        <v>0</v>
      </c>
      <c r="AG80" s="240">
        <f t="shared" si="25"/>
        <v>0</v>
      </c>
      <c r="AH80" s="240">
        <f t="shared" si="25"/>
        <v>0</v>
      </c>
      <c r="AI80" s="240">
        <f t="shared" si="25"/>
        <v>0</v>
      </c>
      <c r="AJ80" s="240">
        <f t="shared" si="25"/>
        <v>0</v>
      </c>
      <c r="AK80" s="240">
        <f t="shared" si="25"/>
        <v>0</v>
      </c>
      <c r="AL80" s="240">
        <f t="shared" si="25"/>
        <v>0</v>
      </c>
      <c r="AM80" s="240">
        <f t="shared" si="25"/>
        <v>0</v>
      </c>
      <c r="AN80" s="240">
        <f t="shared" si="25"/>
        <v>0</v>
      </c>
      <c r="AO80" s="240">
        <f t="shared" si="25"/>
        <v>0</v>
      </c>
      <c r="AP80" s="240">
        <f t="shared" si="25"/>
        <v>0</v>
      </c>
    </row>
    <row r="81" spans="1:45" x14ac:dyDescent="0.2">
      <c r="A81" s="248" t="s">
        <v>576</v>
      </c>
      <c r="B81" s="240">
        <f>-$B$126</f>
        <v>-24174724.571074378</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-24174724.571074378</v>
      </c>
      <c r="AR81" s="252"/>
    </row>
    <row r="82" spans="1:45" x14ac:dyDescent="0.2">
      <c r="A82" s="248" t="s">
        <v>311</v>
      </c>
      <c r="B82" s="240">
        <f t="shared" ref="B82:AO82" si="26">B54-B55</f>
        <v>0</v>
      </c>
      <c r="C82" s="240">
        <f t="shared" si="26"/>
        <v>0</v>
      </c>
      <c r="D82" s="240">
        <f t="shared" si="26"/>
        <v>0</v>
      </c>
      <c r="E82" s="240">
        <f t="shared" si="26"/>
        <v>0</v>
      </c>
      <c r="F82" s="240">
        <f t="shared" si="26"/>
        <v>0</v>
      </c>
      <c r="G82" s="240">
        <f t="shared" si="26"/>
        <v>0</v>
      </c>
      <c r="H82" s="240">
        <f t="shared" si="26"/>
        <v>0</v>
      </c>
      <c r="I82" s="240">
        <f t="shared" si="26"/>
        <v>0</v>
      </c>
      <c r="J82" s="240">
        <f t="shared" si="26"/>
        <v>0</v>
      </c>
      <c r="K82" s="240">
        <f t="shared" si="26"/>
        <v>0</v>
      </c>
      <c r="L82" s="240">
        <f t="shared" si="26"/>
        <v>0</v>
      </c>
      <c r="M82" s="240">
        <f t="shared" si="26"/>
        <v>0</v>
      </c>
      <c r="N82" s="240">
        <f t="shared" si="26"/>
        <v>0</v>
      </c>
      <c r="O82" s="240">
        <f t="shared" si="26"/>
        <v>0</v>
      </c>
      <c r="P82" s="240">
        <f t="shared" si="26"/>
        <v>0</v>
      </c>
      <c r="Q82" s="240">
        <f t="shared" si="26"/>
        <v>0</v>
      </c>
      <c r="R82" s="240">
        <f t="shared" si="26"/>
        <v>0</v>
      </c>
      <c r="S82" s="240">
        <f t="shared" si="26"/>
        <v>0</v>
      </c>
      <c r="T82" s="240">
        <f t="shared" si="26"/>
        <v>0</v>
      </c>
      <c r="U82" s="240">
        <f t="shared" si="26"/>
        <v>0</v>
      </c>
      <c r="V82" s="240">
        <f t="shared" si="26"/>
        <v>0</v>
      </c>
      <c r="W82" s="240">
        <f t="shared" si="26"/>
        <v>0</v>
      </c>
      <c r="X82" s="240">
        <f t="shared" si="26"/>
        <v>0</v>
      </c>
      <c r="Y82" s="240">
        <f t="shared" si="26"/>
        <v>0</v>
      </c>
      <c r="Z82" s="240">
        <f t="shared" si="26"/>
        <v>0</v>
      </c>
      <c r="AA82" s="240">
        <f t="shared" si="26"/>
        <v>0</v>
      </c>
      <c r="AB82" s="240">
        <f t="shared" si="26"/>
        <v>0</v>
      </c>
      <c r="AC82" s="240">
        <f t="shared" si="26"/>
        <v>0</v>
      </c>
      <c r="AD82" s="240">
        <f t="shared" si="26"/>
        <v>0</v>
      </c>
      <c r="AE82" s="240">
        <f t="shared" si="26"/>
        <v>0</v>
      </c>
      <c r="AF82" s="240">
        <f t="shared" si="26"/>
        <v>0</v>
      </c>
      <c r="AG82" s="240">
        <f t="shared" si="26"/>
        <v>0</v>
      </c>
      <c r="AH82" s="240">
        <f t="shared" si="26"/>
        <v>0</v>
      </c>
      <c r="AI82" s="240">
        <f t="shared" si="26"/>
        <v>0</v>
      </c>
      <c r="AJ82" s="240">
        <f t="shared" si="26"/>
        <v>0</v>
      </c>
      <c r="AK82" s="240">
        <f t="shared" si="26"/>
        <v>0</v>
      </c>
      <c r="AL82" s="240">
        <f t="shared" si="26"/>
        <v>0</v>
      </c>
      <c r="AM82" s="240">
        <f t="shared" si="26"/>
        <v>0</v>
      </c>
      <c r="AN82" s="240">
        <f t="shared" si="26"/>
        <v>0</v>
      </c>
      <c r="AO82" s="240">
        <f t="shared" si="26"/>
        <v>0</v>
      </c>
      <c r="AP82" s="240">
        <f>AP54-AP55</f>
        <v>0</v>
      </c>
    </row>
    <row r="83" spans="1:45" ht="14.25" x14ac:dyDescent="0.2">
      <c r="A83" s="249" t="s">
        <v>310</v>
      </c>
      <c r="B83" s="247">
        <f>SUM(B75:B82)</f>
        <v>-4834944.9632148743</v>
      </c>
      <c r="C83" s="247">
        <f t="shared" ref="C83:V83" si="27">SUM(C75:C82)</f>
        <v>1212467.8951097759</v>
      </c>
      <c r="D83" s="247">
        <f t="shared" si="27"/>
        <v>2583902.9303499148</v>
      </c>
      <c r="E83" s="247">
        <f t="shared" si="27"/>
        <v>4145165.6403061431</v>
      </c>
      <c r="F83" s="247">
        <f t="shared" si="27"/>
        <v>4362512.8717117086</v>
      </c>
      <c r="G83" s="247">
        <f t="shared" si="27"/>
        <v>4591814.2008445803</v>
      </c>
      <c r="H83" s="247">
        <f t="shared" si="27"/>
        <v>4833727.1030797586</v>
      </c>
      <c r="I83" s="247">
        <f t="shared" si="27"/>
        <v>5088945.2149378732</v>
      </c>
      <c r="J83" s="247">
        <f t="shared" si="27"/>
        <v>5358200.3229481839</v>
      </c>
      <c r="K83" s="247">
        <f t="shared" si="27"/>
        <v>5642264.4618990608</v>
      </c>
      <c r="L83" s="247">
        <f t="shared" si="27"/>
        <v>5941952.1284922352</v>
      </c>
      <c r="M83" s="247">
        <f t="shared" si="27"/>
        <v>6258122.6167480359</v>
      </c>
      <c r="N83" s="247">
        <f t="shared" si="27"/>
        <v>6591682.4818579052</v>
      </c>
      <c r="O83" s="247">
        <f t="shared" si="27"/>
        <v>6943588.1395488176</v>
      </c>
      <c r="P83" s="247">
        <f t="shared" si="27"/>
        <v>7314848.6084127277</v>
      </c>
      <c r="Q83" s="247">
        <f t="shared" si="27"/>
        <v>7706528.4030641522</v>
      </c>
      <c r="R83" s="247">
        <f t="shared" si="27"/>
        <v>8119750.5864214096</v>
      </c>
      <c r="S83" s="247">
        <f t="shared" si="27"/>
        <v>8555699.9898633137</v>
      </c>
      <c r="T83" s="247">
        <f t="shared" si="27"/>
        <v>9015626.6104945224</v>
      </c>
      <c r="U83" s="247">
        <f t="shared" si="27"/>
        <v>9500849.1952604484</v>
      </c>
      <c r="V83" s="247">
        <f t="shared" si="27"/>
        <v>10012759.0221885</v>
      </c>
      <c r="W83" s="247">
        <f>SUM(W75:W82)</f>
        <v>10552823.889597593</v>
      </c>
      <c r="X83" s="247">
        <f>SUM(X75:X82)</f>
        <v>11122592.324714184</v>
      </c>
      <c r="Y83" s="247">
        <f>SUM(Y75:Y82)</f>
        <v>11723698.023762194</v>
      </c>
      <c r="Z83" s="247">
        <f>SUM(Z75:Z82)</f>
        <v>12357864.536257837</v>
      </c>
      <c r="AA83" s="247">
        <f t="shared" ref="AA83:AP83" si="28">SUM(AA75:AA82)</f>
        <v>13026910.206940744</v>
      </c>
      <c r="AB83" s="247">
        <f t="shared" si="28"/>
        <v>13732753.389511213</v>
      </c>
      <c r="AC83" s="247">
        <f t="shared" si="28"/>
        <v>14477417.947123062</v>
      </c>
      <c r="AD83" s="247">
        <f t="shared" si="28"/>
        <v>15263039.055403553</v>
      </c>
      <c r="AE83" s="247">
        <f t="shared" si="28"/>
        <v>16091869.324639481</v>
      </c>
      <c r="AF83" s="247">
        <f t="shared" si="28"/>
        <v>16966285.258683372</v>
      </c>
      <c r="AG83" s="247">
        <f t="shared" si="28"/>
        <v>17888794.069099683</v>
      </c>
      <c r="AH83" s="247">
        <f t="shared" si="28"/>
        <v>18862040.864088889</v>
      </c>
      <c r="AI83" s="247">
        <f t="shared" si="28"/>
        <v>19888816.23280251</v>
      </c>
      <c r="AJ83" s="247">
        <f t="shared" si="28"/>
        <v>20972064.246795379</v>
      </c>
      <c r="AK83" s="247">
        <f t="shared" si="28"/>
        <v>22114890.90155784</v>
      </c>
      <c r="AL83" s="247">
        <f t="shared" si="28"/>
        <v>23320573.022332251</v>
      </c>
      <c r="AM83" s="247">
        <f t="shared" si="28"/>
        <v>24592567.659749247</v>
      </c>
      <c r="AN83" s="247">
        <f t="shared" si="28"/>
        <v>25934522.002224188</v>
      </c>
      <c r="AO83" s="247">
        <f t="shared" si="28"/>
        <v>27350283.833535247</v>
      </c>
      <c r="AP83" s="247">
        <f t="shared" si="28"/>
        <v>28843912.565568417</v>
      </c>
    </row>
    <row r="84" spans="1:45" ht="14.25" x14ac:dyDescent="0.2">
      <c r="A84" s="249" t="s">
        <v>309</v>
      </c>
      <c r="B84" s="247">
        <f>SUM($B$83:B83)</f>
        <v>-4834944.9632148743</v>
      </c>
      <c r="C84" s="247">
        <f>SUM($B$83:C83)</f>
        <v>-3622477.0681050983</v>
      </c>
      <c r="D84" s="247">
        <f>SUM($B$83:D83)</f>
        <v>-1038574.1377551835</v>
      </c>
      <c r="E84" s="247">
        <f>SUM($B$83:E83)</f>
        <v>3106591.5025509596</v>
      </c>
      <c r="F84" s="247">
        <f>SUM($B$83:F83)</f>
        <v>7469104.3742626682</v>
      </c>
      <c r="G84" s="247">
        <f>SUM($B$83:G83)</f>
        <v>12060918.575107248</v>
      </c>
      <c r="H84" s="247">
        <f>SUM($B$83:H83)</f>
        <v>16894645.678187005</v>
      </c>
      <c r="I84" s="247">
        <f>SUM($B$83:I83)</f>
        <v>21983590.893124878</v>
      </c>
      <c r="J84" s="247">
        <f>SUM($B$83:J83)</f>
        <v>27341791.216073062</v>
      </c>
      <c r="K84" s="247">
        <f>SUM($B$83:K83)</f>
        <v>32984055.677972123</v>
      </c>
      <c r="L84" s="247">
        <f>SUM($B$83:L83)</f>
        <v>38926007.806464359</v>
      </c>
      <c r="M84" s="247">
        <f>SUM($B$83:M83)</f>
        <v>45184130.423212394</v>
      </c>
      <c r="N84" s="247">
        <f>SUM($B$83:N83)</f>
        <v>51775812.905070297</v>
      </c>
      <c r="O84" s="247">
        <f>SUM($B$83:O83)</f>
        <v>58719401.044619113</v>
      </c>
      <c r="P84" s="247">
        <f>SUM($B$83:P83)</f>
        <v>66034249.653031841</v>
      </c>
      <c r="Q84" s="247">
        <f>SUM($B$83:Q83)</f>
        <v>73740778.056095988</v>
      </c>
      <c r="R84" s="247">
        <f>SUM($B$83:R83)</f>
        <v>81860528.642517403</v>
      </c>
      <c r="S84" s="247">
        <f>SUM($B$83:S83)</f>
        <v>90416228.632380724</v>
      </c>
      <c r="T84" s="247">
        <f>SUM($B$83:T83)</f>
        <v>99431855.242875248</v>
      </c>
      <c r="U84" s="247">
        <f>SUM($B$83:U83)</f>
        <v>108932704.4381357</v>
      </c>
      <c r="V84" s="247">
        <f>SUM($B$83:V83)</f>
        <v>118945463.4603242</v>
      </c>
      <c r="W84" s="247">
        <f>SUM($B$83:W83)</f>
        <v>129498287.34992179</v>
      </c>
      <c r="X84" s="247">
        <f>SUM($B$83:X83)</f>
        <v>140620879.67463598</v>
      </c>
      <c r="Y84" s="247">
        <f>SUM($B$83:Y83)</f>
        <v>152344577.69839817</v>
      </c>
      <c r="Z84" s="247">
        <f>SUM($B$83:Z83)</f>
        <v>164702442.23465601</v>
      </c>
      <c r="AA84" s="247">
        <f>SUM($B$83:AA83)</f>
        <v>177729352.44159675</v>
      </c>
      <c r="AB84" s="247">
        <f>SUM($B$83:AB83)</f>
        <v>191462105.83110797</v>
      </c>
      <c r="AC84" s="247">
        <f>SUM($B$83:AC83)</f>
        <v>205939523.77823102</v>
      </c>
      <c r="AD84" s="247">
        <f>SUM($B$83:AD83)</f>
        <v>221202562.83363459</v>
      </c>
      <c r="AE84" s="247">
        <f>SUM($B$83:AE83)</f>
        <v>237294432.15827405</v>
      </c>
      <c r="AF84" s="247">
        <f>SUM($B$83:AF83)</f>
        <v>254260717.41695744</v>
      </c>
      <c r="AG84" s="247">
        <f>SUM($B$83:AG83)</f>
        <v>272149511.4860571</v>
      </c>
      <c r="AH84" s="247">
        <f>SUM($B$83:AH83)</f>
        <v>291011552.350146</v>
      </c>
      <c r="AI84" s="247">
        <f>SUM($B$83:AI83)</f>
        <v>310900368.58294851</v>
      </c>
      <c r="AJ84" s="247">
        <f>SUM($B$83:AJ83)</f>
        <v>331872432.82974386</v>
      </c>
      <c r="AK84" s="247">
        <f>SUM($B$83:AK83)</f>
        <v>353987323.73130172</v>
      </c>
      <c r="AL84" s="247">
        <f>SUM($B$83:AL83)</f>
        <v>377307896.75363398</v>
      </c>
      <c r="AM84" s="247">
        <f>SUM($B$83:AM83)</f>
        <v>401900464.41338325</v>
      </c>
      <c r="AN84" s="247">
        <f>SUM($B$83:AN83)</f>
        <v>427834986.41560745</v>
      </c>
      <c r="AO84" s="247">
        <f>SUM($B$83:AO83)</f>
        <v>455185270.24914271</v>
      </c>
      <c r="AP84" s="247">
        <f>SUM($B$83:AP83)</f>
        <v>484029182.81471109</v>
      </c>
    </row>
    <row r="85" spans="1:45" x14ac:dyDescent="0.2">
      <c r="A85" s="248" t="s">
        <v>577</v>
      </c>
      <c r="B85" s="257">
        <f t="shared" ref="B85:AP85" si="29">1/POWER((1+$B$44),B73)</f>
        <v>0.6273824743710017</v>
      </c>
      <c r="C85" s="257">
        <f t="shared" si="29"/>
        <v>0.52064935632448273</v>
      </c>
      <c r="D85" s="257">
        <f t="shared" si="29"/>
        <v>0.43207415462612664</v>
      </c>
      <c r="E85" s="257">
        <f t="shared" si="29"/>
        <v>0.35856776317520883</v>
      </c>
      <c r="F85" s="257">
        <f t="shared" si="29"/>
        <v>0.29756660844415667</v>
      </c>
      <c r="G85" s="257">
        <f t="shared" si="29"/>
        <v>0.24694324352212174</v>
      </c>
      <c r="H85" s="257">
        <f t="shared" si="29"/>
        <v>0.20493215230051592</v>
      </c>
      <c r="I85" s="257">
        <f t="shared" si="29"/>
        <v>0.1700681761830008</v>
      </c>
      <c r="J85" s="257">
        <f t="shared" si="29"/>
        <v>0.14113541591950271</v>
      </c>
      <c r="K85" s="257">
        <f t="shared" si="29"/>
        <v>0.11712482648921385</v>
      </c>
      <c r="L85" s="257">
        <f t="shared" si="29"/>
        <v>9.719902613212765E-2</v>
      </c>
      <c r="M85" s="257">
        <f t="shared" si="29"/>
        <v>8.0663092225832109E-2</v>
      </c>
      <c r="N85" s="257">
        <f t="shared" si="29"/>
        <v>6.6940325498615838E-2</v>
      </c>
      <c r="O85" s="257">
        <f t="shared" si="29"/>
        <v>5.5552137343249659E-2</v>
      </c>
      <c r="P85" s="257">
        <f t="shared" si="29"/>
        <v>4.6101358791078552E-2</v>
      </c>
      <c r="Q85" s="257">
        <f t="shared" si="29"/>
        <v>3.825838903823945E-2</v>
      </c>
      <c r="R85" s="257">
        <f t="shared" si="29"/>
        <v>3.174970044667174E-2</v>
      </c>
      <c r="S85" s="257">
        <f t="shared" si="29"/>
        <v>2.6348299125868668E-2</v>
      </c>
      <c r="T85" s="257">
        <f t="shared" si="29"/>
        <v>2.1865808403210511E-2</v>
      </c>
      <c r="U85" s="257">
        <f t="shared" si="29"/>
        <v>1.814589908980126E-2</v>
      </c>
      <c r="V85" s="257">
        <f t="shared" si="29"/>
        <v>1.5058837418922204E-2</v>
      </c>
      <c r="W85" s="257">
        <f t="shared" si="29"/>
        <v>1.2496960513628384E-2</v>
      </c>
      <c r="X85" s="257">
        <f t="shared" si="29"/>
        <v>1.0370921588073345E-2</v>
      </c>
      <c r="Y85" s="257">
        <f t="shared" si="29"/>
        <v>8.6065739320110735E-3</v>
      </c>
      <c r="Z85" s="257">
        <f t="shared" si="29"/>
        <v>7.1423850058183183E-3</v>
      </c>
      <c r="AA85" s="257">
        <f t="shared" si="29"/>
        <v>5.9272904612600145E-3</v>
      </c>
      <c r="AB85" s="257">
        <f t="shared" si="29"/>
        <v>4.9189132458589318E-3</v>
      </c>
      <c r="AC85" s="257">
        <f t="shared" si="29"/>
        <v>4.082085681210732E-3</v>
      </c>
      <c r="AD85" s="257">
        <f t="shared" si="29"/>
        <v>3.3876229719591129E-3</v>
      </c>
      <c r="AE85" s="257">
        <f t="shared" si="29"/>
        <v>2.8113053709204251E-3</v>
      </c>
      <c r="AF85" s="257">
        <f t="shared" si="29"/>
        <v>2.3330335028385286E-3</v>
      </c>
      <c r="AG85" s="257">
        <f t="shared" si="29"/>
        <v>1.9361273882477412E-3</v>
      </c>
      <c r="AH85" s="257">
        <f t="shared" si="29"/>
        <v>1.6067447205375444E-3</v>
      </c>
      <c r="AI85" s="257">
        <f t="shared" si="29"/>
        <v>1.3333981083299121E-3</v>
      </c>
      <c r="AJ85" s="257">
        <f t="shared" si="29"/>
        <v>1.1065544467468149E-3</v>
      </c>
      <c r="AK85" s="257">
        <f t="shared" si="29"/>
        <v>9.1830244543304122E-4</v>
      </c>
      <c r="AL85" s="257">
        <f t="shared" si="29"/>
        <v>7.6207671820169396E-4</v>
      </c>
      <c r="AM85" s="257">
        <f t="shared" si="29"/>
        <v>6.3242881178563804E-4</v>
      </c>
      <c r="AN85" s="257">
        <f t="shared" si="29"/>
        <v>5.2483718820384888E-4</v>
      </c>
      <c r="AO85" s="257">
        <f t="shared" si="29"/>
        <v>4.3554953377912764E-4</v>
      </c>
      <c r="AP85" s="257">
        <f t="shared" si="29"/>
        <v>3.6145189525238806E-4</v>
      </c>
    </row>
    <row r="86" spans="1:45" ht="28.5" x14ac:dyDescent="0.2">
      <c r="A86" s="246" t="s">
        <v>308</v>
      </c>
      <c r="B86" s="247">
        <f>B83*B85</f>
        <v>-3033359.7344693597</v>
      </c>
      <c r="C86" s="247">
        <f>C83*C85</f>
        <v>631270.62915300531</v>
      </c>
      <c r="D86" s="247">
        <f t="shared" ref="D86:AO86" si="30">D83*D85</f>
        <v>1116437.6742669109</v>
      </c>
      <c r="E86" s="247">
        <f t="shared" si="30"/>
        <v>1486322.7716353061</v>
      </c>
      <c r="F86" s="247">
        <f t="shared" si="30"/>
        <v>1298138.1595292315</v>
      </c>
      <c r="G86" s="247">
        <f t="shared" si="30"/>
        <v>1133917.4924075</v>
      </c>
      <c r="H86" s="247">
        <f t="shared" si="30"/>
        <v>990586.09886747273</v>
      </c>
      <c r="I86" s="247">
        <f t="shared" si="30"/>
        <v>865467.63139969308</v>
      </c>
      <c r="J86" s="247">
        <f t="shared" si="30"/>
        <v>756231.83115930564</v>
      </c>
      <c r="K86" s="247">
        <f t="shared" si="30"/>
        <v>660849.24610618502</v>
      </c>
      <c r="L86" s="247">
        <f t="shared" si="30"/>
        <v>577551.96021316829</v>
      </c>
      <c r="M86" s="247">
        <f t="shared" si="30"/>
        <v>504799.52179531258</v>
      </c>
      <c r="N86" s="247">
        <f t="shared" si="30"/>
        <v>441249.37091909203</v>
      </c>
      <c r="O86" s="247">
        <f t="shared" si="30"/>
        <v>385731.16198317532</v>
      </c>
      <c r="P86" s="247">
        <f t="shared" si="30"/>
        <v>337224.46019885683</v>
      </c>
      <c r="Q86" s="247">
        <f t="shared" si="30"/>
        <v>294839.36177867051</v>
      </c>
      <c r="R86" s="247">
        <f t="shared" si="30"/>
        <v>257799.64882056694</v>
      </c>
      <c r="S86" s="247">
        <f t="shared" si="30"/>
        <v>225428.14256411014</v>
      </c>
      <c r="T86" s="247">
        <f t="shared" si="30"/>
        <v>197133.96409995941</v>
      </c>
      <c r="U86" s="247">
        <f t="shared" si="30"/>
        <v>172401.45076461561</v>
      </c>
      <c r="V86" s="247">
        <f t="shared" si="30"/>
        <v>150780.51022998308</v>
      </c>
      <c r="W86" s="247">
        <f t="shared" si="30"/>
        <v>131878.22345557541</v>
      </c>
      <c r="X86" s="247">
        <f t="shared" si="30"/>
        <v>115351.53285571722</v>
      </c>
      <c r="Y86" s="247">
        <f t="shared" si="30"/>
        <v>100900.87379808145</v>
      </c>
      <c r="Z86" s="247">
        <f t="shared" si="30"/>
        <v>88264.626367701916</v>
      </c>
      <c r="AA86" s="247">
        <f t="shared" si="30"/>
        <v>77214.280609290596</v>
      </c>
      <c r="AB86" s="247">
        <f t="shared" si="30"/>
        <v>67550.222549780839</v>
      </c>
      <c r="AC86" s="247">
        <f t="shared" si="30"/>
        <v>59098.060502854321</v>
      </c>
      <c r="AD86" s="247">
        <f t="shared" si="30"/>
        <v>51705.421725994194</v>
      </c>
      <c r="AE86" s="247">
        <f t="shared" si="30"/>
        <v>45239.158660508605</v>
      </c>
      <c r="AF86" s="247">
        <f t="shared" si="30"/>
        <v>39582.911927223759</v>
      </c>
      <c r="AG86" s="247">
        <f t="shared" si="30"/>
        <v>34634.984139907654</v>
      </c>
      <c r="AH86" s="247">
        <f t="shared" si="30"/>
        <v>30306.484576938245</v>
      </c>
      <c r="AI86" s="247">
        <f t="shared" si="30"/>
        <v>26519.709941740115</v>
      </c>
      <c r="AJ86" s="247">
        <f t="shared" si="30"/>
        <v>23206.73094975132</v>
      </c>
      <c r="AK86" s="247">
        <f t="shared" si="30"/>
        <v>20308.158395385479</v>
      </c>
      <c r="AL86" s="247">
        <f t="shared" si="30"/>
        <v>17772.065755441919</v>
      </c>
      <c r="AM86" s="247">
        <f t="shared" si="30"/>
        <v>15553.048343813125</v>
      </c>
      <c r="AN86" s="247">
        <f t="shared" si="30"/>
        <v>13611.401605058196</v>
      </c>
      <c r="AO86" s="247">
        <f t="shared" si="30"/>
        <v>11912.403372423089</v>
      </c>
      <c r="AP86" s="247">
        <f>AP83*AP85</f>
        <v>10425.686863318875</v>
      </c>
    </row>
    <row r="87" spans="1:45" ht="14.25" x14ac:dyDescent="0.2">
      <c r="A87" s="246" t="s">
        <v>307</v>
      </c>
      <c r="B87" s="247">
        <f>SUM($B$86:B86)</f>
        <v>-3033359.7344693597</v>
      </c>
      <c r="C87" s="247">
        <f>SUM($B$86:C86)</f>
        <v>-2402089.1053163544</v>
      </c>
      <c r="D87" s="247">
        <f>SUM($B$86:D86)</f>
        <v>-1285651.4310494435</v>
      </c>
      <c r="E87" s="247">
        <f>SUM($B$86:E86)</f>
        <v>200671.34058586252</v>
      </c>
      <c r="F87" s="247">
        <f>SUM($B$86:F86)</f>
        <v>1498809.500115094</v>
      </c>
      <c r="G87" s="247">
        <f>SUM($B$86:G86)</f>
        <v>2632726.9925225941</v>
      </c>
      <c r="H87" s="247">
        <f>SUM($B$86:H86)</f>
        <v>3623313.0913900668</v>
      </c>
      <c r="I87" s="247">
        <f>SUM($B$86:I86)</f>
        <v>4488780.7227897597</v>
      </c>
      <c r="J87" s="247">
        <f>SUM($B$86:J86)</f>
        <v>5245012.5539490655</v>
      </c>
      <c r="K87" s="247">
        <f>SUM($B$86:K86)</f>
        <v>5905861.8000552505</v>
      </c>
      <c r="L87" s="247">
        <f>SUM($B$86:L86)</f>
        <v>6483413.760268419</v>
      </c>
      <c r="M87" s="247">
        <f>SUM($B$86:M86)</f>
        <v>6988213.2820637319</v>
      </c>
      <c r="N87" s="247">
        <f>SUM($B$86:N86)</f>
        <v>7429462.6529828236</v>
      </c>
      <c r="O87" s="247">
        <f>SUM($B$86:O86)</f>
        <v>7815193.8149659988</v>
      </c>
      <c r="P87" s="247">
        <f>SUM($B$86:P86)</f>
        <v>8152418.2751648556</v>
      </c>
      <c r="Q87" s="247">
        <f>SUM($B$86:Q86)</f>
        <v>8447257.6369435266</v>
      </c>
      <c r="R87" s="247">
        <f>SUM($B$86:R86)</f>
        <v>8705057.2857640944</v>
      </c>
      <c r="S87" s="247">
        <f>SUM($B$86:S86)</f>
        <v>8930485.4283282049</v>
      </c>
      <c r="T87" s="247">
        <f>SUM($B$86:T86)</f>
        <v>9127619.3924281634</v>
      </c>
      <c r="U87" s="247">
        <f>SUM($B$86:U86)</f>
        <v>9300020.8431927785</v>
      </c>
      <c r="V87" s="247">
        <f>SUM($B$86:V86)</f>
        <v>9450801.353422761</v>
      </c>
      <c r="W87" s="247">
        <f>SUM($B$86:W86)</f>
        <v>9582679.5768783372</v>
      </c>
      <c r="X87" s="247">
        <f>SUM($B$86:X86)</f>
        <v>9698031.1097340547</v>
      </c>
      <c r="Y87" s="247">
        <f>SUM($B$86:Y86)</f>
        <v>9798931.9835321363</v>
      </c>
      <c r="Z87" s="247">
        <f>SUM($B$86:Z86)</f>
        <v>9887196.6098998375</v>
      </c>
      <c r="AA87" s="247">
        <f>SUM($B$86:AA86)</f>
        <v>9964410.8905091286</v>
      </c>
      <c r="AB87" s="247">
        <f>SUM($B$86:AB86)</f>
        <v>10031961.11305891</v>
      </c>
      <c r="AC87" s="247">
        <f>SUM($B$86:AC86)</f>
        <v>10091059.173561765</v>
      </c>
      <c r="AD87" s="247">
        <f>SUM($B$86:AD86)</f>
        <v>10142764.595287759</v>
      </c>
      <c r="AE87" s="247">
        <f>SUM($B$86:AE86)</f>
        <v>10188003.753948268</v>
      </c>
      <c r="AF87" s="247">
        <f>SUM($B$86:AF86)</f>
        <v>10227586.665875491</v>
      </c>
      <c r="AG87" s="247">
        <f>SUM($B$86:AG86)</f>
        <v>10262221.650015399</v>
      </c>
      <c r="AH87" s="247">
        <f>SUM($B$86:AH86)</f>
        <v>10292528.134592338</v>
      </c>
      <c r="AI87" s="247">
        <f>SUM($B$86:AI86)</f>
        <v>10319047.844534077</v>
      </c>
      <c r="AJ87" s="247">
        <f>SUM($B$86:AJ86)</f>
        <v>10342254.575483829</v>
      </c>
      <c r="AK87" s="247">
        <f>SUM($B$86:AK86)</f>
        <v>10362562.733879214</v>
      </c>
      <c r="AL87" s="247">
        <f>SUM($B$86:AL86)</f>
        <v>10380334.799634656</v>
      </c>
      <c r="AM87" s="247">
        <f>SUM($B$86:AM86)</f>
        <v>10395887.847978469</v>
      </c>
      <c r="AN87" s="247">
        <f>SUM($B$86:AN86)</f>
        <v>10409499.249583527</v>
      </c>
      <c r="AO87" s="247">
        <f>SUM($B$86:AO86)</f>
        <v>10421411.652955951</v>
      </c>
      <c r="AP87" s="247">
        <f>SUM($B$86:AP86)</f>
        <v>10431837.339819269</v>
      </c>
    </row>
    <row r="88" spans="1:45" ht="14.25" x14ac:dyDescent="0.2">
      <c r="A88" s="246" t="s">
        <v>306</v>
      </c>
      <c r="B88" s="258">
        <f>IF((ISERR(IRR($B$83:B83))),0,IF(IRR($B$83:B83)&lt;0,0,IRR($B$83:B83)))</f>
        <v>0</v>
      </c>
      <c r="C88" s="258">
        <f>IF((ISERR(IRR($B$83:C83))),0,IF(IRR($B$83:C83)&lt;0,0,IRR($B$83:C83)))</f>
        <v>0</v>
      </c>
      <c r="D88" s="258">
        <f>IF((ISERR(IRR($B$83:D83))),0,IF(IRR($B$83:D83)&lt;0,0,IRR($B$83:D83)))</f>
        <v>0</v>
      </c>
      <c r="E88" s="258">
        <f>IF((ISERR(IRR($B$83:E83))),0,IF(IRR($B$83:E83)&lt;0,0,IRR($B$83:E83)))</f>
        <v>0.23970513941601679</v>
      </c>
      <c r="F88" s="258">
        <f>IF((ISERR(IRR($B$83:F83))),0,IF(IRR($B$83:F83)&lt;0,0,IRR($B$83:F83)))</f>
        <v>0.3995159089842919</v>
      </c>
      <c r="G88" s="258">
        <f>IF((ISERR(IRR($B$83:G83))),0,IF(IRR($B$83:G83)&lt;0,0,IRR($B$83:G83)))</f>
        <v>0.47984305062944954</v>
      </c>
      <c r="H88" s="258">
        <f>IF((ISERR(IRR($B$83:H83))),0,IF(IRR($B$83:H83)&lt;0,0,IRR($B$83:H83)))</f>
        <v>0.52372433352566805</v>
      </c>
      <c r="I88" s="258">
        <f>IF((ISERR(IRR($B$83:I83))),0,IF(IRR($B$83:I83)&lt;0,0,IRR($B$83:I83)))</f>
        <v>0.54903964248473169</v>
      </c>
      <c r="J88" s="258">
        <f>IF((ISERR(IRR($B$83:J83))),0,IF(IRR($B$83:J83)&lt;0,0,IRR($B$83:J83)))</f>
        <v>0.56420885072730553</v>
      </c>
      <c r="K88" s="258">
        <f>IF((ISERR(IRR($B$83:K83))),0,IF(IRR($B$83:K83)&lt;0,0,IRR($B$83:K83)))</f>
        <v>0.57354846834652284</v>
      </c>
      <c r="L88" s="258">
        <f>IF((ISERR(IRR($B$83:L83))),0,IF(IRR($B$83:L83)&lt;0,0,IRR($B$83:L83)))</f>
        <v>0.57941333449638521</v>
      </c>
      <c r="M88" s="258">
        <f>IF((ISERR(IRR($B$83:M83))),0,IF(IRR($B$83:M83)&lt;0,0,IRR($B$83:M83)))</f>
        <v>0.58314979729916971</v>
      </c>
      <c r="N88" s="258">
        <f>IF((ISERR(IRR($B$83:N83))),0,IF(IRR($B$83:N83)&lt;0,0,IRR($B$83:N83)))</f>
        <v>0.58555570047401928</v>
      </c>
      <c r="O88" s="258">
        <f>IF((ISERR(IRR($B$83:O83))),0,IF(IRR($B$83:O83)&lt;0,0,IRR($B$83:O83)))</f>
        <v>0.58711702918632214</v>
      </c>
      <c r="P88" s="258">
        <f>IF((ISERR(IRR($B$83:P83))),0,IF(IRR($B$83:P83)&lt;0,0,IRR($B$83:P83)))</f>
        <v>0.58813611735428184</v>
      </c>
      <c r="Q88" s="258">
        <f>IF((ISERR(IRR($B$83:Q83))),0,IF(IRR($B$83:Q83)&lt;0,0,IRR($B$83:Q83)))</f>
        <v>0.58880410198181998</v>
      </c>
      <c r="R88" s="258">
        <f>IF((ISERR(IRR($B$83:R83))),0,IF(IRR($B$83:R83)&lt;0,0,IRR($B$83:R83)))</f>
        <v>0.58924330724704421</v>
      </c>
      <c r="S88" s="258">
        <f>IF((ISERR(IRR($B$83:S83))),0,IF(IRR($B$83:S83)&lt;0,0,IRR($B$83:S83)))</f>
        <v>0.58953274338991468</v>
      </c>
      <c r="T88" s="258">
        <f>IF((ISERR(IRR($B$83:T83))),0,IF(IRR($B$83:T83)&lt;0,0,IRR($B$83:T83)))</f>
        <v>0.58972379725304047</v>
      </c>
      <c r="U88" s="258">
        <f>IF((ISERR(IRR($B$83:U83))),0,IF(IRR($B$83:U83)&lt;0,0,IRR($B$83:U83)))</f>
        <v>0.58985006188173839</v>
      </c>
      <c r="V88" s="258">
        <f>IF((ISERR(IRR($B$83:V83))),0,IF(IRR($B$83:V83)&lt;0,0,IRR($B$83:V83)))</f>
        <v>0.58993358144575425</v>
      </c>
      <c r="W88" s="258">
        <f>IF((ISERR(IRR($B$83:W83))),0,IF(IRR($B$83:W83)&lt;0,0,IRR($B$83:W83)))</f>
        <v>0.58998886196663092</v>
      </c>
      <c r="X88" s="258">
        <f>IF((ISERR(IRR($B$83:X83))),0,IF(IRR($B$83:X83)&lt;0,0,IRR($B$83:X83)))</f>
        <v>0.59002546851418214</v>
      </c>
      <c r="Y88" s="258">
        <f>IF((ISERR(IRR($B$83:Y83))),0,IF(IRR($B$83:Y83)&lt;0,0,IRR($B$83:Y83)))</f>
        <v>0.59004971754275659</v>
      </c>
      <c r="Z88" s="258">
        <f>IF((ISERR(IRR($B$83:Z83))),0,IF(IRR($B$83:Z83)&lt;0,0,IRR($B$83:Z83)))</f>
        <v>0.59006578474171123</v>
      </c>
      <c r="AA88" s="258">
        <f>IF((ISERR(IRR($B$83:AA83))),0,IF(IRR($B$83:AA83)&lt;0,0,IRR($B$83:AA83)))</f>
        <v>0.59007643275289867</v>
      </c>
      <c r="AB88" s="258">
        <f>IF((ISERR(IRR($B$83:AB83))),0,IF(IRR($B$83:AB83)&lt;0,0,IRR($B$83:AB83)))</f>
        <v>0.59008349039173469</v>
      </c>
      <c r="AC88" s="258">
        <f>IF((ISERR(IRR($B$83:AC83))),0,IF(IRR($B$83:AC83)&lt;0,0,IRR($B$83:AC83)))</f>
        <v>0.59008816880614678</v>
      </c>
      <c r="AD88" s="258">
        <f>IF((ISERR(IRR($B$83:AD83))),0,IF(IRR($B$83:AD83)&lt;0,0,IRR($B$83:AD83)))</f>
        <v>0.59009127033628772</v>
      </c>
      <c r="AE88" s="258">
        <f>IF((ISERR(IRR($B$83:AE83))),0,IF(IRR($B$83:AE83)&lt;0,0,IRR($B$83:AE83)))</f>
        <v>0.59009332662439395</v>
      </c>
      <c r="AF88" s="258">
        <f>IF((ISERR(IRR($B$83:AF83))),0,IF(IRR($B$83:AF83)&lt;0,0,IRR($B$83:AF83)))</f>
        <v>0.59009469000516734</v>
      </c>
      <c r="AG88" s="258">
        <f>IF((ISERR(IRR($B$83:AG83))),0,IF(IRR($B$83:AG83)&lt;0,0,IRR($B$83:AG83)))</f>
        <v>0.59009559401186173</v>
      </c>
      <c r="AH88" s="258">
        <f>IF((ISERR(IRR($B$83:AH83))),0,IF(IRR($B$83:AH83)&lt;0,0,IRR($B$83:AH83)))</f>
        <v>0.59009619345012099</v>
      </c>
      <c r="AI88" s="258">
        <f>IF((ISERR(IRR($B$83:AI83))),0,IF(IRR($B$83:AI83)&lt;0,0,IRR($B$83:AI83)))</f>
        <v>0.59009659094667621</v>
      </c>
      <c r="AJ88" s="258">
        <f>IF((ISERR(IRR($B$83:AJ83))),0,IF(IRR($B$83:AJ83)&lt;0,0,IRR($B$83:AJ83)))</f>
        <v>0.59009685454136696</v>
      </c>
      <c r="AK88" s="258">
        <f>IF((ISERR(IRR($B$83:AK83))),0,IF(IRR($B$83:AK83)&lt;0,0,IRR($B$83:AK83)))</f>
        <v>0.59009702934601171</v>
      </c>
      <c r="AL88" s="258">
        <f>IF((ISERR(IRR($B$83:AL83))),0,IF(IRR($B$83:AL83)&lt;0,0,IRR($B$83:AL83)))</f>
        <v>0.59009714527210599</v>
      </c>
      <c r="AM88" s="258">
        <f>IF((ISERR(IRR($B$83:AM83))),0,IF(IRR($B$83:AM83)&lt;0,0,IRR($B$83:AM83)))</f>
        <v>0.59009722215335936</v>
      </c>
      <c r="AN88" s="258">
        <f>IF((ISERR(IRR($B$83:AN83))),0,IF(IRR($B$83:AN83)&lt;0,0,IRR($B$83:AN83)))</f>
        <v>0.59009727314159166</v>
      </c>
      <c r="AO88" s="258">
        <f>IF((ISERR(IRR($B$83:AO83))),0,IF(IRR($B$83:AO83)&lt;0,0,IRR($B$83:AO83)))</f>
        <v>0.59009730695812124</v>
      </c>
      <c r="AP88" s="258">
        <f>IF((ISERR(IRR($B$83:AP83))),0,IF(IRR($B$83:AP83)&lt;0,0,IRR($B$83:AP83)))</f>
        <v>0.59009732938646065</v>
      </c>
    </row>
    <row r="89" spans="1:45" ht="14.25" x14ac:dyDescent="0.2">
      <c r="A89" s="246" t="s">
        <v>305</v>
      </c>
      <c r="B89" s="259">
        <f>IF(AND(B84&gt;0,A84&lt;0),(B74-(B84/(B84-A84))),0)</f>
        <v>0</v>
      </c>
      <c r="C89" s="259">
        <f t="shared" ref="C89:AP89" si="31">IF(AND(C84&gt;0,B84&lt;0),(C74-(C84/(C84-B84))),0)</f>
        <v>0</v>
      </c>
      <c r="D89" s="259">
        <f t="shared" si="31"/>
        <v>0</v>
      </c>
      <c r="E89" s="259">
        <f t="shared" si="31"/>
        <v>3.2505506963718052</v>
      </c>
      <c r="F89" s="259">
        <f t="shared" si="31"/>
        <v>0</v>
      </c>
      <c r="G89" s="259">
        <f t="shared" si="31"/>
        <v>0</v>
      </c>
      <c r="H89" s="259">
        <f>IF(AND(H84&gt;0,G84&lt;0),(H74-(H84/(H84-G84))),0)</f>
        <v>0</v>
      </c>
      <c r="I89" s="259">
        <f t="shared" si="31"/>
        <v>0</v>
      </c>
      <c r="J89" s="259">
        <f t="shared" si="31"/>
        <v>0</v>
      </c>
      <c r="K89" s="259">
        <f t="shared" si="31"/>
        <v>0</v>
      </c>
      <c r="L89" s="259">
        <f t="shared" si="31"/>
        <v>0</v>
      </c>
      <c r="M89" s="259">
        <f t="shared" si="31"/>
        <v>0</v>
      </c>
      <c r="N89" s="259">
        <f t="shared" si="31"/>
        <v>0</v>
      </c>
      <c r="O89" s="259">
        <f t="shared" si="31"/>
        <v>0</v>
      </c>
      <c r="P89" s="259">
        <f t="shared" si="31"/>
        <v>0</v>
      </c>
      <c r="Q89" s="259">
        <f t="shared" si="31"/>
        <v>0</v>
      </c>
      <c r="R89" s="259">
        <f t="shared" si="31"/>
        <v>0</v>
      </c>
      <c r="S89" s="259">
        <f t="shared" si="31"/>
        <v>0</v>
      </c>
      <c r="T89" s="259">
        <f t="shared" si="31"/>
        <v>0</v>
      </c>
      <c r="U89" s="259">
        <f t="shared" si="31"/>
        <v>0</v>
      </c>
      <c r="V89" s="259">
        <f t="shared" si="31"/>
        <v>0</v>
      </c>
      <c r="W89" s="259">
        <f t="shared" si="31"/>
        <v>0</v>
      </c>
      <c r="X89" s="259">
        <f t="shared" si="31"/>
        <v>0</v>
      </c>
      <c r="Y89" s="259">
        <f t="shared" si="31"/>
        <v>0</v>
      </c>
      <c r="Z89" s="259">
        <f t="shared" si="31"/>
        <v>0</v>
      </c>
      <c r="AA89" s="259">
        <f t="shared" si="31"/>
        <v>0</v>
      </c>
      <c r="AB89" s="259">
        <f t="shared" si="31"/>
        <v>0</v>
      </c>
      <c r="AC89" s="259">
        <f t="shared" si="31"/>
        <v>0</v>
      </c>
      <c r="AD89" s="259">
        <f t="shared" si="31"/>
        <v>0</v>
      </c>
      <c r="AE89" s="259">
        <f t="shared" si="31"/>
        <v>0</v>
      </c>
      <c r="AF89" s="259">
        <f t="shared" si="31"/>
        <v>0</v>
      </c>
      <c r="AG89" s="259">
        <f t="shared" si="31"/>
        <v>0</v>
      </c>
      <c r="AH89" s="259">
        <f t="shared" si="31"/>
        <v>0</v>
      </c>
      <c r="AI89" s="259">
        <f t="shared" si="31"/>
        <v>0</v>
      </c>
      <c r="AJ89" s="259">
        <f t="shared" si="31"/>
        <v>0</v>
      </c>
      <c r="AK89" s="259">
        <f t="shared" si="31"/>
        <v>0</v>
      </c>
      <c r="AL89" s="259">
        <f t="shared" si="31"/>
        <v>0</v>
      </c>
      <c r="AM89" s="259">
        <f t="shared" si="31"/>
        <v>0</v>
      </c>
      <c r="AN89" s="259">
        <f t="shared" si="31"/>
        <v>0</v>
      </c>
      <c r="AO89" s="259">
        <f t="shared" si="31"/>
        <v>0</v>
      </c>
      <c r="AP89" s="259">
        <f t="shared" si="31"/>
        <v>0</v>
      </c>
    </row>
    <row r="90" spans="1:45" ht="15" thickBot="1" x14ac:dyDescent="0.25">
      <c r="A90" s="260" t="s">
        <v>304</v>
      </c>
      <c r="B90" s="261">
        <f t="shared" ref="B90:AP90" si="32">IF(AND(B87&gt;0,A87&lt;0),(B74-(B87/(B87-A87))),0)</f>
        <v>0</v>
      </c>
      <c r="C90" s="261">
        <f t="shared" si="32"/>
        <v>0</v>
      </c>
      <c r="D90" s="261">
        <f t="shared" si="32"/>
        <v>0</v>
      </c>
      <c r="E90" s="261">
        <f t="shared" si="32"/>
        <v>3.8649880467315478</v>
      </c>
      <c r="F90" s="261">
        <f t="shared" si="32"/>
        <v>0</v>
      </c>
      <c r="G90" s="261">
        <f t="shared" si="32"/>
        <v>0</v>
      </c>
      <c r="H90" s="261">
        <f t="shared" si="32"/>
        <v>0</v>
      </c>
      <c r="I90" s="261">
        <f t="shared" si="32"/>
        <v>0</v>
      </c>
      <c r="J90" s="261">
        <f t="shared" si="32"/>
        <v>0</v>
      </c>
      <c r="K90" s="261">
        <f t="shared" si="32"/>
        <v>0</v>
      </c>
      <c r="L90" s="261">
        <f t="shared" si="32"/>
        <v>0</v>
      </c>
      <c r="M90" s="261">
        <f t="shared" si="32"/>
        <v>0</v>
      </c>
      <c r="N90" s="261">
        <f t="shared" si="32"/>
        <v>0</v>
      </c>
      <c r="O90" s="261">
        <f t="shared" si="32"/>
        <v>0</v>
      </c>
      <c r="P90" s="261">
        <f t="shared" si="32"/>
        <v>0</v>
      </c>
      <c r="Q90" s="261">
        <f t="shared" si="32"/>
        <v>0</v>
      </c>
      <c r="R90" s="261">
        <f t="shared" si="32"/>
        <v>0</v>
      </c>
      <c r="S90" s="261">
        <f t="shared" si="32"/>
        <v>0</v>
      </c>
      <c r="T90" s="261">
        <f t="shared" si="32"/>
        <v>0</v>
      </c>
      <c r="U90" s="261">
        <f t="shared" si="32"/>
        <v>0</v>
      </c>
      <c r="V90" s="261">
        <f t="shared" si="32"/>
        <v>0</v>
      </c>
      <c r="W90" s="261">
        <f t="shared" si="32"/>
        <v>0</v>
      </c>
      <c r="X90" s="261">
        <f t="shared" si="32"/>
        <v>0</v>
      </c>
      <c r="Y90" s="261">
        <f t="shared" si="32"/>
        <v>0</v>
      </c>
      <c r="Z90" s="261">
        <f t="shared" si="32"/>
        <v>0</v>
      </c>
      <c r="AA90" s="261">
        <f t="shared" si="32"/>
        <v>0</v>
      </c>
      <c r="AB90" s="261">
        <f t="shared" si="32"/>
        <v>0</v>
      </c>
      <c r="AC90" s="261">
        <f t="shared" si="32"/>
        <v>0</v>
      </c>
      <c r="AD90" s="261">
        <f t="shared" si="32"/>
        <v>0</v>
      </c>
      <c r="AE90" s="261">
        <f t="shared" si="32"/>
        <v>0</v>
      </c>
      <c r="AF90" s="261">
        <f t="shared" si="32"/>
        <v>0</v>
      </c>
      <c r="AG90" s="261">
        <f t="shared" si="32"/>
        <v>0</v>
      </c>
      <c r="AH90" s="261">
        <f t="shared" si="32"/>
        <v>0</v>
      </c>
      <c r="AI90" s="261">
        <f t="shared" si="32"/>
        <v>0</v>
      </c>
      <c r="AJ90" s="261">
        <f t="shared" si="32"/>
        <v>0</v>
      </c>
      <c r="AK90" s="261">
        <f t="shared" si="32"/>
        <v>0</v>
      </c>
      <c r="AL90" s="261">
        <f t="shared" si="32"/>
        <v>0</v>
      </c>
      <c r="AM90" s="261">
        <f t="shared" si="32"/>
        <v>0</v>
      </c>
      <c r="AN90" s="261">
        <f t="shared" si="32"/>
        <v>0</v>
      </c>
      <c r="AO90" s="261">
        <f t="shared" si="32"/>
        <v>0</v>
      </c>
      <c r="AP90" s="261">
        <f t="shared" si="32"/>
        <v>0</v>
      </c>
    </row>
    <row r="91" spans="1:45" s="232" customFormat="1" x14ac:dyDescent="0.2">
      <c r="A91" s="206"/>
      <c r="B91" s="262">
        <v>2018</v>
      </c>
      <c r="C91" s="262">
        <f>B91+1</f>
        <v>2019</v>
      </c>
      <c r="D91" s="191">
        <f t="shared" ref="D91:AP91" si="33">C91+1</f>
        <v>2020</v>
      </c>
      <c r="E91" s="191">
        <f t="shared" si="33"/>
        <v>2021</v>
      </c>
      <c r="F91" s="191">
        <f t="shared" si="33"/>
        <v>2022</v>
      </c>
      <c r="G91" s="191">
        <f t="shared" si="33"/>
        <v>2023</v>
      </c>
      <c r="H91" s="191">
        <f t="shared" si="33"/>
        <v>2024</v>
      </c>
      <c r="I91" s="191">
        <f t="shared" si="33"/>
        <v>2025</v>
      </c>
      <c r="J91" s="191">
        <f t="shared" si="33"/>
        <v>2026</v>
      </c>
      <c r="K91" s="191">
        <f t="shared" si="33"/>
        <v>2027</v>
      </c>
      <c r="L91" s="191">
        <f t="shared" si="33"/>
        <v>2028</v>
      </c>
      <c r="M91" s="191">
        <f t="shared" si="33"/>
        <v>2029</v>
      </c>
      <c r="N91" s="191">
        <f t="shared" si="33"/>
        <v>2030</v>
      </c>
      <c r="O91" s="191">
        <f t="shared" si="33"/>
        <v>2031</v>
      </c>
      <c r="P91" s="191">
        <f t="shared" si="33"/>
        <v>2032</v>
      </c>
      <c r="Q91" s="191">
        <f t="shared" si="33"/>
        <v>2033</v>
      </c>
      <c r="R91" s="191">
        <f t="shared" si="33"/>
        <v>2034</v>
      </c>
      <c r="S91" s="191">
        <f t="shared" si="33"/>
        <v>2035</v>
      </c>
      <c r="T91" s="191">
        <f t="shared" si="33"/>
        <v>2036</v>
      </c>
      <c r="U91" s="191">
        <f t="shared" si="33"/>
        <v>2037</v>
      </c>
      <c r="V91" s="191">
        <f t="shared" si="33"/>
        <v>2038</v>
      </c>
      <c r="W91" s="191">
        <f t="shared" si="33"/>
        <v>2039</v>
      </c>
      <c r="X91" s="191">
        <f t="shared" si="33"/>
        <v>2040</v>
      </c>
      <c r="Y91" s="191">
        <f t="shared" si="33"/>
        <v>2041</v>
      </c>
      <c r="Z91" s="191">
        <f t="shared" si="33"/>
        <v>2042</v>
      </c>
      <c r="AA91" s="191">
        <f t="shared" si="33"/>
        <v>2043</v>
      </c>
      <c r="AB91" s="191">
        <f t="shared" si="33"/>
        <v>2044</v>
      </c>
      <c r="AC91" s="191">
        <f t="shared" si="33"/>
        <v>2045</v>
      </c>
      <c r="AD91" s="191">
        <f t="shared" si="33"/>
        <v>2046</v>
      </c>
      <c r="AE91" s="191">
        <f t="shared" si="33"/>
        <v>2047</v>
      </c>
      <c r="AF91" s="191">
        <f t="shared" si="33"/>
        <v>2048</v>
      </c>
      <c r="AG91" s="191">
        <f t="shared" si="33"/>
        <v>2049</v>
      </c>
      <c r="AH91" s="191">
        <f t="shared" si="33"/>
        <v>2050</v>
      </c>
      <c r="AI91" s="191">
        <f t="shared" si="33"/>
        <v>2051</v>
      </c>
      <c r="AJ91" s="191">
        <f t="shared" si="33"/>
        <v>2052</v>
      </c>
      <c r="AK91" s="191">
        <f t="shared" si="33"/>
        <v>2053</v>
      </c>
      <c r="AL91" s="191">
        <f t="shared" si="33"/>
        <v>2054</v>
      </c>
      <c r="AM91" s="191">
        <f t="shared" si="33"/>
        <v>2055</v>
      </c>
      <c r="AN91" s="191">
        <f t="shared" si="33"/>
        <v>2056</v>
      </c>
      <c r="AO91" s="191">
        <f t="shared" si="33"/>
        <v>2057</v>
      </c>
      <c r="AP91" s="191">
        <f t="shared" si="33"/>
        <v>2058</v>
      </c>
      <c r="AQ91" s="192"/>
      <c r="AR91" s="192"/>
      <c r="AS91" s="192"/>
    </row>
    <row r="92" spans="1:45" ht="15.6" customHeight="1" x14ac:dyDescent="0.2">
      <c r="A92" s="263" t="s">
        <v>303</v>
      </c>
      <c r="B92" s="122"/>
      <c r="C92" s="122"/>
      <c r="D92" s="122"/>
      <c r="E92" s="122"/>
      <c r="F92" s="122"/>
      <c r="G92" s="122"/>
      <c r="H92" s="122"/>
      <c r="I92" s="122"/>
      <c r="J92" s="122"/>
      <c r="K92" s="122"/>
      <c r="L92" s="26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302</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301</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300</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299</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38" t="s">
        <v>578</v>
      </c>
      <c r="B97" s="438"/>
      <c r="C97" s="438"/>
      <c r="D97" s="438"/>
      <c r="E97" s="438"/>
      <c r="F97" s="438"/>
      <c r="G97" s="438"/>
      <c r="H97" s="438"/>
      <c r="I97" s="438"/>
      <c r="J97" s="438"/>
      <c r="K97" s="438"/>
      <c r="L97" s="438"/>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x14ac:dyDescent="0.2">
      <c r="C98" s="265"/>
    </row>
    <row r="99" spans="1:71" s="271" customFormat="1" ht="16.5" hidden="1" thickTop="1" x14ac:dyDescent="0.2">
      <c r="A99" s="266" t="s">
        <v>579</v>
      </c>
      <c r="B99" s="267">
        <f>B81*B85</f>
        <v>-15166798.518638095</v>
      </c>
      <c r="C99" s="268">
        <f>C81*C85</f>
        <v>0</v>
      </c>
      <c r="D99" s="268">
        <f t="shared" ref="D99:AP99" si="34">D81*D85</f>
        <v>0</v>
      </c>
      <c r="E99" s="268">
        <f t="shared" si="34"/>
        <v>0</v>
      </c>
      <c r="F99" s="268">
        <f t="shared" si="34"/>
        <v>0</v>
      </c>
      <c r="G99" s="268">
        <f t="shared" si="34"/>
        <v>0</v>
      </c>
      <c r="H99" s="268">
        <f t="shared" si="34"/>
        <v>0</v>
      </c>
      <c r="I99" s="268">
        <f t="shared" si="34"/>
        <v>0</v>
      </c>
      <c r="J99" s="268">
        <f>J81*J85</f>
        <v>0</v>
      </c>
      <c r="K99" s="268">
        <f t="shared" si="34"/>
        <v>0</v>
      </c>
      <c r="L99" s="268">
        <f>L81*L85</f>
        <v>0</v>
      </c>
      <c r="M99" s="268">
        <f t="shared" si="34"/>
        <v>0</v>
      </c>
      <c r="N99" s="268">
        <f t="shared" si="34"/>
        <v>0</v>
      </c>
      <c r="O99" s="268">
        <f t="shared" si="34"/>
        <v>0</v>
      </c>
      <c r="P99" s="268">
        <f t="shared" si="34"/>
        <v>0</v>
      </c>
      <c r="Q99" s="268">
        <f t="shared" si="34"/>
        <v>0</v>
      </c>
      <c r="R99" s="268">
        <f t="shared" si="34"/>
        <v>0</v>
      </c>
      <c r="S99" s="268">
        <f t="shared" si="34"/>
        <v>0</v>
      </c>
      <c r="T99" s="268">
        <f t="shared" si="34"/>
        <v>0</v>
      </c>
      <c r="U99" s="268">
        <f t="shared" si="34"/>
        <v>0</v>
      </c>
      <c r="V99" s="268">
        <f t="shared" si="34"/>
        <v>0</v>
      </c>
      <c r="W99" s="268">
        <f t="shared" si="34"/>
        <v>0</v>
      </c>
      <c r="X99" s="268">
        <f t="shared" si="34"/>
        <v>0</v>
      </c>
      <c r="Y99" s="268">
        <f t="shared" si="34"/>
        <v>0</v>
      </c>
      <c r="Z99" s="268">
        <f t="shared" si="34"/>
        <v>0</v>
      </c>
      <c r="AA99" s="268">
        <f t="shared" si="34"/>
        <v>0</v>
      </c>
      <c r="AB99" s="268">
        <f t="shared" si="34"/>
        <v>0</v>
      </c>
      <c r="AC99" s="268">
        <f t="shared" si="34"/>
        <v>0</v>
      </c>
      <c r="AD99" s="268">
        <f t="shared" si="34"/>
        <v>0</v>
      </c>
      <c r="AE99" s="268">
        <f t="shared" si="34"/>
        <v>0</v>
      </c>
      <c r="AF99" s="268">
        <f t="shared" si="34"/>
        <v>0</v>
      </c>
      <c r="AG99" s="268">
        <f t="shared" si="34"/>
        <v>0</v>
      </c>
      <c r="AH99" s="268">
        <f t="shared" si="34"/>
        <v>0</v>
      </c>
      <c r="AI99" s="268">
        <f t="shared" si="34"/>
        <v>0</v>
      </c>
      <c r="AJ99" s="268">
        <f t="shared" si="34"/>
        <v>0</v>
      </c>
      <c r="AK99" s="268">
        <f t="shared" si="34"/>
        <v>0</v>
      </c>
      <c r="AL99" s="268">
        <f t="shared" si="34"/>
        <v>0</v>
      </c>
      <c r="AM99" s="268">
        <f t="shared" si="34"/>
        <v>0</v>
      </c>
      <c r="AN99" s="268">
        <f t="shared" si="34"/>
        <v>0</v>
      </c>
      <c r="AO99" s="268">
        <f t="shared" si="34"/>
        <v>0</v>
      </c>
      <c r="AP99" s="268">
        <f t="shared" si="34"/>
        <v>0</v>
      </c>
      <c r="AQ99" s="269">
        <f>SUM(B99:AP99)</f>
        <v>-15166798.518638095</v>
      </c>
      <c r="AR99" s="270"/>
      <c r="AS99" s="270"/>
    </row>
    <row r="100" spans="1:71" s="274" customFormat="1" hidden="1" x14ac:dyDescent="0.2">
      <c r="A100" s="272">
        <f>AQ99</f>
        <v>-15166798.518638095</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hidden="1" x14ac:dyDescent="0.2">
      <c r="A101" s="272">
        <f>AP87</f>
        <v>10431837.339819269</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hidden="1" x14ac:dyDescent="0.2">
      <c r="A102" s="275" t="s">
        <v>580</v>
      </c>
      <c r="B102" s="276">
        <f>(A101+-A100)/-A100</f>
        <v>1.6878074714976827</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hidden="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hidden="1" x14ac:dyDescent="0.2">
      <c r="A104" s="278" t="s">
        <v>581</v>
      </c>
      <c r="B104" s="278" t="s">
        <v>582</v>
      </c>
      <c r="C104" s="278" t="s">
        <v>583</v>
      </c>
      <c r="D104" s="278" t="s">
        <v>584</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1">
        <f>G30/1000/1000</f>
        <v>6.4834137602684185</v>
      </c>
      <c r="B105" s="282">
        <f>L88</f>
        <v>0.57941333449638521</v>
      </c>
      <c r="C105" s="283">
        <f>G28</f>
        <v>3.2505506963718052</v>
      </c>
      <c r="D105" s="283">
        <f>G29</f>
        <v>3.8649880467315478</v>
      </c>
      <c r="E105" s="284" t="s">
        <v>585</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hidden="1"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74"/>
      <c r="AU107" s="274"/>
      <c r="AV107" s="274"/>
      <c r="AW107" s="274"/>
      <c r="AX107" s="274"/>
      <c r="AY107" s="274"/>
      <c r="AZ107" s="274"/>
      <c r="BA107" s="274"/>
      <c r="BB107" s="274"/>
      <c r="BC107" s="274"/>
      <c r="BD107" s="274"/>
      <c r="BE107" s="274"/>
      <c r="BF107" s="274"/>
      <c r="BG107" s="274"/>
    </row>
    <row r="108" spans="1:71" ht="12.75" hidden="1" x14ac:dyDescent="0.2">
      <c r="A108" s="289" t="s">
        <v>586</v>
      </c>
      <c r="B108" s="290"/>
      <c r="C108" s="290">
        <f>C109*$B$111*$B$112*1000</f>
        <v>1323488.7198720002</v>
      </c>
      <c r="D108" s="290">
        <f t="shared" ref="D108:AP108" si="36">D109*$B$111*$B$112*1000</f>
        <v>2646977.4397440003</v>
      </c>
      <c r="E108" s="290">
        <f>E109*$B$111*$B$112*1000</f>
        <v>4010571.8784000012</v>
      </c>
      <c r="F108" s="290">
        <f t="shared" si="36"/>
        <v>4010571.8784000012</v>
      </c>
      <c r="G108" s="290">
        <f t="shared" si="36"/>
        <v>4010571.8784000012</v>
      </c>
      <c r="H108" s="290">
        <f t="shared" si="36"/>
        <v>4010571.8784000012</v>
      </c>
      <c r="I108" s="290">
        <f t="shared" si="36"/>
        <v>4010571.8784000012</v>
      </c>
      <c r="J108" s="290">
        <f t="shared" si="36"/>
        <v>4010571.8784000012</v>
      </c>
      <c r="K108" s="290">
        <f t="shared" si="36"/>
        <v>4010571.8784000012</v>
      </c>
      <c r="L108" s="290">
        <f t="shared" si="36"/>
        <v>4010571.8784000012</v>
      </c>
      <c r="M108" s="290">
        <f t="shared" si="36"/>
        <v>4010571.8784000012</v>
      </c>
      <c r="N108" s="290">
        <f t="shared" si="36"/>
        <v>4010571.8784000012</v>
      </c>
      <c r="O108" s="290">
        <f t="shared" si="36"/>
        <v>4010571.8784000012</v>
      </c>
      <c r="P108" s="290">
        <f t="shared" si="36"/>
        <v>4010571.8784000012</v>
      </c>
      <c r="Q108" s="290">
        <f t="shared" si="36"/>
        <v>4010571.8784000012</v>
      </c>
      <c r="R108" s="290">
        <f t="shared" si="36"/>
        <v>4010571.8784000012</v>
      </c>
      <c r="S108" s="290">
        <f t="shared" si="36"/>
        <v>4010571.8784000012</v>
      </c>
      <c r="T108" s="290">
        <f t="shared" si="36"/>
        <v>4010571.8784000012</v>
      </c>
      <c r="U108" s="290">
        <f t="shared" si="36"/>
        <v>4010571.8784000012</v>
      </c>
      <c r="V108" s="290">
        <f t="shared" si="36"/>
        <v>4010571.8784000012</v>
      </c>
      <c r="W108" s="290">
        <f t="shared" si="36"/>
        <v>4010571.8784000012</v>
      </c>
      <c r="X108" s="290">
        <f t="shared" si="36"/>
        <v>4010571.8784000012</v>
      </c>
      <c r="Y108" s="290">
        <f t="shared" si="36"/>
        <v>4010571.8784000012</v>
      </c>
      <c r="Z108" s="290">
        <f t="shared" si="36"/>
        <v>4010571.8784000012</v>
      </c>
      <c r="AA108" s="290">
        <f t="shared" si="36"/>
        <v>4010571.8784000012</v>
      </c>
      <c r="AB108" s="290">
        <f t="shared" si="36"/>
        <v>4010571.8784000012</v>
      </c>
      <c r="AC108" s="290">
        <f t="shared" si="36"/>
        <v>4010571.8784000012</v>
      </c>
      <c r="AD108" s="290">
        <f t="shared" si="36"/>
        <v>4010571.8784000012</v>
      </c>
      <c r="AE108" s="290">
        <f t="shared" si="36"/>
        <v>4010571.8784000012</v>
      </c>
      <c r="AF108" s="290">
        <f t="shared" si="36"/>
        <v>4010571.8784000012</v>
      </c>
      <c r="AG108" s="290">
        <f t="shared" si="36"/>
        <v>4010571.8784000012</v>
      </c>
      <c r="AH108" s="290">
        <f t="shared" si="36"/>
        <v>4010571.8784000012</v>
      </c>
      <c r="AI108" s="290">
        <f t="shared" si="36"/>
        <v>4010571.8784000012</v>
      </c>
      <c r="AJ108" s="290">
        <f t="shared" si="36"/>
        <v>4010571.8784000012</v>
      </c>
      <c r="AK108" s="290">
        <f t="shared" si="36"/>
        <v>4010571.8784000012</v>
      </c>
      <c r="AL108" s="290">
        <f t="shared" si="36"/>
        <v>4010571.8784000012</v>
      </c>
      <c r="AM108" s="290">
        <f t="shared" si="36"/>
        <v>4010571.8784000012</v>
      </c>
      <c r="AN108" s="290">
        <f t="shared" si="36"/>
        <v>4010571.8784000012</v>
      </c>
      <c r="AO108" s="290">
        <f t="shared" si="36"/>
        <v>4010571.8784000012</v>
      </c>
      <c r="AP108" s="290">
        <f t="shared" si="36"/>
        <v>4010571.8784000012</v>
      </c>
      <c r="AT108" s="274"/>
      <c r="AU108" s="274"/>
      <c r="AV108" s="274"/>
      <c r="AW108" s="274"/>
      <c r="AX108" s="274"/>
      <c r="AY108" s="274"/>
      <c r="AZ108" s="274"/>
      <c r="BA108" s="274"/>
      <c r="BB108" s="274"/>
      <c r="BC108" s="274"/>
      <c r="BD108" s="274"/>
      <c r="BE108" s="274"/>
      <c r="BF108" s="274"/>
      <c r="BG108" s="274"/>
    </row>
    <row r="109" spans="1:71" ht="12.75" hidden="1" x14ac:dyDescent="0.2">
      <c r="A109" s="289" t="s">
        <v>587</v>
      </c>
      <c r="B109" s="288"/>
      <c r="C109" s="288">
        <f>B109+$I$120*C113</f>
        <v>0.24552000000000004</v>
      </c>
      <c r="D109" s="288">
        <f>C109+$I$120*D113</f>
        <v>0.49104000000000009</v>
      </c>
      <c r="E109" s="288">
        <f t="shared" ref="E109:AP109" si="37">D109+$I$120*E113</f>
        <v>0.74400000000000022</v>
      </c>
      <c r="F109" s="288">
        <f t="shared" si="37"/>
        <v>0.74400000000000022</v>
      </c>
      <c r="G109" s="288">
        <f t="shared" si="37"/>
        <v>0.74400000000000022</v>
      </c>
      <c r="H109" s="288">
        <f t="shared" si="37"/>
        <v>0.74400000000000022</v>
      </c>
      <c r="I109" s="288">
        <f t="shared" si="37"/>
        <v>0.74400000000000022</v>
      </c>
      <c r="J109" s="288">
        <f t="shared" si="37"/>
        <v>0.74400000000000022</v>
      </c>
      <c r="K109" s="288">
        <f t="shared" si="37"/>
        <v>0.74400000000000022</v>
      </c>
      <c r="L109" s="288">
        <f t="shared" si="37"/>
        <v>0.74400000000000022</v>
      </c>
      <c r="M109" s="288">
        <f t="shared" si="37"/>
        <v>0.74400000000000022</v>
      </c>
      <c r="N109" s="288">
        <f t="shared" si="37"/>
        <v>0.74400000000000022</v>
      </c>
      <c r="O109" s="288">
        <f t="shared" si="37"/>
        <v>0.74400000000000022</v>
      </c>
      <c r="P109" s="288">
        <f t="shared" si="37"/>
        <v>0.74400000000000022</v>
      </c>
      <c r="Q109" s="288">
        <f t="shared" si="37"/>
        <v>0.74400000000000022</v>
      </c>
      <c r="R109" s="288">
        <f t="shared" si="37"/>
        <v>0.74400000000000022</v>
      </c>
      <c r="S109" s="288">
        <f t="shared" si="37"/>
        <v>0.74400000000000022</v>
      </c>
      <c r="T109" s="288">
        <f t="shared" si="37"/>
        <v>0.74400000000000022</v>
      </c>
      <c r="U109" s="288">
        <f t="shared" si="37"/>
        <v>0.74400000000000022</v>
      </c>
      <c r="V109" s="288">
        <f t="shared" si="37"/>
        <v>0.74400000000000022</v>
      </c>
      <c r="W109" s="288">
        <f t="shared" si="37"/>
        <v>0.74400000000000022</v>
      </c>
      <c r="X109" s="288">
        <f t="shared" si="37"/>
        <v>0.74400000000000022</v>
      </c>
      <c r="Y109" s="288">
        <f t="shared" si="37"/>
        <v>0.74400000000000022</v>
      </c>
      <c r="Z109" s="288">
        <f t="shared" si="37"/>
        <v>0.74400000000000022</v>
      </c>
      <c r="AA109" s="288">
        <f t="shared" si="37"/>
        <v>0.74400000000000022</v>
      </c>
      <c r="AB109" s="288">
        <f t="shared" si="37"/>
        <v>0.74400000000000022</v>
      </c>
      <c r="AC109" s="288">
        <f t="shared" si="37"/>
        <v>0.74400000000000022</v>
      </c>
      <c r="AD109" s="288">
        <f t="shared" si="37"/>
        <v>0.74400000000000022</v>
      </c>
      <c r="AE109" s="288">
        <f t="shared" si="37"/>
        <v>0.74400000000000022</v>
      </c>
      <c r="AF109" s="288">
        <f t="shared" si="37"/>
        <v>0.74400000000000022</v>
      </c>
      <c r="AG109" s="288">
        <f t="shared" si="37"/>
        <v>0.74400000000000022</v>
      </c>
      <c r="AH109" s="288">
        <f t="shared" si="37"/>
        <v>0.74400000000000022</v>
      </c>
      <c r="AI109" s="288">
        <f t="shared" si="37"/>
        <v>0.74400000000000022</v>
      </c>
      <c r="AJ109" s="288">
        <f t="shared" si="37"/>
        <v>0.74400000000000022</v>
      </c>
      <c r="AK109" s="288">
        <f t="shared" si="37"/>
        <v>0.74400000000000022</v>
      </c>
      <c r="AL109" s="288">
        <f t="shared" si="37"/>
        <v>0.74400000000000022</v>
      </c>
      <c r="AM109" s="288">
        <f t="shared" si="37"/>
        <v>0.74400000000000022</v>
      </c>
      <c r="AN109" s="288">
        <f t="shared" si="37"/>
        <v>0.74400000000000022</v>
      </c>
      <c r="AO109" s="288">
        <f t="shared" si="37"/>
        <v>0.74400000000000022</v>
      </c>
      <c r="AP109" s="288">
        <f t="shared" si="37"/>
        <v>0.74400000000000022</v>
      </c>
      <c r="AT109" s="274"/>
      <c r="AU109" s="274"/>
      <c r="AV109" s="274"/>
      <c r="AW109" s="274"/>
      <c r="AX109" s="274"/>
      <c r="AY109" s="274"/>
      <c r="AZ109" s="274"/>
      <c r="BA109" s="274"/>
      <c r="BB109" s="274"/>
      <c r="BC109" s="274"/>
      <c r="BD109" s="274"/>
      <c r="BE109" s="274"/>
      <c r="BF109" s="274"/>
      <c r="BG109" s="274"/>
    </row>
    <row r="110" spans="1:71" ht="12.75" hidden="1" x14ac:dyDescent="0.2">
      <c r="A110" s="289" t="s">
        <v>588</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hidden="1" x14ac:dyDescent="0.2">
      <c r="A111" s="289" t="s">
        <v>589</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hidden="1" x14ac:dyDescent="0.2">
      <c r="A112" s="289" t="s">
        <v>590</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hidden="1" x14ac:dyDescent="0.2">
      <c r="A113" s="292" t="s">
        <v>591</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hidden="1"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6"/>
      <c r="B116" s="426" t="s">
        <v>592</v>
      </c>
      <c r="C116" s="427"/>
      <c r="D116" s="426" t="s">
        <v>593</v>
      </c>
      <c r="E116" s="427"/>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9" t="s">
        <v>594</v>
      </c>
      <c r="B117" s="295">
        <v>0</v>
      </c>
      <c r="C117" s="286" t="s">
        <v>595</v>
      </c>
      <c r="D117" s="295">
        <v>0.8</v>
      </c>
      <c r="E117" s="286" t="s">
        <v>595</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9" t="s">
        <v>594</v>
      </c>
      <c r="B118" s="286">
        <f>$B$110*B117</f>
        <v>0</v>
      </c>
      <c r="C118" s="286" t="s">
        <v>133</v>
      </c>
      <c r="D118" s="286">
        <f>$B$110*D117</f>
        <v>0.74400000000000011</v>
      </c>
      <c r="E118" s="286" t="s">
        <v>133</v>
      </c>
      <c r="F118" s="289" t="s">
        <v>596</v>
      </c>
      <c r="G118" s="286">
        <f>D117-B117</f>
        <v>0.8</v>
      </c>
      <c r="H118" s="286" t="s">
        <v>595</v>
      </c>
      <c r="I118" s="296">
        <f>$B$110*G118</f>
        <v>0.74400000000000011</v>
      </c>
      <c r="J118" s="286" t="s">
        <v>133</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6"/>
      <c r="B119" s="286"/>
      <c r="C119" s="286"/>
      <c r="D119" s="286"/>
      <c r="E119" s="286"/>
      <c r="F119" s="289" t="s">
        <v>597</v>
      </c>
      <c r="G119" s="286">
        <f>I119/$B$110</f>
        <v>0</v>
      </c>
      <c r="H119" s="286" t="s">
        <v>595</v>
      </c>
      <c r="I119" s="295"/>
      <c r="J119" s="286" t="s">
        <v>133</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7"/>
      <c r="B120" s="298"/>
      <c r="C120" s="298"/>
      <c r="D120" s="298"/>
      <c r="E120" s="298"/>
      <c r="F120" s="299" t="s">
        <v>598</v>
      </c>
      <c r="G120" s="296">
        <f>G118</f>
        <v>0.8</v>
      </c>
      <c r="H120" s="286" t="s">
        <v>595</v>
      </c>
      <c r="I120" s="291">
        <f>I118</f>
        <v>0.74400000000000011</v>
      </c>
      <c r="J120" s="286" t="s">
        <v>133</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hidden="1"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hidden="1" x14ac:dyDescent="0.2">
      <c r="A122" s="301" t="s">
        <v>599</v>
      </c>
      <c r="B122" s="302">
        <v>24.174724571074378</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hidden="1" x14ac:dyDescent="0.2">
      <c r="A123" s="301" t="s">
        <v>349</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hidden="1" x14ac:dyDescent="0.2">
      <c r="A124" s="301" t="s">
        <v>600</v>
      </c>
      <c r="B124" s="303" t="s">
        <v>612</v>
      </c>
      <c r="C124" s="304" t="s">
        <v>601</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hidden="1"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hidden="1" x14ac:dyDescent="0.2">
      <c r="A126" s="301" t="s">
        <v>602</v>
      </c>
      <c r="B126" s="309">
        <f>$B$122*1000*1000</f>
        <v>24174724.571074378</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hidden="1" x14ac:dyDescent="0.2">
      <c r="A127" s="301" t="s">
        <v>603</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hidden="1"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hidden="1" x14ac:dyDescent="0.2">
      <c r="A129" s="301" t="s">
        <v>604</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hidden="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hidden="1" x14ac:dyDescent="0.2">
      <c r="A131" s="315" t="s">
        <v>605</v>
      </c>
      <c r="B131" s="316">
        <v>1.23072</v>
      </c>
      <c r="C131" s="284" t="s">
        <v>606</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hidden="1" x14ac:dyDescent="0.2">
      <c r="A132" s="315" t="s">
        <v>607</v>
      </c>
      <c r="B132" s="316">
        <v>1.20268</v>
      </c>
      <c r="C132" s="284" t="s">
        <v>606</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hidden="1"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hidden="1" x14ac:dyDescent="0.2">
      <c r="A134" s="301" t="s">
        <v>608</v>
      </c>
      <c r="C134" s="308" t="s">
        <v>609</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hidden="1" x14ac:dyDescent="0.2">
      <c r="A135" s="301"/>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hidden="1" x14ac:dyDescent="0.2">
      <c r="A136" s="301" t="s">
        <v>610</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32" customFormat="1" ht="15" hidden="1" x14ac:dyDescent="0.2">
      <c r="A137" s="301" t="s">
        <v>611</v>
      </c>
      <c r="B137" s="320"/>
      <c r="C137" s="234">
        <f>(1+B137)*(1+C136)-1</f>
        <v>5.8000000000000052E-2</v>
      </c>
      <c r="D137" s="234">
        <f t="shared" ref="D137:AY137" si="40">(1+C137)*(1+D136)-1</f>
        <v>0.11619000000000002</v>
      </c>
      <c r="E137" s="234">
        <f t="shared" si="40"/>
        <v>0.17758045</v>
      </c>
      <c r="F137" s="234">
        <f t="shared" si="40"/>
        <v>0.24234737475000001</v>
      </c>
      <c r="G137" s="234">
        <f t="shared" si="40"/>
        <v>0.31067648036124984</v>
      </c>
      <c r="H137" s="234">
        <f t="shared" si="40"/>
        <v>0.38276368678111861</v>
      </c>
      <c r="I137" s="234">
        <f t="shared" si="40"/>
        <v>0.45881568955408003</v>
      </c>
      <c r="J137" s="234">
        <f t="shared" si="40"/>
        <v>0.53905055247955436</v>
      </c>
      <c r="K137" s="234">
        <f t="shared" si="40"/>
        <v>0.62369833286592979</v>
      </c>
      <c r="L137" s="234">
        <f t="shared" si="40"/>
        <v>0.71300174117355586</v>
      </c>
      <c r="M137" s="234">
        <f t="shared" si="40"/>
        <v>0.80721683693810142</v>
      </c>
      <c r="N137" s="234">
        <f t="shared" si="40"/>
        <v>0.90661376296969687</v>
      </c>
      <c r="O137" s="234">
        <f t="shared" si="40"/>
        <v>1.0114775199330301</v>
      </c>
      <c r="P137" s="234">
        <f t="shared" si="40"/>
        <v>1.1221087835293466</v>
      </c>
      <c r="Q137" s="234">
        <f t="shared" si="40"/>
        <v>1.2388247666234604</v>
      </c>
      <c r="R137" s="234">
        <f t="shared" si="40"/>
        <v>1.3619601287877505</v>
      </c>
      <c r="S137" s="234">
        <f t="shared" si="40"/>
        <v>1.4918679358710767</v>
      </c>
      <c r="T137" s="234">
        <f t="shared" si="40"/>
        <v>1.6289206723439857</v>
      </c>
      <c r="U137" s="234">
        <f t="shared" si="40"/>
        <v>1.7735113093229047</v>
      </c>
      <c r="V137" s="234">
        <f t="shared" si="40"/>
        <v>1.9260544313356642</v>
      </c>
      <c r="W137" s="234">
        <f t="shared" si="40"/>
        <v>2.0869874250591254</v>
      </c>
      <c r="X137" s="234">
        <f t="shared" si="40"/>
        <v>2.2567717334373771</v>
      </c>
      <c r="Y137" s="234">
        <f t="shared" si="40"/>
        <v>2.4358941787764326</v>
      </c>
      <c r="Z137" s="234">
        <f t="shared" si="40"/>
        <v>2.6248683586091359</v>
      </c>
      <c r="AA137" s="234">
        <f t="shared" si="40"/>
        <v>2.8242361183326383</v>
      </c>
      <c r="AB137" s="234">
        <f t="shared" si="40"/>
        <v>3.0345691048409336</v>
      </c>
      <c r="AC137" s="234">
        <f t="shared" si="40"/>
        <v>3.2564704056071845</v>
      </c>
      <c r="AD137" s="234">
        <f t="shared" si="40"/>
        <v>3.4905762779155793</v>
      </c>
      <c r="AE137" s="234">
        <f t="shared" si="40"/>
        <v>3.7375579732009356</v>
      </c>
      <c r="AF137" s="234">
        <f t="shared" si="40"/>
        <v>3.9981236617269866</v>
      </c>
      <c r="AG137" s="234">
        <f t="shared" si="40"/>
        <v>4.2730204631219708</v>
      </c>
      <c r="AH137" s="234">
        <f t="shared" si="40"/>
        <v>4.563036588593679</v>
      </c>
      <c r="AI137" s="234">
        <f t="shared" si="40"/>
        <v>4.8690036009663311</v>
      </c>
      <c r="AJ137" s="234">
        <f t="shared" si="40"/>
        <v>5.1917987990194794</v>
      </c>
      <c r="AK137" s="234">
        <f t="shared" si="40"/>
        <v>5.5323477329655502</v>
      </c>
      <c r="AL137" s="234">
        <f t="shared" si="40"/>
        <v>5.8916268582786548</v>
      </c>
      <c r="AM137" s="234">
        <f t="shared" si="40"/>
        <v>6.2706663354839804</v>
      </c>
      <c r="AN137" s="234">
        <f t="shared" si="40"/>
        <v>6.6705529839355986</v>
      </c>
      <c r="AO137" s="234">
        <f t="shared" si="40"/>
        <v>7.0924333980520569</v>
      </c>
      <c r="AP137" s="234">
        <f t="shared" si="40"/>
        <v>7.5375172349449198</v>
      </c>
      <c r="AQ137" s="234">
        <f t="shared" si="40"/>
        <v>8.0070806828668903</v>
      </c>
      <c r="AR137" s="234">
        <f t="shared" si="40"/>
        <v>8.5024701204245687</v>
      </c>
      <c r="AS137" s="234">
        <f t="shared" si="40"/>
        <v>9.0251059770479198</v>
      </c>
      <c r="AT137" s="234">
        <f t="shared" si="40"/>
        <v>9.5764868057855548</v>
      </c>
      <c r="AU137" s="234">
        <f t="shared" si="40"/>
        <v>10.15819358010376</v>
      </c>
      <c r="AV137" s="234">
        <f t="shared" si="40"/>
        <v>10.771894227009465</v>
      </c>
      <c r="AW137" s="234">
        <f>(1+AV137)*(1+AW136)-1</f>
        <v>11.419348409494985</v>
      </c>
      <c r="AX137" s="234">
        <f t="shared" si="40"/>
        <v>12.102412572017208</v>
      </c>
      <c r="AY137" s="234">
        <f t="shared" si="40"/>
        <v>12.823045263478154</v>
      </c>
    </row>
    <row r="138" spans="1:71" s="232" customFormat="1" hidden="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hidden="1" x14ac:dyDescent="0.2">
      <c r="A139" s="300"/>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hidden="1" x14ac:dyDescent="0.2">
      <c r="A140" s="300"/>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hidden="1" x14ac:dyDescent="0.2">
      <c r="A141" s="300"/>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hidden="1"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hidden="1"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hidden="1"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hidden="1"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hidden="1"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hidden="1"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hidden="1"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hidden="1"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hidden="1"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hidden="1"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hidden="1"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hidden="1"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hidden="1"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D28" sqref="D28"/>
    </sheetView>
  </sheetViews>
  <sheetFormatPr defaultRowHeight="15.75" x14ac:dyDescent="0.25"/>
  <cols>
    <col min="1" max="1" width="9.140625" style="70"/>
    <col min="2" max="2" width="37.7109375" style="354" customWidth="1"/>
    <col min="3" max="4" width="16.140625" style="346"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8" t="str">
        <f>'1. паспорт местоположение'!A5:C5</f>
        <v>Год раскрытия информации: 2016 год</v>
      </c>
      <c r="B5" s="378"/>
      <c r="C5" s="378"/>
      <c r="D5" s="378"/>
      <c r="E5" s="378"/>
      <c r="F5" s="378"/>
      <c r="G5" s="378"/>
      <c r="H5" s="378"/>
      <c r="I5" s="378"/>
      <c r="J5" s="378"/>
      <c r="K5" s="378"/>
      <c r="L5" s="378"/>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82" t="s">
        <v>10</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4" t="str">
        <f>'1. паспорт местоположение'!A9:C9</f>
        <v xml:space="preserve">                         АО "Янтарьэнерго"                         </v>
      </c>
      <c r="B9" s="384"/>
      <c r="C9" s="384"/>
      <c r="D9" s="384"/>
      <c r="E9" s="384"/>
      <c r="F9" s="384"/>
      <c r="G9" s="384"/>
      <c r="H9" s="384"/>
      <c r="I9" s="384"/>
      <c r="J9" s="384"/>
      <c r="K9" s="384"/>
      <c r="L9" s="384"/>
    </row>
    <row r="10" spans="1:44" x14ac:dyDescent="0.25">
      <c r="A10" s="379" t="s">
        <v>9</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4" t="str">
        <f>'1. паспорт местоположение'!A12:C12</f>
        <v>F_prj_111001_5326</v>
      </c>
      <c r="B12" s="384"/>
      <c r="C12" s="384"/>
      <c r="D12" s="384"/>
      <c r="E12" s="384"/>
      <c r="F12" s="384"/>
      <c r="G12" s="384"/>
      <c r="H12" s="384"/>
      <c r="I12" s="384"/>
      <c r="J12" s="384"/>
      <c r="K12" s="384"/>
      <c r="L12" s="384"/>
    </row>
    <row r="13" spans="1:44" x14ac:dyDescent="0.25">
      <c r="A13" s="379" t="s">
        <v>8</v>
      </c>
      <c r="B13" s="379"/>
      <c r="C13" s="379"/>
      <c r="D13" s="379"/>
      <c r="E13" s="379"/>
      <c r="F13" s="379"/>
      <c r="G13" s="379"/>
      <c r="H13" s="379"/>
      <c r="I13" s="379"/>
      <c r="J13" s="379"/>
      <c r="K13" s="379"/>
      <c r="L13" s="379"/>
    </row>
    <row r="14" spans="1:44" ht="18.75" x14ac:dyDescent="0.25">
      <c r="A14" s="388"/>
      <c r="B14" s="388"/>
      <c r="C14" s="388"/>
      <c r="D14" s="388"/>
      <c r="E14" s="388"/>
      <c r="F14" s="388"/>
      <c r="G14" s="388"/>
      <c r="H14" s="388"/>
      <c r="I14" s="388"/>
      <c r="J14" s="388"/>
      <c r="K14" s="388"/>
      <c r="L14" s="388"/>
    </row>
    <row r="15" spans="1:44" x14ac:dyDescent="0.25">
      <c r="A15" s="389"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89"/>
      <c r="C15" s="389"/>
      <c r="D15" s="389"/>
      <c r="E15" s="389"/>
      <c r="F15" s="389"/>
      <c r="G15" s="389"/>
      <c r="H15" s="389"/>
      <c r="I15" s="389"/>
      <c r="J15" s="389"/>
      <c r="K15" s="389"/>
      <c r="L15" s="389"/>
    </row>
    <row r="16" spans="1:44" x14ac:dyDescent="0.25">
      <c r="A16" s="379" t="s">
        <v>7</v>
      </c>
      <c r="B16" s="379"/>
      <c r="C16" s="379"/>
      <c r="D16" s="379"/>
      <c r="E16" s="379"/>
      <c r="F16" s="379"/>
      <c r="G16" s="379"/>
      <c r="H16" s="379"/>
      <c r="I16" s="379"/>
      <c r="J16" s="379"/>
      <c r="K16" s="379"/>
      <c r="L16" s="379"/>
    </row>
    <row r="17" spans="1:12" ht="15.75" customHeight="1" x14ac:dyDescent="0.25">
      <c r="L17" s="100"/>
    </row>
    <row r="18" spans="1:12" x14ac:dyDescent="0.25">
      <c r="K18" s="99"/>
    </row>
    <row r="19" spans="1:12" ht="15.75" customHeight="1" x14ac:dyDescent="0.25">
      <c r="A19" s="449" t="s">
        <v>508</v>
      </c>
      <c r="B19" s="449"/>
      <c r="C19" s="449"/>
      <c r="D19" s="449"/>
      <c r="E19" s="449"/>
      <c r="F19" s="449"/>
      <c r="G19" s="449"/>
      <c r="H19" s="449"/>
      <c r="I19" s="449"/>
      <c r="J19" s="449"/>
      <c r="K19" s="449"/>
      <c r="L19" s="449"/>
    </row>
    <row r="20" spans="1:12" x14ac:dyDescent="0.25">
      <c r="A20" s="72"/>
      <c r="B20" s="345"/>
      <c r="C20" s="347"/>
      <c r="D20" s="347"/>
      <c r="E20" s="98"/>
      <c r="F20" s="98"/>
      <c r="G20" s="98"/>
      <c r="H20" s="98"/>
      <c r="I20" s="98"/>
      <c r="J20" s="98"/>
      <c r="K20" s="98"/>
      <c r="L20" s="98"/>
    </row>
    <row r="21" spans="1:12" ht="28.5" customHeight="1" x14ac:dyDescent="0.25">
      <c r="A21" s="439" t="s">
        <v>226</v>
      </c>
      <c r="B21" s="439" t="s">
        <v>225</v>
      </c>
      <c r="C21" s="445" t="s">
        <v>440</v>
      </c>
      <c r="D21" s="445"/>
      <c r="E21" s="445"/>
      <c r="F21" s="445"/>
      <c r="G21" s="445"/>
      <c r="H21" s="445"/>
      <c r="I21" s="440" t="s">
        <v>224</v>
      </c>
      <c r="J21" s="442" t="s">
        <v>442</v>
      </c>
      <c r="K21" s="439" t="s">
        <v>223</v>
      </c>
      <c r="L21" s="441" t="s">
        <v>441</v>
      </c>
    </row>
    <row r="22" spans="1:12" ht="58.5" customHeight="1" x14ac:dyDescent="0.25">
      <c r="A22" s="439"/>
      <c r="B22" s="439"/>
      <c r="C22" s="446" t="s">
        <v>3</v>
      </c>
      <c r="D22" s="446"/>
      <c r="E22" s="155"/>
      <c r="F22" s="156"/>
      <c r="G22" s="447" t="s">
        <v>2</v>
      </c>
      <c r="H22" s="448"/>
      <c r="I22" s="440"/>
      <c r="J22" s="443"/>
      <c r="K22" s="439"/>
      <c r="L22" s="441"/>
    </row>
    <row r="23" spans="1:12" ht="47.25" x14ac:dyDescent="0.25">
      <c r="A23" s="439"/>
      <c r="B23" s="439"/>
      <c r="C23" s="335" t="s">
        <v>222</v>
      </c>
      <c r="D23" s="335" t="s">
        <v>221</v>
      </c>
      <c r="E23" s="97" t="s">
        <v>222</v>
      </c>
      <c r="F23" s="97" t="s">
        <v>221</v>
      </c>
      <c r="G23" s="97" t="s">
        <v>222</v>
      </c>
      <c r="H23" s="97" t="s">
        <v>221</v>
      </c>
      <c r="I23" s="440"/>
      <c r="J23" s="444"/>
      <c r="K23" s="439"/>
      <c r="L23" s="441"/>
    </row>
    <row r="24" spans="1:12" x14ac:dyDescent="0.25">
      <c r="A24" s="78">
        <v>1</v>
      </c>
      <c r="B24" s="344">
        <v>2</v>
      </c>
      <c r="C24" s="335">
        <v>3</v>
      </c>
      <c r="D24" s="335">
        <v>4</v>
      </c>
      <c r="E24" s="97">
        <v>5</v>
      </c>
      <c r="F24" s="97">
        <v>6</v>
      </c>
      <c r="G24" s="97">
        <v>7</v>
      </c>
      <c r="H24" s="97">
        <v>8</v>
      </c>
      <c r="I24" s="97">
        <v>9</v>
      </c>
      <c r="J24" s="97">
        <v>10</v>
      </c>
      <c r="K24" s="97">
        <v>11</v>
      </c>
      <c r="L24" s="97">
        <v>12</v>
      </c>
    </row>
    <row r="25" spans="1:12" x14ac:dyDescent="0.25">
      <c r="A25" s="91">
        <v>1</v>
      </c>
      <c r="B25" s="355" t="s">
        <v>220</v>
      </c>
      <c r="C25" s="348"/>
      <c r="D25" s="349"/>
      <c r="E25" s="96"/>
      <c r="F25" s="96"/>
      <c r="G25" s="96"/>
      <c r="H25" s="96"/>
      <c r="I25" s="96"/>
      <c r="J25" s="96"/>
      <c r="K25" s="90"/>
      <c r="L25" s="109"/>
    </row>
    <row r="26" spans="1:12" ht="21.75" customHeight="1" x14ac:dyDescent="0.25">
      <c r="A26" s="91" t="s">
        <v>219</v>
      </c>
      <c r="B26" s="356" t="s">
        <v>447</v>
      </c>
      <c r="C26" s="350">
        <v>0</v>
      </c>
      <c r="D26" s="350">
        <v>0</v>
      </c>
      <c r="E26" s="96"/>
      <c r="F26" s="96"/>
      <c r="G26" s="96"/>
      <c r="H26" s="96"/>
      <c r="I26" s="96"/>
      <c r="J26" s="96"/>
      <c r="K26" s="90"/>
      <c r="L26" s="90"/>
    </row>
    <row r="27" spans="1:12" s="74" customFormat="1" ht="39" customHeight="1" x14ac:dyDescent="0.25">
      <c r="A27" s="91" t="s">
        <v>218</v>
      </c>
      <c r="B27" s="356" t="s">
        <v>449</v>
      </c>
      <c r="C27" s="350">
        <v>0</v>
      </c>
      <c r="D27" s="350">
        <v>0</v>
      </c>
      <c r="E27" s="96"/>
      <c r="F27" s="96"/>
      <c r="G27" s="96"/>
      <c r="H27" s="96"/>
      <c r="I27" s="96"/>
      <c r="J27" s="96"/>
      <c r="K27" s="90"/>
      <c r="L27" s="90"/>
    </row>
    <row r="28" spans="1:12" s="74" customFormat="1" ht="70.5" customHeight="1" x14ac:dyDescent="0.25">
      <c r="A28" s="91" t="s">
        <v>448</v>
      </c>
      <c r="B28" s="356" t="s">
        <v>453</v>
      </c>
      <c r="C28" s="350">
        <v>0</v>
      </c>
      <c r="D28" s="350">
        <v>0</v>
      </c>
      <c r="E28" s="96"/>
      <c r="F28" s="96"/>
      <c r="G28" s="96"/>
      <c r="H28" s="96"/>
      <c r="I28" s="96"/>
      <c r="J28" s="96"/>
      <c r="K28" s="90"/>
      <c r="L28" s="90"/>
    </row>
    <row r="29" spans="1:12" s="74" customFormat="1" ht="54" customHeight="1" x14ac:dyDescent="0.25">
      <c r="A29" s="91" t="s">
        <v>217</v>
      </c>
      <c r="B29" s="356" t="s">
        <v>452</v>
      </c>
      <c r="C29" s="350">
        <v>0</v>
      </c>
      <c r="D29" s="350">
        <v>0</v>
      </c>
      <c r="E29" s="96"/>
      <c r="F29" s="96"/>
      <c r="G29" s="96"/>
      <c r="H29" s="96"/>
      <c r="I29" s="96"/>
      <c r="J29" s="96"/>
      <c r="K29" s="90"/>
      <c r="L29" s="90"/>
    </row>
    <row r="30" spans="1:12" s="74" customFormat="1" ht="42" customHeight="1" x14ac:dyDescent="0.25">
      <c r="A30" s="91" t="s">
        <v>216</v>
      </c>
      <c r="B30" s="356" t="s">
        <v>454</v>
      </c>
      <c r="C30" s="350">
        <v>0</v>
      </c>
      <c r="D30" s="350">
        <v>0</v>
      </c>
      <c r="E30" s="96"/>
      <c r="F30" s="96"/>
      <c r="G30" s="96"/>
      <c r="H30" s="96"/>
      <c r="I30" s="96"/>
      <c r="J30" s="96"/>
      <c r="K30" s="90"/>
      <c r="L30" s="90"/>
    </row>
    <row r="31" spans="1:12" s="74" customFormat="1" ht="37.5" customHeight="1" x14ac:dyDescent="0.25">
      <c r="A31" s="91" t="s">
        <v>215</v>
      </c>
      <c r="B31" s="356" t="s">
        <v>450</v>
      </c>
      <c r="C31" s="351">
        <v>42917</v>
      </c>
      <c r="D31" s="351">
        <v>42947</v>
      </c>
      <c r="E31" s="96"/>
      <c r="F31" s="96"/>
      <c r="G31" s="96"/>
      <c r="H31" s="96"/>
      <c r="I31" s="96"/>
      <c r="J31" s="96"/>
      <c r="K31" s="90"/>
      <c r="L31" s="90"/>
    </row>
    <row r="32" spans="1:12" s="74" customFormat="1" ht="31.5" x14ac:dyDescent="0.25">
      <c r="A32" s="91" t="s">
        <v>213</v>
      </c>
      <c r="B32" s="356" t="s">
        <v>455</v>
      </c>
      <c r="C32" s="351">
        <v>43040</v>
      </c>
      <c r="D32" s="351">
        <v>43049</v>
      </c>
      <c r="E32" s="96"/>
      <c r="F32" s="96"/>
      <c r="G32" s="96"/>
      <c r="H32" s="96"/>
      <c r="I32" s="96"/>
      <c r="J32" s="96"/>
      <c r="K32" s="90"/>
      <c r="L32" s="90"/>
    </row>
    <row r="33" spans="1:12" s="74" customFormat="1" ht="37.5" customHeight="1" x14ac:dyDescent="0.25">
      <c r="A33" s="91" t="s">
        <v>466</v>
      </c>
      <c r="B33" s="356" t="s">
        <v>378</v>
      </c>
      <c r="C33" s="350" t="s">
        <v>623</v>
      </c>
      <c r="D33" s="350" t="s">
        <v>623</v>
      </c>
      <c r="E33" s="96"/>
      <c r="F33" s="96"/>
      <c r="G33" s="96"/>
      <c r="H33" s="96"/>
      <c r="I33" s="96"/>
      <c r="J33" s="96"/>
      <c r="K33" s="90"/>
      <c r="L33" s="90"/>
    </row>
    <row r="34" spans="1:12" s="74" customFormat="1" ht="47.25" customHeight="1" x14ac:dyDescent="0.25">
      <c r="A34" s="91" t="s">
        <v>467</v>
      </c>
      <c r="B34" s="356" t="s">
        <v>459</v>
      </c>
      <c r="C34" s="350" t="s">
        <v>623</v>
      </c>
      <c r="D34" s="350" t="s">
        <v>623</v>
      </c>
      <c r="E34" s="95"/>
      <c r="F34" s="95"/>
      <c r="G34" s="95"/>
      <c r="H34" s="95"/>
      <c r="I34" s="95"/>
      <c r="J34" s="95"/>
      <c r="K34" s="95"/>
      <c r="L34" s="90"/>
    </row>
    <row r="35" spans="1:12" s="74" customFormat="1" ht="49.5" customHeight="1" x14ac:dyDescent="0.25">
      <c r="A35" s="91" t="s">
        <v>468</v>
      </c>
      <c r="B35" s="356" t="s">
        <v>214</v>
      </c>
      <c r="C35" s="350" t="s">
        <v>623</v>
      </c>
      <c r="D35" s="350" t="s">
        <v>623</v>
      </c>
      <c r="E35" s="95"/>
      <c r="F35" s="95"/>
      <c r="G35" s="95"/>
      <c r="H35" s="95"/>
      <c r="I35" s="95"/>
      <c r="J35" s="95"/>
      <c r="K35" s="95"/>
      <c r="L35" s="90"/>
    </row>
    <row r="36" spans="1:12" ht="37.5" customHeight="1" x14ac:dyDescent="0.25">
      <c r="A36" s="91" t="s">
        <v>469</v>
      </c>
      <c r="B36" s="356" t="s">
        <v>451</v>
      </c>
      <c r="C36" s="350" t="s">
        <v>623</v>
      </c>
      <c r="D36" s="350" t="s">
        <v>623</v>
      </c>
      <c r="E36" s="94"/>
      <c r="F36" s="93"/>
      <c r="G36" s="93"/>
      <c r="H36" s="93"/>
      <c r="I36" s="92"/>
      <c r="J36" s="92"/>
      <c r="K36" s="90"/>
      <c r="L36" s="90"/>
    </row>
    <row r="37" spans="1:12" x14ac:dyDescent="0.25">
      <c r="A37" s="91" t="s">
        <v>470</v>
      </c>
      <c r="B37" s="356" t="s">
        <v>212</v>
      </c>
      <c r="C37" s="351">
        <v>42947</v>
      </c>
      <c r="D37" s="351">
        <v>43040</v>
      </c>
      <c r="E37" s="94"/>
      <c r="F37" s="93"/>
      <c r="G37" s="93"/>
      <c r="H37" s="93"/>
      <c r="I37" s="92"/>
      <c r="J37" s="92"/>
      <c r="K37" s="90"/>
      <c r="L37" s="90"/>
    </row>
    <row r="38" spans="1:12" x14ac:dyDescent="0.25">
      <c r="A38" s="91" t="s">
        <v>471</v>
      </c>
      <c r="B38" s="355" t="s">
        <v>211</v>
      </c>
      <c r="C38" s="350"/>
      <c r="D38" s="353"/>
      <c r="E38" s="90"/>
      <c r="F38" s="90"/>
      <c r="G38" s="90"/>
      <c r="H38" s="90"/>
      <c r="I38" s="90"/>
      <c r="J38" s="90"/>
      <c r="K38" s="90"/>
      <c r="L38" s="90"/>
    </row>
    <row r="39" spans="1:12" ht="63" x14ac:dyDescent="0.25">
      <c r="A39" s="91">
        <v>2</v>
      </c>
      <c r="B39" s="356" t="s">
        <v>456</v>
      </c>
      <c r="C39" s="351">
        <v>43115</v>
      </c>
      <c r="D39" s="352">
        <v>43146</v>
      </c>
      <c r="E39" s="90"/>
      <c r="F39" s="90"/>
      <c r="G39" s="90"/>
      <c r="H39" s="90"/>
      <c r="I39" s="90"/>
      <c r="J39" s="90"/>
      <c r="K39" s="90"/>
      <c r="L39" s="90"/>
    </row>
    <row r="40" spans="1:12" ht="33.75" customHeight="1" x14ac:dyDescent="0.25">
      <c r="A40" s="91" t="s">
        <v>210</v>
      </c>
      <c r="B40" s="356" t="s">
        <v>458</v>
      </c>
      <c r="C40" s="351" t="s">
        <v>623</v>
      </c>
      <c r="D40" s="351" t="s">
        <v>623</v>
      </c>
      <c r="E40" s="90"/>
      <c r="F40" s="90"/>
      <c r="G40" s="90"/>
      <c r="H40" s="90"/>
      <c r="I40" s="90"/>
      <c r="J40" s="90"/>
      <c r="K40" s="90"/>
      <c r="L40" s="90"/>
    </row>
    <row r="41" spans="1:12" ht="63" customHeight="1" x14ac:dyDescent="0.25">
      <c r="A41" s="91" t="s">
        <v>209</v>
      </c>
      <c r="B41" s="355" t="s">
        <v>539</v>
      </c>
      <c r="C41" s="351">
        <v>43146</v>
      </c>
      <c r="D41" s="352">
        <v>43266</v>
      </c>
      <c r="E41" s="90"/>
      <c r="F41" s="90"/>
      <c r="G41" s="90"/>
      <c r="H41" s="90"/>
      <c r="I41" s="90"/>
      <c r="J41" s="90"/>
      <c r="K41" s="90"/>
      <c r="L41" s="90"/>
    </row>
    <row r="42" spans="1:12" ht="58.5" customHeight="1" x14ac:dyDescent="0.25">
      <c r="A42" s="91">
        <v>3</v>
      </c>
      <c r="B42" s="356" t="s">
        <v>457</v>
      </c>
      <c r="C42" s="351">
        <v>43146</v>
      </c>
      <c r="D42" s="352">
        <v>43174</v>
      </c>
      <c r="E42" s="90"/>
      <c r="F42" s="90"/>
      <c r="G42" s="90"/>
      <c r="H42" s="90"/>
      <c r="I42" s="90"/>
      <c r="J42" s="90"/>
      <c r="K42" s="90"/>
      <c r="L42" s="90"/>
    </row>
    <row r="43" spans="1:12" ht="34.5" customHeight="1" x14ac:dyDescent="0.25">
      <c r="A43" s="91" t="s">
        <v>208</v>
      </c>
      <c r="B43" s="356" t="s">
        <v>206</v>
      </c>
      <c r="C43" s="351" t="s">
        <v>623</v>
      </c>
      <c r="D43" s="351" t="s">
        <v>623</v>
      </c>
      <c r="E43" s="90"/>
      <c r="F43" s="90"/>
      <c r="G43" s="90"/>
      <c r="H43" s="90"/>
      <c r="I43" s="90"/>
      <c r="J43" s="90"/>
      <c r="K43" s="90"/>
      <c r="L43" s="90"/>
    </row>
    <row r="44" spans="1:12" ht="24.75" customHeight="1" x14ac:dyDescent="0.25">
      <c r="A44" s="91" t="s">
        <v>207</v>
      </c>
      <c r="B44" s="356" t="s">
        <v>204</v>
      </c>
      <c r="C44" s="351" t="s">
        <v>623</v>
      </c>
      <c r="D44" s="351" t="s">
        <v>623</v>
      </c>
      <c r="E44" s="90"/>
      <c r="F44" s="90"/>
      <c r="G44" s="90"/>
      <c r="H44" s="90"/>
      <c r="I44" s="90"/>
      <c r="J44" s="90"/>
      <c r="K44" s="90"/>
      <c r="L44" s="90"/>
    </row>
    <row r="45" spans="1:12" ht="90.75" customHeight="1" x14ac:dyDescent="0.25">
      <c r="A45" s="91" t="s">
        <v>205</v>
      </c>
      <c r="B45" s="356" t="s">
        <v>462</v>
      </c>
      <c r="C45" s="351" t="s">
        <v>623</v>
      </c>
      <c r="D45" s="351" t="s">
        <v>623</v>
      </c>
      <c r="E45" s="90"/>
      <c r="F45" s="90"/>
      <c r="G45" s="90"/>
      <c r="H45" s="90"/>
      <c r="I45" s="90"/>
      <c r="J45" s="90"/>
      <c r="K45" s="90"/>
      <c r="L45" s="90"/>
    </row>
    <row r="46" spans="1:12" ht="167.25" customHeight="1" x14ac:dyDescent="0.25">
      <c r="A46" s="91" t="s">
        <v>203</v>
      </c>
      <c r="B46" s="356" t="s">
        <v>460</v>
      </c>
      <c r="C46" s="351" t="s">
        <v>623</v>
      </c>
      <c r="D46" s="351" t="s">
        <v>623</v>
      </c>
      <c r="E46" s="90"/>
      <c r="F46" s="90"/>
      <c r="G46" s="90"/>
      <c r="H46" s="90"/>
      <c r="I46" s="90"/>
      <c r="J46" s="90"/>
      <c r="K46" s="90"/>
      <c r="L46" s="90"/>
    </row>
    <row r="47" spans="1:12" ht="30.75" customHeight="1" x14ac:dyDescent="0.25">
      <c r="A47" s="91" t="s">
        <v>201</v>
      </c>
      <c r="B47" s="356" t="s">
        <v>202</v>
      </c>
      <c r="C47" s="351">
        <v>43252</v>
      </c>
      <c r="D47" s="352">
        <v>43266</v>
      </c>
      <c r="E47" s="90"/>
      <c r="F47" s="90"/>
      <c r="G47" s="90"/>
      <c r="H47" s="90"/>
      <c r="I47" s="90"/>
      <c r="J47" s="90"/>
      <c r="K47" s="90"/>
      <c r="L47" s="90"/>
    </row>
    <row r="48" spans="1:12" ht="37.5" customHeight="1" x14ac:dyDescent="0.25">
      <c r="A48" s="91" t="s">
        <v>472</v>
      </c>
      <c r="B48" s="355" t="s">
        <v>200</v>
      </c>
      <c r="C48" s="351">
        <v>43252</v>
      </c>
      <c r="D48" s="352">
        <v>43266</v>
      </c>
      <c r="E48" s="90"/>
      <c r="F48" s="90"/>
      <c r="G48" s="90"/>
      <c r="H48" s="90"/>
      <c r="I48" s="90"/>
      <c r="J48" s="90"/>
      <c r="K48" s="90"/>
      <c r="L48" s="90"/>
    </row>
    <row r="49" spans="1:12" ht="35.25" customHeight="1" x14ac:dyDescent="0.25">
      <c r="A49" s="91">
        <v>4</v>
      </c>
      <c r="B49" s="356" t="s">
        <v>198</v>
      </c>
      <c r="C49" s="351">
        <v>43266</v>
      </c>
      <c r="D49" s="352">
        <v>43271</v>
      </c>
      <c r="E49" s="90"/>
      <c r="F49" s="90"/>
      <c r="G49" s="90"/>
      <c r="H49" s="90"/>
      <c r="I49" s="90"/>
      <c r="J49" s="90"/>
      <c r="K49" s="90"/>
      <c r="L49" s="90"/>
    </row>
    <row r="50" spans="1:12" ht="86.25" customHeight="1" x14ac:dyDescent="0.25">
      <c r="A50" s="91" t="s">
        <v>199</v>
      </c>
      <c r="B50" s="356" t="s">
        <v>461</v>
      </c>
      <c r="C50" s="351">
        <v>43266</v>
      </c>
      <c r="D50" s="352">
        <v>43269</v>
      </c>
      <c r="E50" s="90"/>
      <c r="F50" s="90"/>
      <c r="G50" s="90"/>
      <c r="H50" s="90"/>
      <c r="I50" s="90"/>
      <c r="J50" s="90"/>
      <c r="K50" s="90"/>
      <c r="L50" s="90"/>
    </row>
    <row r="51" spans="1:12" ht="77.25" customHeight="1" x14ac:dyDescent="0.25">
      <c r="A51" s="91" t="s">
        <v>197</v>
      </c>
      <c r="B51" s="356" t="s">
        <v>463</v>
      </c>
      <c r="C51" s="351" t="s">
        <v>623</v>
      </c>
      <c r="D51" s="351" t="s">
        <v>623</v>
      </c>
      <c r="E51" s="90"/>
      <c r="F51" s="90"/>
      <c r="G51" s="90"/>
      <c r="H51" s="90"/>
      <c r="I51" s="90"/>
      <c r="J51" s="90"/>
      <c r="K51" s="90"/>
      <c r="L51" s="90"/>
    </row>
    <row r="52" spans="1:12" ht="71.25" customHeight="1" x14ac:dyDescent="0.25">
      <c r="A52" s="91" t="s">
        <v>195</v>
      </c>
      <c r="B52" s="356" t="s">
        <v>196</v>
      </c>
      <c r="C52" s="351">
        <v>43266</v>
      </c>
      <c r="D52" s="351">
        <v>43281</v>
      </c>
      <c r="E52" s="90"/>
      <c r="F52" s="90"/>
      <c r="G52" s="90"/>
      <c r="H52" s="90"/>
      <c r="I52" s="90"/>
      <c r="J52" s="90"/>
      <c r="K52" s="90"/>
      <c r="L52" s="90"/>
    </row>
    <row r="53" spans="1:12" ht="48" customHeight="1" x14ac:dyDescent="0.25">
      <c r="A53" s="91" t="s">
        <v>193</v>
      </c>
      <c r="B53" s="357" t="s">
        <v>464</v>
      </c>
      <c r="C53" s="351">
        <v>43266</v>
      </c>
      <c r="D53" s="351">
        <v>43281</v>
      </c>
      <c r="E53" s="90"/>
      <c r="F53" s="90"/>
      <c r="G53" s="90"/>
      <c r="H53" s="90"/>
      <c r="I53" s="90"/>
      <c r="J53" s="90"/>
      <c r="K53" s="90"/>
      <c r="L53" s="90"/>
    </row>
    <row r="54" spans="1:12" ht="46.5" customHeight="1" x14ac:dyDescent="0.25">
      <c r="A54" s="91" t="s">
        <v>465</v>
      </c>
      <c r="B54" s="356" t="s">
        <v>194</v>
      </c>
      <c r="C54" s="351">
        <v>43266</v>
      </c>
      <c r="D54" s="351">
        <v>43281</v>
      </c>
      <c r="E54" s="90"/>
      <c r="F54" s="90"/>
      <c r="G54" s="90"/>
      <c r="H54" s="90"/>
      <c r="I54" s="90"/>
      <c r="J54" s="90"/>
      <c r="K54" s="90"/>
      <c r="L54"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2016-11-07T14:50:45Z</dcterms:modified>
</cp:coreProperties>
</file>