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3" r:id="rId13"/>
  </sheets>
  <externalReferences>
    <externalReference r:id="rId14"/>
    <externalReference r:id="rId15"/>
    <externalReference r:id="rId16"/>
    <externalReference r:id="rId17"/>
    <externalReference r:id="rId18"/>
  </externalReferences>
  <definedNames>
    <definedName name="_xlnm._FilterDatabase" localSheetId="11" hidden="1">'7. Паспорт отчет о закупке'!$A$25:$AV$270</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закупке'!$A$1:$AV$270</definedName>
    <definedName name="_xlnm.Print_Area" localSheetId="12">'8. Общие сведения'!$A$1:$B$195</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29" i="24" l="1"/>
  <c r="Q37" i="24" l="1"/>
  <c r="Q45" i="24"/>
  <c r="R24" i="24" l="1"/>
  <c r="R48" i="24" l="1"/>
  <c r="R47" i="24"/>
  <c r="R30" i="24"/>
  <c r="AC24" i="24"/>
  <c r="B28" i="23"/>
  <c r="E53" i="16"/>
  <c r="E52" i="16"/>
  <c r="E51" i="16"/>
  <c r="E49" i="16"/>
  <c r="E47" i="16"/>
  <c r="E44" i="16"/>
  <c r="E43" i="16"/>
  <c r="E42" i="16"/>
  <c r="E40" i="16"/>
  <c r="E39" i="16"/>
  <c r="E37" i="16"/>
  <c r="E32" i="16"/>
  <c r="E31" i="16"/>
  <c r="E63" i="27"/>
  <c r="E61" i="27"/>
  <c r="AG25" i="27"/>
  <c r="AG26" i="27"/>
  <c r="AG27" i="27"/>
  <c r="AG28" i="27"/>
  <c r="AG29" i="27"/>
  <c r="AG30" i="27"/>
  <c r="AG31" i="27"/>
  <c r="AG32" i="27"/>
  <c r="AG33" i="27"/>
  <c r="AG34" i="27"/>
  <c r="AG35" i="27"/>
  <c r="AG36" i="27"/>
  <c r="AG37" i="27"/>
  <c r="AG38" i="27"/>
  <c r="AG39" i="27"/>
  <c r="AG40" i="27"/>
  <c r="AG41" i="27"/>
  <c r="AG42" i="27"/>
  <c r="AG43" i="27"/>
  <c r="AG44" i="27"/>
  <c r="AG45" i="27"/>
  <c r="AG46" i="27"/>
  <c r="AG47" i="27"/>
  <c r="AG48" i="27"/>
  <c r="AG49" i="27"/>
  <c r="AG50" i="27"/>
  <c r="AG51" i="27"/>
  <c r="AG52" i="27"/>
  <c r="AG53" i="27"/>
  <c r="AG54" i="27"/>
  <c r="AG55" i="27"/>
  <c r="AG56" i="27"/>
  <c r="AG57" i="27"/>
  <c r="AG58" i="27"/>
  <c r="AG59" i="27"/>
  <c r="AG60" i="27"/>
  <c r="AG61" i="27"/>
  <c r="AG62" i="27"/>
  <c r="AG63" i="27"/>
  <c r="AG64" i="27"/>
  <c r="AG24" i="27"/>
  <c r="D24" i="27"/>
  <c r="E24" i="27"/>
  <c r="C51" i="7"/>
  <c r="AB45" i="27"/>
  <c r="X45" i="27"/>
  <c r="U45" i="27"/>
  <c r="T45" i="27"/>
  <c r="T54" i="27"/>
  <c r="S45" i="27"/>
  <c r="S54" i="27"/>
  <c r="R45" i="27"/>
  <c r="Q45" i="27"/>
  <c r="P45" i="27"/>
  <c r="P54" i="27"/>
  <c r="O45" i="27"/>
  <c r="O54" i="27"/>
  <c r="N45" i="27"/>
  <c r="M45" i="27"/>
  <c r="L45" i="27"/>
  <c r="L54" i="27"/>
  <c r="K45" i="27"/>
  <c r="K54" i="27"/>
  <c r="F45" i="27"/>
  <c r="F54" i="27"/>
  <c r="E45" i="27"/>
  <c r="D45" i="27"/>
  <c r="AB54" i="27"/>
  <c r="X54" i="27"/>
  <c r="E47" i="27"/>
  <c r="AB56" i="27"/>
  <c r="X56" i="27"/>
  <c r="D54" i="27"/>
  <c r="S56" i="27"/>
  <c r="R56" i="27"/>
  <c r="Q56" i="27"/>
  <c r="P56" i="27"/>
  <c r="O56" i="27"/>
  <c r="M56" i="27"/>
  <c r="L56" i="27"/>
  <c r="K56" i="27"/>
  <c r="R54" i="27"/>
  <c r="Q54" i="27"/>
  <c r="N54" i="27"/>
  <c r="M54" i="27"/>
  <c r="E54" i="27"/>
  <c r="AB49" i="27"/>
  <c r="AB48" i="27"/>
  <c r="AB47" i="27"/>
  <c r="X49" i="27"/>
  <c r="X48" i="27"/>
  <c r="X47" i="27"/>
  <c r="T49" i="27"/>
  <c r="S49" i="27"/>
  <c r="R49" i="27"/>
  <c r="Q49" i="27"/>
  <c r="P49" i="27"/>
  <c r="O49" i="27"/>
  <c r="N49" i="27"/>
  <c r="M49" i="27"/>
  <c r="L49" i="27"/>
  <c r="K49" i="27"/>
  <c r="J49" i="27"/>
  <c r="H49" i="27"/>
  <c r="G49" i="27"/>
  <c r="E49" i="27"/>
  <c r="T48" i="27"/>
  <c r="S48" i="27"/>
  <c r="R48" i="27"/>
  <c r="Q48" i="27"/>
  <c r="P48" i="27"/>
  <c r="O48" i="27"/>
  <c r="N48" i="27"/>
  <c r="M48" i="27"/>
  <c r="L48" i="27"/>
  <c r="K48" i="27"/>
  <c r="J48" i="27"/>
  <c r="I48" i="27"/>
  <c r="H48" i="27"/>
  <c r="G48" i="27"/>
  <c r="E48" i="27"/>
  <c r="T47" i="27"/>
  <c r="T56" i="27"/>
  <c r="S47" i="27"/>
  <c r="R47" i="27"/>
  <c r="Q47" i="27"/>
  <c r="P47" i="27"/>
  <c r="O47" i="27"/>
  <c r="N47" i="27"/>
  <c r="N56" i="27"/>
  <c r="M47" i="27"/>
  <c r="L47" i="27"/>
  <c r="K47" i="27"/>
  <c r="J47" i="27"/>
  <c r="H47" i="27"/>
  <c r="G47" i="27"/>
  <c r="D56" i="27"/>
  <c r="D49" i="27"/>
  <c r="D48" i="27"/>
  <c r="D47" i="27"/>
  <c r="D46" i="27"/>
  <c r="E56" i="27"/>
  <c r="R41" i="27"/>
  <c r="R40" i="27"/>
  <c r="R39" i="27"/>
  <c r="R38" i="27"/>
  <c r="R37" i="27"/>
  <c r="R46" i="27"/>
  <c r="N46" i="27"/>
  <c r="D52" i="27"/>
  <c r="K24" i="27"/>
  <c r="J24" i="27"/>
  <c r="H24" i="27"/>
  <c r="G24" i="27"/>
  <c r="P64" i="27"/>
  <c r="L64" i="27"/>
  <c r="J64" i="27"/>
  <c r="I64" i="27"/>
  <c r="H64" i="27"/>
  <c r="G64" i="27"/>
  <c r="C64" i="27"/>
  <c r="D64" i="27"/>
  <c r="F64" i="27"/>
  <c r="P63" i="27"/>
  <c r="AF63" i="27"/>
  <c r="L63" i="27"/>
  <c r="J63" i="27"/>
  <c r="I63" i="27"/>
  <c r="H63" i="27"/>
  <c r="G63" i="27"/>
  <c r="C63" i="27"/>
  <c r="P62" i="27"/>
  <c r="L62" i="27"/>
  <c r="AF62" i="27"/>
  <c r="J62" i="27"/>
  <c r="I62" i="27"/>
  <c r="H62" i="27"/>
  <c r="G62" i="27"/>
  <c r="C62" i="27"/>
  <c r="P61" i="27"/>
  <c r="L61" i="27"/>
  <c r="J61" i="27"/>
  <c r="K61" i="27"/>
  <c r="I61" i="27"/>
  <c r="H61" i="27"/>
  <c r="G61" i="27"/>
  <c r="C61" i="27"/>
  <c r="F61" i="27"/>
  <c r="P60" i="27"/>
  <c r="L60" i="27"/>
  <c r="J60" i="27"/>
  <c r="I60" i="27"/>
  <c r="H60" i="27"/>
  <c r="G60" i="27"/>
  <c r="C60" i="27"/>
  <c r="D60" i="27"/>
  <c r="F60" i="27"/>
  <c r="P59" i="27"/>
  <c r="AF59" i="27"/>
  <c r="L59" i="27"/>
  <c r="J59" i="27"/>
  <c r="I59" i="27"/>
  <c r="H59" i="27"/>
  <c r="G59" i="27"/>
  <c r="C59" i="27"/>
  <c r="P58" i="27"/>
  <c r="L58" i="27"/>
  <c r="AF58" i="27"/>
  <c r="J58" i="27"/>
  <c r="I58" i="27"/>
  <c r="H58" i="27"/>
  <c r="G58" i="27"/>
  <c r="C58" i="27"/>
  <c r="P57" i="27"/>
  <c r="L57" i="27"/>
  <c r="J57" i="27"/>
  <c r="K57" i="27"/>
  <c r="I57" i="27"/>
  <c r="H57" i="27"/>
  <c r="G57" i="27"/>
  <c r="C57" i="27"/>
  <c r="D57" i="27"/>
  <c r="E57" i="27"/>
  <c r="F57" i="27"/>
  <c r="J56" i="27"/>
  <c r="I56" i="27"/>
  <c r="H56" i="27"/>
  <c r="G56" i="27"/>
  <c r="C56" i="27"/>
  <c r="AF55" i="27"/>
  <c r="J55" i="27"/>
  <c r="I55" i="27"/>
  <c r="H55" i="27"/>
  <c r="G55" i="27"/>
  <c r="C55" i="27"/>
  <c r="AF54" i="27"/>
  <c r="J54" i="27"/>
  <c r="I54" i="27"/>
  <c r="H54" i="27"/>
  <c r="G54" i="27"/>
  <c r="C54" i="27"/>
  <c r="P53" i="27"/>
  <c r="L53" i="27"/>
  <c r="J53" i="27"/>
  <c r="K53" i="27"/>
  <c r="I53" i="27"/>
  <c r="H53" i="27"/>
  <c r="G53" i="27"/>
  <c r="C53" i="27"/>
  <c r="D53" i="27"/>
  <c r="E53" i="27"/>
  <c r="F53" i="27"/>
  <c r="P52" i="27"/>
  <c r="L52" i="27"/>
  <c r="J52" i="27"/>
  <c r="I52" i="27"/>
  <c r="H52" i="27"/>
  <c r="G52" i="27"/>
  <c r="C52" i="27"/>
  <c r="F52" i="27"/>
  <c r="P51" i="27"/>
  <c r="AF51" i="27"/>
  <c r="L51" i="27"/>
  <c r="J51" i="27"/>
  <c r="I51" i="27"/>
  <c r="H51" i="27"/>
  <c r="G51" i="27"/>
  <c r="C51" i="27"/>
  <c r="P50" i="27"/>
  <c r="L50" i="27"/>
  <c r="AF50" i="27"/>
  <c r="J50" i="27"/>
  <c r="I50" i="27"/>
  <c r="H50" i="27"/>
  <c r="G50" i="27"/>
  <c r="C50" i="27"/>
  <c r="C49" i="27"/>
  <c r="C48" i="27"/>
  <c r="C47" i="27"/>
  <c r="P46" i="27"/>
  <c r="L46" i="27"/>
  <c r="J46" i="27"/>
  <c r="I46" i="27"/>
  <c r="H46" i="27"/>
  <c r="G46" i="27"/>
  <c r="C46" i="27"/>
  <c r="J45" i="27"/>
  <c r="AF45" i="27" s="1"/>
  <c r="H45" i="27"/>
  <c r="G45" i="27"/>
  <c r="C45" i="27"/>
  <c r="P44" i="27"/>
  <c r="L44" i="27"/>
  <c r="J44" i="27"/>
  <c r="K44" i="27"/>
  <c r="I44" i="27"/>
  <c r="H44" i="27"/>
  <c r="G44" i="27"/>
  <c r="C44" i="27"/>
  <c r="P43" i="27"/>
  <c r="L43" i="27"/>
  <c r="J43" i="27"/>
  <c r="I43" i="27"/>
  <c r="H43" i="27"/>
  <c r="G43" i="27"/>
  <c r="C43" i="27"/>
  <c r="P42" i="27"/>
  <c r="L42" i="27"/>
  <c r="J42" i="27"/>
  <c r="I42" i="27"/>
  <c r="H42" i="27"/>
  <c r="G42" i="27"/>
  <c r="C42" i="27"/>
  <c r="P41" i="27"/>
  <c r="L41" i="27"/>
  <c r="J41" i="27"/>
  <c r="H41" i="27"/>
  <c r="G41" i="27"/>
  <c r="C41" i="27"/>
  <c r="F41" i="27"/>
  <c r="F49" i="27"/>
  <c r="P40" i="27"/>
  <c r="L40" i="27"/>
  <c r="J40" i="27"/>
  <c r="I40" i="27"/>
  <c r="H40" i="27"/>
  <c r="G40" i="27"/>
  <c r="C40" i="27"/>
  <c r="F40" i="27"/>
  <c r="F48" i="27"/>
  <c r="P39" i="27"/>
  <c r="L39" i="27"/>
  <c r="J39" i="27"/>
  <c r="H39" i="27"/>
  <c r="G39" i="27"/>
  <c r="C39" i="27"/>
  <c r="P38" i="27"/>
  <c r="L38" i="27"/>
  <c r="J38" i="27"/>
  <c r="I38" i="27"/>
  <c r="H38" i="27"/>
  <c r="G38" i="27"/>
  <c r="C38" i="27"/>
  <c r="P37" i="27"/>
  <c r="L37" i="27"/>
  <c r="J37" i="27"/>
  <c r="H37" i="27"/>
  <c r="G37" i="27"/>
  <c r="C37" i="27"/>
  <c r="F37" i="27"/>
  <c r="P36" i="27"/>
  <c r="L36" i="27"/>
  <c r="J36" i="27"/>
  <c r="K36" i="27"/>
  <c r="I36" i="27"/>
  <c r="H36" i="27"/>
  <c r="G36" i="27"/>
  <c r="C36" i="27"/>
  <c r="P35" i="27"/>
  <c r="L35" i="27"/>
  <c r="J35" i="27"/>
  <c r="I35" i="27"/>
  <c r="H35" i="27"/>
  <c r="G35" i="27"/>
  <c r="C35" i="27"/>
  <c r="J34" i="27"/>
  <c r="I34" i="27"/>
  <c r="H34" i="27"/>
  <c r="G34" i="27"/>
  <c r="C34" i="27"/>
  <c r="J33" i="27"/>
  <c r="I33" i="27"/>
  <c r="H33" i="27"/>
  <c r="G33" i="27"/>
  <c r="C33" i="27"/>
  <c r="F33" i="27"/>
  <c r="J32" i="27"/>
  <c r="I32" i="27"/>
  <c r="H32" i="27"/>
  <c r="G32" i="27"/>
  <c r="C32" i="27"/>
  <c r="F32" i="27"/>
  <c r="J31" i="27"/>
  <c r="I31" i="27"/>
  <c r="H31" i="27"/>
  <c r="G31" i="27"/>
  <c r="C31" i="27"/>
  <c r="P30" i="27"/>
  <c r="L30" i="27"/>
  <c r="J30" i="27"/>
  <c r="I30" i="27"/>
  <c r="H30" i="27"/>
  <c r="G30" i="27"/>
  <c r="C30" i="27"/>
  <c r="P29" i="27"/>
  <c r="L29" i="27"/>
  <c r="J29" i="27"/>
  <c r="I29" i="27"/>
  <c r="H29" i="27"/>
  <c r="G29" i="27"/>
  <c r="C29" i="27"/>
  <c r="F29" i="27"/>
  <c r="P28" i="27"/>
  <c r="L28" i="27"/>
  <c r="J28" i="27"/>
  <c r="K28" i="27"/>
  <c r="I28" i="27"/>
  <c r="H28" i="27"/>
  <c r="G28" i="27"/>
  <c r="C28" i="27"/>
  <c r="P27" i="27"/>
  <c r="L27" i="27"/>
  <c r="J27" i="27"/>
  <c r="I27" i="27"/>
  <c r="H27" i="27"/>
  <c r="G27" i="27"/>
  <c r="C27" i="27"/>
  <c r="P26" i="27"/>
  <c r="L26" i="27"/>
  <c r="J26" i="27"/>
  <c r="I26" i="27"/>
  <c r="H26" i="27"/>
  <c r="G26" i="27"/>
  <c r="C26" i="27"/>
  <c r="P25" i="27"/>
  <c r="L25" i="27"/>
  <c r="J25" i="27"/>
  <c r="K25" i="27"/>
  <c r="I25" i="27"/>
  <c r="H25" i="27"/>
  <c r="G25" i="27"/>
  <c r="C25" i="27"/>
  <c r="D25" i="27"/>
  <c r="F25" i="27"/>
  <c r="P24" i="27"/>
  <c r="L24" i="27"/>
  <c r="C24" i="27"/>
  <c r="K64" i="27"/>
  <c r="K63" i="27"/>
  <c r="F63" i="27"/>
  <c r="K62" i="27"/>
  <c r="D62" i="27"/>
  <c r="K60" i="27"/>
  <c r="K59" i="27"/>
  <c r="D59" i="27"/>
  <c r="F59" i="27"/>
  <c r="K58" i="27"/>
  <c r="D58" i="27"/>
  <c r="K51" i="27"/>
  <c r="D51" i="27"/>
  <c r="E51" i="27"/>
  <c r="F51" i="27"/>
  <c r="K50" i="27"/>
  <c r="D50" i="27"/>
  <c r="AF48" i="27"/>
  <c r="K46" i="27"/>
  <c r="AF44" i="27"/>
  <c r="D44" i="27"/>
  <c r="E44" i="27"/>
  <c r="F44" i="27"/>
  <c r="K43" i="27"/>
  <c r="D43" i="27"/>
  <c r="D42" i="27"/>
  <c r="AF40" i="27"/>
  <c r="AF36" i="27"/>
  <c r="D36" i="27"/>
  <c r="E36" i="27"/>
  <c r="F36" i="27"/>
  <c r="K35" i="27"/>
  <c r="D35" i="27"/>
  <c r="AF32" i="27"/>
  <c r="AF28" i="27"/>
  <c r="K26" i="27"/>
  <c r="D26" i="27"/>
  <c r="AC24" i="27"/>
  <c r="AB24" i="27"/>
  <c r="Y24" i="27"/>
  <c r="X24" i="27"/>
  <c r="U24" i="27"/>
  <c r="T24" i="27"/>
  <c r="S24" i="27"/>
  <c r="R24" i="27"/>
  <c r="Q24" i="27"/>
  <c r="O24" i="27"/>
  <c r="N24" i="27"/>
  <c r="M24" i="27"/>
  <c r="AF24" i="27"/>
  <c r="I24" i="27"/>
  <c r="F28" i="27"/>
  <c r="F26" i="27"/>
  <c r="F31" i="27"/>
  <c r="F34" i="27"/>
  <c r="F39" i="27"/>
  <c r="F47" i="27"/>
  <c r="F56" i="27"/>
  <c r="AF53" i="27"/>
  <c r="AF57" i="27"/>
  <c r="AF61" i="27"/>
  <c r="E42" i="27"/>
  <c r="F42" i="27"/>
  <c r="F27" i="27"/>
  <c r="F30" i="27"/>
  <c r="E35" i="27"/>
  <c r="F35" i="27"/>
  <c r="F38" i="27"/>
  <c r="E43" i="27"/>
  <c r="F43" i="27"/>
  <c r="E46" i="27"/>
  <c r="F46" i="27"/>
  <c r="AF26" i="27"/>
  <c r="AF27" i="27"/>
  <c r="AF34" i="27"/>
  <c r="AF35" i="27"/>
  <c r="AF42" i="27"/>
  <c r="AF43" i="27"/>
  <c r="AF25" i="27"/>
  <c r="AF33" i="27"/>
  <c r="AF41" i="27"/>
  <c r="AF49" i="27"/>
  <c r="AF30" i="27"/>
  <c r="AF31" i="27"/>
  <c r="AF38" i="27"/>
  <c r="AF39" i="27"/>
  <c r="AF46" i="27"/>
  <c r="AF47" i="27"/>
  <c r="E50" i="27"/>
  <c r="F50" i="27"/>
  <c r="E58" i="27"/>
  <c r="F58" i="27"/>
  <c r="F62" i="27"/>
  <c r="C50" i="7"/>
  <c r="AF29" i="27"/>
  <c r="AF37" i="27"/>
  <c r="AF52" i="27"/>
  <c r="AF56" i="27"/>
  <c r="AF60" i="27"/>
  <c r="AF64" i="27"/>
  <c r="N45" i="24"/>
  <c r="I45" i="27"/>
  <c r="N41" i="24"/>
  <c r="I41" i="27"/>
  <c r="I49" i="27"/>
  <c r="N40" i="24"/>
  <c r="AC40" i="24"/>
  <c r="N39" i="24"/>
  <c r="I39" i="27"/>
  <c r="I47" i="27"/>
  <c r="N37" i="24"/>
  <c r="I37" i="27"/>
  <c r="AC25" i="24"/>
  <c r="AC26" i="24"/>
  <c r="AC27" i="24"/>
  <c r="AC28" i="24"/>
  <c r="AC29" i="24"/>
  <c r="AC30" i="24"/>
  <c r="AC31" i="24"/>
  <c r="AC32" i="24"/>
  <c r="AC33" i="24"/>
  <c r="AC34" i="24"/>
  <c r="AC35" i="24"/>
  <c r="AC36" i="24"/>
  <c r="AC37" i="24"/>
  <c r="AC38"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B24" i="24"/>
  <c r="J49" i="24"/>
  <c r="J48" i="24"/>
  <c r="J47" i="24"/>
  <c r="J41" i="24"/>
  <c r="J40" i="24"/>
  <c r="J39" i="24"/>
  <c r="J34" i="24"/>
  <c r="J33" i="24"/>
  <c r="J32" i="24"/>
  <c r="J31" i="24"/>
  <c r="J24" i="24"/>
  <c r="AC39" i="24"/>
  <c r="F24" i="27"/>
  <c r="F26" i="24"/>
  <c r="E26" i="24"/>
  <c r="E29" i="24"/>
  <c r="F29" i="24"/>
  <c r="E25" i="24"/>
  <c r="F25" i="24"/>
  <c r="E57" i="24"/>
  <c r="E53" i="24"/>
  <c r="E55" i="24"/>
  <c r="E56" i="24"/>
  <c r="AB52" i="24"/>
  <c r="AB53" i="24"/>
  <c r="AB54" i="24"/>
  <c r="AB55" i="24"/>
  <c r="AB56" i="24"/>
  <c r="AB57" i="24"/>
  <c r="C52" i="24"/>
  <c r="E52" i="24"/>
  <c r="E31" i="24"/>
  <c r="E32" i="24"/>
  <c r="E33" i="24"/>
  <c r="E34" i="24"/>
  <c r="E30" i="24"/>
  <c r="G24" i="24"/>
  <c r="J270" i="5"/>
  <c r="I270" i="5"/>
  <c r="K270" i="5"/>
  <c r="G269" i="5"/>
  <c r="G268" i="5"/>
  <c r="G267" i="5"/>
  <c r="G27" i="5"/>
  <c r="G26" i="5"/>
  <c r="B170" i="23"/>
  <c r="B33" i="23"/>
  <c r="B122" i="23"/>
  <c r="B139" i="23"/>
  <c r="B172" i="23"/>
  <c r="B31" i="23"/>
  <c r="AB27" i="24"/>
  <c r="C27" i="24"/>
  <c r="E27" i="24"/>
  <c r="F27" i="24"/>
  <c r="H34" i="24"/>
  <c r="I34" i="24"/>
  <c r="K34" i="24"/>
  <c r="L34" i="24"/>
  <c r="P34" i="24"/>
  <c r="Q34" i="24"/>
  <c r="T34" i="24"/>
  <c r="U34" i="24"/>
  <c r="W34" i="24"/>
  <c r="X34" i="24"/>
  <c r="Y34" i="24"/>
  <c r="H33" i="24"/>
  <c r="I33" i="24"/>
  <c r="K33" i="24"/>
  <c r="L33" i="24"/>
  <c r="P33" i="24"/>
  <c r="Q33" i="24"/>
  <c r="T33" i="24"/>
  <c r="U33" i="24"/>
  <c r="W33" i="24"/>
  <c r="X33" i="24"/>
  <c r="Y33" i="24"/>
  <c r="H32" i="24"/>
  <c r="I32" i="24"/>
  <c r="K32" i="24"/>
  <c r="L32" i="24"/>
  <c r="P32" i="24"/>
  <c r="Q32" i="24"/>
  <c r="T32" i="24"/>
  <c r="U32" i="24"/>
  <c r="W32" i="24"/>
  <c r="X32" i="24"/>
  <c r="Y32" i="24"/>
  <c r="Y31" i="24"/>
  <c r="X31" i="24"/>
  <c r="W31" i="24"/>
  <c r="U31" i="24"/>
  <c r="T31" i="24"/>
  <c r="Q31" i="24"/>
  <c r="P31" i="24"/>
  <c r="L31" i="24"/>
  <c r="K31" i="24"/>
  <c r="I31" i="24"/>
  <c r="H31" i="24"/>
  <c r="E35" i="24"/>
  <c r="E36" i="24"/>
  <c r="E37" i="24"/>
  <c r="E38" i="24"/>
  <c r="E42" i="24"/>
  <c r="E43" i="24"/>
  <c r="E44" i="24"/>
  <c r="E46" i="24"/>
  <c r="E50" i="24"/>
  <c r="E51" i="24"/>
  <c r="E58" i="24"/>
  <c r="E59" i="24"/>
  <c r="E60" i="24"/>
  <c r="E61" i="24"/>
  <c r="E62" i="24"/>
  <c r="E63" i="24"/>
  <c r="E64" i="24"/>
  <c r="Y41" i="24"/>
  <c r="X41" i="24"/>
  <c r="K269" i="5"/>
  <c r="W41" i="24"/>
  <c r="U41" i="24"/>
  <c r="T41" i="24"/>
  <c r="K268" i="5"/>
  <c r="Q41" i="24"/>
  <c r="P41" i="24"/>
  <c r="K267" i="5"/>
  <c r="L41" i="24"/>
  <c r="L49" i="24"/>
  <c r="K27" i="5"/>
  <c r="K41" i="24"/>
  <c r="I41" i="24"/>
  <c r="H41" i="24"/>
  <c r="H49" i="24"/>
  <c r="G41" i="24"/>
  <c r="G49" i="24"/>
  <c r="Y40" i="24"/>
  <c r="Y48" i="24"/>
  <c r="X40" i="24"/>
  <c r="J269" i="5"/>
  <c r="W40" i="24"/>
  <c r="U40" i="24"/>
  <c r="U48" i="24"/>
  <c r="T40" i="24"/>
  <c r="Q40" i="24"/>
  <c r="Q48" i="24" s="1"/>
  <c r="P40" i="24"/>
  <c r="L40" i="24"/>
  <c r="K40" i="24"/>
  <c r="K48" i="24"/>
  <c r="I40" i="24"/>
  <c r="I48" i="24"/>
  <c r="H40" i="24"/>
  <c r="AB40" i="24"/>
  <c r="G40" i="24"/>
  <c r="G48" i="24"/>
  <c r="Y39" i="24"/>
  <c r="X39" i="24"/>
  <c r="W39" i="24"/>
  <c r="W47" i="24"/>
  <c r="U39" i="24"/>
  <c r="U47" i="24"/>
  <c r="T39" i="24"/>
  <c r="Q39" i="24"/>
  <c r="Q47" i="24" s="1"/>
  <c r="P39" i="24"/>
  <c r="L39" i="24"/>
  <c r="L47" i="24"/>
  <c r="I27" i="5"/>
  <c r="K39" i="24"/>
  <c r="K47" i="24"/>
  <c r="I39" i="24"/>
  <c r="I47" i="24"/>
  <c r="H39" i="24"/>
  <c r="H47" i="24"/>
  <c r="G39" i="24"/>
  <c r="C39" i="24"/>
  <c r="E39" i="24"/>
  <c r="C40" i="24"/>
  <c r="E40" i="24"/>
  <c r="C41" i="24"/>
  <c r="E41" i="24"/>
  <c r="G54" i="24"/>
  <c r="C54" i="24"/>
  <c r="E54" i="24"/>
  <c r="Y49" i="24"/>
  <c r="W49" i="24"/>
  <c r="U49" i="24"/>
  <c r="Q49" i="24"/>
  <c r="K49" i="24"/>
  <c r="I49" i="24"/>
  <c r="C49" i="24"/>
  <c r="E49" i="24"/>
  <c r="W48" i="24"/>
  <c r="L48" i="24"/>
  <c r="J27" i="5"/>
  <c r="H48" i="24"/>
  <c r="J26" i="5"/>
  <c r="C48" i="24"/>
  <c r="E48" i="24"/>
  <c r="Y47" i="24"/>
  <c r="G47" i="24"/>
  <c r="C47" i="24"/>
  <c r="E47" i="24"/>
  <c r="C45" i="24"/>
  <c r="E45" i="24"/>
  <c r="F36" i="24"/>
  <c r="F38" i="24"/>
  <c r="F46" i="24"/>
  <c r="F51" i="24"/>
  <c r="F53" i="24"/>
  <c r="F55" i="24"/>
  <c r="F57" i="24"/>
  <c r="F58" i="24"/>
  <c r="F60" i="24"/>
  <c r="F62" i="24"/>
  <c r="F64" i="24"/>
  <c r="AB25" i="24"/>
  <c r="AB26" i="24"/>
  <c r="AB28" i="24"/>
  <c r="C28" i="24"/>
  <c r="AB29" i="24"/>
  <c r="AB30" i="24"/>
  <c r="AB31" i="24"/>
  <c r="AB32" i="24"/>
  <c r="AB33" i="24"/>
  <c r="AB34" i="24"/>
  <c r="AB35" i="24"/>
  <c r="F35" i="24"/>
  <c r="AB36" i="24"/>
  <c r="AB37" i="24"/>
  <c r="F37" i="24"/>
  <c r="AB38" i="24"/>
  <c r="AB41" i="24"/>
  <c r="AB42" i="24"/>
  <c r="F42" i="24"/>
  <c r="AB43" i="24"/>
  <c r="F43" i="24"/>
  <c r="AB44" i="24"/>
  <c r="F44" i="24"/>
  <c r="AB45" i="24"/>
  <c r="AB46" i="24"/>
  <c r="AB50" i="24"/>
  <c r="F50" i="24"/>
  <c r="AB51" i="24"/>
  <c r="AB58" i="24"/>
  <c r="AB59" i="24"/>
  <c r="F59" i="24"/>
  <c r="AB60" i="24"/>
  <c r="AB61" i="24"/>
  <c r="F61" i="24"/>
  <c r="AB62" i="24"/>
  <c r="AB63" i="24"/>
  <c r="F63" i="24"/>
  <c r="AB64" i="24"/>
  <c r="F45" i="24"/>
  <c r="F54" i="24"/>
  <c r="E28" i="24"/>
  <c r="C24" i="24"/>
  <c r="X48" i="24"/>
  <c r="P49" i="24"/>
  <c r="T49" i="24"/>
  <c r="AB49" i="24"/>
  <c r="X49" i="24"/>
  <c r="I26" i="5"/>
  <c r="P47" i="24"/>
  <c r="I267" i="5"/>
  <c r="T47" i="24"/>
  <c r="I268" i="5"/>
  <c r="X47" i="24"/>
  <c r="I269" i="5"/>
  <c r="K26" i="5"/>
  <c r="P48" i="24"/>
  <c r="J267" i="5"/>
  <c r="T48" i="24"/>
  <c r="J268" i="5"/>
  <c r="F34" i="24"/>
  <c r="F32" i="24"/>
  <c r="F30" i="24"/>
  <c r="F33" i="24"/>
  <c r="F31" i="24"/>
  <c r="F56" i="24"/>
  <c r="F52" i="24"/>
  <c r="AB39" i="24"/>
  <c r="F28" i="24"/>
  <c r="F24" i="24"/>
  <c r="E24" i="24"/>
  <c r="B161" i="23"/>
  <c r="B169" i="23"/>
  <c r="B171" i="23"/>
  <c r="AB48" i="24"/>
  <c r="AB47" i="24"/>
  <c r="F39" i="24"/>
  <c r="F47" i="24"/>
  <c r="F40" i="24"/>
  <c r="F48" i="24"/>
  <c r="F41" i="24"/>
  <c r="F49" i="24"/>
  <c r="H24" i="24"/>
  <c r="I24" i="24"/>
  <c r="K24" i="24"/>
  <c r="L24" i="24"/>
  <c r="P24" i="24"/>
  <c r="S24" i="24"/>
  <c r="T24" i="24"/>
  <c r="U24" i="24"/>
  <c r="W24" i="24"/>
  <c r="X24" i="24"/>
  <c r="Y24" i="24"/>
  <c r="C49" i="7"/>
  <c r="B115" i="23"/>
  <c r="B136" i="23"/>
  <c r="B128" i="23"/>
  <c r="B119" i="23"/>
  <c r="B111" i="23"/>
  <c r="B132" i="23"/>
  <c r="B35" i="23"/>
  <c r="B103" i="23"/>
  <c r="B99" i="23"/>
  <c r="B95" i="23"/>
  <c r="B91" i="23"/>
  <c r="B83" i="23"/>
  <c r="B75" i="23"/>
  <c r="B87" i="23"/>
  <c r="B79" i="23"/>
  <c r="B71" i="23"/>
  <c r="B63" i="23"/>
  <c r="B55" i="23"/>
  <c r="B67" i="23"/>
  <c r="B59" i="23"/>
  <c r="B51" i="23"/>
  <c r="B43" i="23"/>
  <c r="B47" i="23"/>
  <c r="B39" i="23"/>
  <c r="B145" i="23"/>
  <c r="B157" i="23"/>
  <c r="B149" i="23"/>
  <c r="B141" i="23"/>
  <c r="B153" i="23"/>
  <c r="B124" i="23"/>
  <c r="B107" i="23"/>
  <c r="C48" i="7"/>
  <c r="B111" i="26"/>
  <c r="A15" i="26"/>
  <c r="A12" i="26"/>
  <c r="A9" i="26"/>
  <c r="C140" i="26"/>
  <c r="D140" i="26"/>
  <c r="E140"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D49" i="26"/>
  <c r="E136" i="26"/>
  <c r="F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81" i="26"/>
  <c r="AQ81" i="26"/>
  <c r="G119" i="26"/>
  <c r="G118"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C91" i="26"/>
  <c r="D91" i="26"/>
  <c r="E91" i="26"/>
  <c r="F91" i="26"/>
  <c r="B76" i="26"/>
  <c r="B74" i="26"/>
  <c r="B73" i="26"/>
  <c r="A62" i="26"/>
  <c r="B60" i="26"/>
  <c r="C58" i="26"/>
  <c r="C74" i="26"/>
  <c r="B52" i="26"/>
  <c r="C49" i="26"/>
  <c r="B49" i="26"/>
  <c r="E48" i="26"/>
  <c r="D48" i="26"/>
  <c r="C48" i="26"/>
  <c r="B48" i="26"/>
  <c r="B47" i="26"/>
  <c r="B45" i="26"/>
  <c r="B44" i="26"/>
  <c r="B27" i="26"/>
  <c r="A7" i="26"/>
  <c r="B25" i="26"/>
  <c r="B54" i="26"/>
  <c r="B55" i="26"/>
  <c r="B56" i="26"/>
  <c r="B69" i="26"/>
  <c r="B77" i="26"/>
  <c r="B29" i="26"/>
  <c r="B46" i="26"/>
  <c r="G136" i="26"/>
  <c r="F48" i="26"/>
  <c r="D141" i="26"/>
  <c r="D73" i="26"/>
  <c r="D85" i="26"/>
  <c r="D99" i="26"/>
  <c r="E137" i="26"/>
  <c r="C141" i="26"/>
  <c r="C73" i="26"/>
  <c r="C85" i="26"/>
  <c r="C99" i="26"/>
  <c r="B50" i="26"/>
  <c r="B59" i="26"/>
  <c r="B80" i="26"/>
  <c r="C67" i="26"/>
  <c r="F76" i="26"/>
  <c r="D58" i="26"/>
  <c r="C52" i="26"/>
  <c r="C47" i="26"/>
  <c r="B79" i="26"/>
  <c r="F140" i="26"/>
  <c r="B85" i="26"/>
  <c r="B99" i="26"/>
  <c r="G120" i="26"/>
  <c r="I118" i="26"/>
  <c r="I120" i="26"/>
  <c r="C109" i="26"/>
  <c r="E141" i="26"/>
  <c r="E73" i="26"/>
  <c r="E85" i="26"/>
  <c r="E99" i="26"/>
  <c r="B66" i="26"/>
  <c r="B68" i="26"/>
  <c r="C53" i="26"/>
  <c r="C55" i="26"/>
  <c r="C61" i="26"/>
  <c r="C60" i="26"/>
  <c r="B82" i="26"/>
  <c r="F137" i="26"/>
  <c r="E49" i="26"/>
  <c r="G48" i="26"/>
  <c r="H136" i="26"/>
  <c r="D67" i="26"/>
  <c r="E67" i="26"/>
  <c r="C76" i="26"/>
  <c r="C108" i="26"/>
  <c r="C50" i="26"/>
  <c r="C59" i="26"/>
  <c r="D109" i="26"/>
  <c r="G140" i="26"/>
  <c r="G141" i="26"/>
  <c r="G73" i="26"/>
  <c r="G85" i="26"/>
  <c r="G99" i="26"/>
  <c r="B70" i="26"/>
  <c r="B75" i="26"/>
  <c r="F141" i="26"/>
  <c r="F73" i="26"/>
  <c r="F85" i="26"/>
  <c r="F99" i="26"/>
  <c r="D74" i="26"/>
  <c r="E58" i="26"/>
  <c r="D52" i="26"/>
  <c r="D47" i="26"/>
  <c r="D61" i="26"/>
  <c r="D60" i="26"/>
  <c r="D76" i="26"/>
  <c r="H48" i="26"/>
  <c r="I136" i="26"/>
  <c r="G137" i="26"/>
  <c r="F49" i="26"/>
  <c r="F67" i="26"/>
  <c r="G67" i="26"/>
  <c r="E76" i="26"/>
  <c r="F58" i="26"/>
  <c r="E52" i="26"/>
  <c r="E47" i="26"/>
  <c r="E61" i="26"/>
  <c r="E60" i="26"/>
  <c r="E74" i="26"/>
  <c r="C82" i="26"/>
  <c r="C56" i="26"/>
  <c r="C69" i="26"/>
  <c r="C77" i="26"/>
  <c r="B71" i="26"/>
  <c r="E109" i="26"/>
  <c r="D108" i="26"/>
  <c r="D50" i="26"/>
  <c r="D59" i="26"/>
  <c r="D53" i="26"/>
  <c r="H140" i="26"/>
  <c r="H141" i="26"/>
  <c r="H73" i="26"/>
  <c r="H85" i="26"/>
  <c r="H99" i="26"/>
  <c r="C80" i="26"/>
  <c r="C66" i="26"/>
  <c r="C68" i="26"/>
  <c r="C79" i="26"/>
  <c r="D79" i="26"/>
  <c r="J136" i="26"/>
  <c r="I48" i="26"/>
  <c r="G49" i="26"/>
  <c r="H137" i="26"/>
  <c r="D66" i="26"/>
  <c r="D68" i="26"/>
  <c r="D80" i="26"/>
  <c r="B78" i="26"/>
  <c r="B83" i="26"/>
  <c r="H67" i="26"/>
  <c r="G76" i="26"/>
  <c r="C75" i="26"/>
  <c r="C70" i="26"/>
  <c r="I140" i="26"/>
  <c r="D55" i="26"/>
  <c r="E108" i="26"/>
  <c r="E50" i="26"/>
  <c r="E59" i="26"/>
  <c r="F109" i="26"/>
  <c r="B72" i="26"/>
  <c r="F74" i="26"/>
  <c r="G58" i="26"/>
  <c r="F52" i="26"/>
  <c r="F47" i="26"/>
  <c r="F61" i="26"/>
  <c r="F60" i="26"/>
  <c r="E79" i="26"/>
  <c r="I137" i="26"/>
  <c r="H49" i="26"/>
  <c r="J48" i="26"/>
  <c r="K136" i="26"/>
  <c r="G109" i="26"/>
  <c r="F108" i="26"/>
  <c r="F50" i="26"/>
  <c r="F59" i="26"/>
  <c r="D82" i="26"/>
  <c r="D56" i="26"/>
  <c r="D69" i="26"/>
  <c r="D77" i="26"/>
  <c r="J140" i="26"/>
  <c r="J141" i="26"/>
  <c r="J73" i="26"/>
  <c r="J85" i="26"/>
  <c r="J99" i="26"/>
  <c r="B88" i="26"/>
  <c r="B86" i="26"/>
  <c r="B84" i="26"/>
  <c r="B89" i="26"/>
  <c r="D75" i="26"/>
  <c r="H58" i="26"/>
  <c r="G52" i="26"/>
  <c r="G47" i="26"/>
  <c r="G61" i="26"/>
  <c r="G60" i="26"/>
  <c r="G74" i="26"/>
  <c r="E80" i="26"/>
  <c r="E66" i="26"/>
  <c r="E68" i="26"/>
  <c r="E53" i="26"/>
  <c r="I141" i="26"/>
  <c r="I73" i="26"/>
  <c r="I85" i="26"/>
  <c r="I99" i="26"/>
  <c r="C71" i="26"/>
  <c r="H76" i="26"/>
  <c r="I67" i="26"/>
  <c r="K48" i="26"/>
  <c r="L136" i="26"/>
  <c r="I49" i="26"/>
  <c r="J137" i="26"/>
  <c r="C78" i="26"/>
  <c r="C83" i="26"/>
  <c r="E75" i="26"/>
  <c r="F80" i="26"/>
  <c r="F66" i="26"/>
  <c r="F68" i="26"/>
  <c r="J67" i="26"/>
  <c r="I76" i="26"/>
  <c r="C72" i="26"/>
  <c r="E55" i="26"/>
  <c r="F79" i="26"/>
  <c r="H74" i="26"/>
  <c r="I58" i="26"/>
  <c r="H52" i="26"/>
  <c r="H47" i="26"/>
  <c r="H61" i="26"/>
  <c r="H60" i="26"/>
  <c r="D70" i="26"/>
  <c r="B87" i="26"/>
  <c r="B90" i="26"/>
  <c r="K140" i="26"/>
  <c r="K141" i="26"/>
  <c r="K73" i="26"/>
  <c r="K85" i="26"/>
  <c r="K99" i="26"/>
  <c r="G108" i="26"/>
  <c r="G50" i="26"/>
  <c r="G59" i="26"/>
  <c r="H109" i="26"/>
  <c r="J49" i="26"/>
  <c r="K137" i="26"/>
  <c r="L48" i="26"/>
  <c r="M136" i="26"/>
  <c r="G80" i="26"/>
  <c r="G66" i="26"/>
  <c r="G68" i="26"/>
  <c r="G79" i="26"/>
  <c r="D71" i="26"/>
  <c r="E82" i="26"/>
  <c r="E56" i="26"/>
  <c r="E69" i="26"/>
  <c r="F75" i="26"/>
  <c r="I109" i="26"/>
  <c r="H108" i="26"/>
  <c r="H50" i="26"/>
  <c r="H59" i="26"/>
  <c r="L140" i="26"/>
  <c r="L141" i="26"/>
  <c r="L73" i="26"/>
  <c r="L85" i="26"/>
  <c r="L99" i="26"/>
  <c r="J58" i="26"/>
  <c r="I52" i="26"/>
  <c r="I47" i="26"/>
  <c r="I61" i="26"/>
  <c r="I60" i="26"/>
  <c r="I74" i="26"/>
  <c r="F53" i="26"/>
  <c r="J76" i="26"/>
  <c r="K67" i="26"/>
  <c r="C86" i="26"/>
  <c r="C88" i="26"/>
  <c r="C84" i="26"/>
  <c r="C89" i="26"/>
  <c r="M48" i="26"/>
  <c r="N136" i="26"/>
  <c r="L137" i="26"/>
  <c r="K49" i="26"/>
  <c r="C87" i="26"/>
  <c r="C90" i="26"/>
  <c r="L67" i="26"/>
  <c r="K76" i="26"/>
  <c r="J74" i="26"/>
  <c r="K58" i="26"/>
  <c r="J52" i="26"/>
  <c r="J47" i="26"/>
  <c r="J61" i="26"/>
  <c r="J60" i="26"/>
  <c r="H66" i="26"/>
  <c r="H68" i="26"/>
  <c r="H80" i="26"/>
  <c r="E77" i="26"/>
  <c r="E70" i="26"/>
  <c r="D78" i="26"/>
  <c r="D83" i="26"/>
  <c r="G75" i="26"/>
  <c r="H79" i="26"/>
  <c r="F55" i="26"/>
  <c r="G53" i="26"/>
  <c r="M140" i="26"/>
  <c r="M141" i="26"/>
  <c r="M73" i="26"/>
  <c r="M85" i="26"/>
  <c r="M99" i="26"/>
  <c r="I108" i="26"/>
  <c r="I50" i="26"/>
  <c r="I59" i="26"/>
  <c r="J109" i="26"/>
  <c r="D72" i="26"/>
  <c r="O136" i="26"/>
  <c r="N48" i="26"/>
  <c r="M137" i="26"/>
  <c r="L49" i="26"/>
  <c r="I80" i="26"/>
  <c r="I66" i="26"/>
  <c r="I68" i="26"/>
  <c r="G55" i="26"/>
  <c r="L58" i="26"/>
  <c r="K52" i="26"/>
  <c r="K47" i="26"/>
  <c r="K61" i="26"/>
  <c r="K60" i="26"/>
  <c r="K74" i="26"/>
  <c r="L76" i="26"/>
  <c r="M67" i="26"/>
  <c r="I79" i="26"/>
  <c r="K109" i="26"/>
  <c r="J108" i="26"/>
  <c r="J50" i="26"/>
  <c r="J59" i="26"/>
  <c r="N140" i="26"/>
  <c r="F82" i="26"/>
  <c r="F56" i="26"/>
  <c r="F69" i="26"/>
  <c r="D86" i="26"/>
  <c r="D88" i="26"/>
  <c r="D84" i="26"/>
  <c r="D89" i="26"/>
  <c r="E71" i="26"/>
  <c r="E72" i="26"/>
  <c r="H75" i="26"/>
  <c r="N137" i="26"/>
  <c r="M49" i="26"/>
  <c r="P136" i="26"/>
  <c r="O48" i="26"/>
  <c r="D87" i="26"/>
  <c r="D90" i="26"/>
  <c r="O140" i="26"/>
  <c r="K108" i="26"/>
  <c r="K50" i="26"/>
  <c r="K59" i="26"/>
  <c r="L109" i="26"/>
  <c r="L74" i="26"/>
  <c r="M58" i="26"/>
  <c r="L52" i="26"/>
  <c r="L47" i="26"/>
  <c r="L61" i="26"/>
  <c r="L60" i="26"/>
  <c r="G56" i="26"/>
  <c r="G69" i="26"/>
  <c r="G82" i="26"/>
  <c r="I75" i="26"/>
  <c r="E78" i="26"/>
  <c r="E83" i="26"/>
  <c r="F77" i="26"/>
  <c r="F70" i="26"/>
  <c r="N141" i="26"/>
  <c r="N73" i="26"/>
  <c r="N85" i="26"/>
  <c r="N99" i="26"/>
  <c r="J80" i="26"/>
  <c r="J66" i="26"/>
  <c r="J68" i="26"/>
  <c r="J79" i="26"/>
  <c r="N67" i="26"/>
  <c r="M76" i="26"/>
  <c r="H53" i="26"/>
  <c r="Q136" i="26"/>
  <c r="P48" i="26"/>
  <c r="N49" i="26"/>
  <c r="O137" i="26"/>
  <c r="J75" i="26"/>
  <c r="E86" i="26"/>
  <c r="E88" i="26"/>
  <c r="E84" i="26"/>
  <c r="E89" i="26"/>
  <c r="N58" i="26"/>
  <c r="M52" i="26"/>
  <c r="M47" i="26"/>
  <c r="M61" i="26"/>
  <c r="M60" i="26"/>
  <c r="M74" i="26"/>
  <c r="M109" i="26"/>
  <c r="L108" i="26"/>
  <c r="L50" i="26"/>
  <c r="L59" i="26"/>
  <c r="P140" i="26"/>
  <c r="P141" i="26"/>
  <c r="P73" i="26"/>
  <c r="P85" i="26"/>
  <c r="P99" i="26"/>
  <c r="H55" i="26"/>
  <c r="I53" i="26"/>
  <c r="N76" i="26"/>
  <c r="O67" i="26"/>
  <c r="F71" i="26"/>
  <c r="F72" i="26"/>
  <c r="G77" i="26"/>
  <c r="G70" i="26"/>
  <c r="K80" i="26"/>
  <c r="K66" i="26"/>
  <c r="K68" i="26"/>
  <c r="K79" i="26"/>
  <c r="O141" i="26"/>
  <c r="O73" i="26"/>
  <c r="O85" i="26"/>
  <c r="O99" i="26"/>
  <c r="P137" i="26"/>
  <c r="O49" i="26"/>
  <c r="R136" i="26"/>
  <c r="Q48" i="26"/>
  <c r="K75" i="26"/>
  <c r="G71" i="26"/>
  <c r="G72" i="26"/>
  <c r="I55" i="26"/>
  <c r="J53" i="26"/>
  <c r="L66" i="26"/>
  <c r="L68" i="26"/>
  <c r="L80" i="26"/>
  <c r="L79" i="26"/>
  <c r="E87" i="26"/>
  <c r="E90" i="26"/>
  <c r="F78" i="26"/>
  <c r="F83" i="26"/>
  <c r="P67" i="26"/>
  <c r="O76" i="26"/>
  <c r="H82" i="26"/>
  <c r="H56" i="26"/>
  <c r="H69" i="26"/>
  <c r="Q140" i="26"/>
  <c r="M108" i="26"/>
  <c r="M50" i="26"/>
  <c r="M59" i="26"/>
  <c r="N109" i="26"/>
  <c r="N74" i="26"/>
  <c r="O58" i="26"/>
  <c r="N52" i="26"/>
  <c r="N47" i="26"/>
  <c r="N61" i="26"/>
  <c r="N60" i="26"/>
  <c r="S136" i="26"/>
  <c r="R48" i="26"/>
  <c r="Q137" i="26"/>
  <c r="P49" i="26"/>
  <c r="P58" i="26"/>
  <c r="O52" i="26"/>
  <c r="O47" i="26"/>
  <c r="O61" i="26"/>
  <c r="O60" i="26"/>
  <c r="O74" i="26"/>
  <c r="O109" i="26"/>
  <c r="N108" i="26"/>
  <c r="N50" i="26"/>
  <c r="N59" i="26"/>
  <c r="R140" i="26"/>
  <c r="R141" i="26"/>
  <c r="R73" i="26"/>
  <c r="R85" i="26"/>
  <c r="R99" i="26"/>
  <c r="H77" i="26"/>
  <c r="H70" i="26"/>
  <c r="F86" i="26"/>
  <c r="F88" i="26"/>
  <c r="F84" i="26"/>
  <c r="F89" i="26"/>
  <c r="G78" i="26"/>
  <c r="G83" i="26"/>
  <c r="G86" i="26"/>
  <c r="J55" i="26"/>
  <c r="M80" i="26"/>
  <c r="M66" i="26"/>
  <c r="M68" i="26"/>
  <c r="M79" i="26"/>
  <c r="Q141" i="26"/>
  <c r="Q73" i="26"/>
  <c r="Q85" i="26"/>
  <c r="Q99" i="26"/>
  <c r="P76" i="26"/>
  <c r="Q67" i="26"/>
  <c r="L75" i="26"/>
  <c r="I82" i="26"/>
  <c r="I56" i="26"/>
  <c r="I69" i="26"/>
  <c r="Q49" i="26"/>
  <c r="R137" i="26"/>
  <c r="T136" i="26"/>
  <c r="S48" i="26"/>
  <c r="I77" i="26"/>
  <c r="I70" i="26"/>
  <c r="R67" i="26"/>
  <c r="Q76" i="26"/>
  <c r="M75" i="26"/>
  <c r="J82" i="26"/>
  <c r="J56" i="26"/>
  <c r="J69" i="26"/>
  <c r="G84" i="26"/>
  <c r="G89" i="26"/>
  <c r="H71" i="26"/>
  <c r="H78" i="26"/>
  <c r="H83" i="26"/>
  <c r="N80" i="26"/>
  <c r="N66" i="26"/>
  <c r="N68" i="26"/>
  <c r="N79" i="26"/>
  <c r="K53" i="26"/>
  <c r="G88" i="26"/>
  <c r="F87" i="26"/>
  <c r="F90" i="26"/>
  <c r="G87" i="26"/>
  <c r="S140" i="26"/>
  <c r="S141" i="26"/>
  <c r="S73" i="26"/>
  <c r="S85" i="26"/>
  <c r="S99" i="26"/>
  <c r="O108" i="26"/>
  <c r="O50" i="26"/>
  <c r="O59" i="26"/>
  <c r="P109" i="26"/>
  <c r="P74" i="26"/>
  <c r="Q58" i="26"/>
  <c r="P52" i="26"/>
  <c r="P47" i="26"/>
  <c r="P61" i="26"/>
  <c r="P60" i="26"/>
  <c r="G90" i="26"/>
  <c r="S137" i="26"/>
  <c r="R49" i="26"/>
  <c r="T48" i="26"/>
  <c r="U136" i="26"/>
  <c r="H86" i="26"/>
  <c r="H87" i="26"/>
  <c r="H90" i="26"/>
  <c r="H88" i="26"/>
  <c r="H84" i="26"/>
  <c r="H89" i="26"/>
  <c r="O80" i="26"/>
  <c r="O66" i="26"/>
  <c r="O68" i="26"/>
  <c r="O79" i="26"/>
  <c r="K55" i="26"/>
  <c r="L53" i="26"/>
  <c r="N75" i="26"/>
  <c r="R76" i="26"/>
  <c r="S67" i="26"/>
  <c r="I71" i="26"/>
  <c r="I78" i="26"/>
  <c r="I83" i="26"/>
  <c r="R58" i="26"/>
  <c r="Q52" i="26"/>
  <c r="Q47" i="26"/>
  <c r="Q61" i="26"/>
  <c r="Q60" i="26"/>
  <c r="Q74" i="26"/>
  <c r="Q109" i="26"/>
  <c r="P108" i="26"/>
  <c r="P50" i="26"/>
  <c r="P59" i="26"/>
  <c r="T140" i="26"/>
  <c r="H72" i="26"/>
  <c r="J77" i="26"/>
  <c r="J70" i="26"/>
  <c r="V136" i="26"/>
  <c r="U48" i="26"/>
  <c r="S49" i="26"/>
  <c r="T137" i="26"/>
  <c r="I86" i="26"/>
  <c r="I87" i="26"/>
  <c r="I90" i="26"/>
  <c r="I88" i="26"/>
  <c r="I84" i="26"/>
  <c r="I89" i="26"/>
  <c r="J71" i="26"/>
  <c r="J78" i="26"/>
  <c r="J83" i="26"/>
  <c r="U140" i="26"/>
  <c r="U141" i="26"/>
  <c r="U73" i="26"/>
  <c r="U85" i="26"/>
  <c r="U99" i="26"/>
  <c r="Q108" i="26"/>
  <c r="Q50" i="26"/>
  <c r="Q59" i="26"/>
  <c r="R109" i="26"/>
  <c r="R74" i="26"/>
  <c r="S58" i="26"/>
  <c r="R52" i="26"/>
  <c r="R47" i="26"/>
  <c r="R61" i="26"/>
  <c r="R60" i="26"/>
  <c r="L55" i="26"/>
  <c r="T141" i="26"/>
  <c r="T73" i="26"/>
  <c r="T85" i="26"/>
  <c r="T99" i="26"/>
  <c r="P66" i="26"/>
  <c r="P68" i="26"/>
  <c r="P80" i="26"/>
  <c r="P79" i="26"/>
  <c r="I72" i="26"/>
  <c r="T67" i="26"/>
  <c r="S76" i="26"/>
  <c r="K82" i="26"/>
  <c r="K56" i="26"/>
  <c r="K69" i="26"/>
  <c r="O75" i="26"/>
  <c r="J72" i="26"/>
  <c r="U137" i="26"/>
  <c r="T49" i="26"/>
  <c r="W136" i="26"/>
  <c r="V48" i="26"/>
  <c r="K77" i="26"/>
  <c r="K70" i="26"/>
  <c r="L82" i="26"/>
  <c r="L56" i="26"/>
  <c r="L69" i="26"/>
  <c r="Q80" i="26"/>
  <c r="Q66" i="26"/>
  <c r="Q68" i="26"/>
  <c r="Q79" i="26"/>
  <c r="T76" i="26"/>
  <c r="U67" i="26"/>
  <c r="P75" i="26"/>
  <c r="J86" i="26"/>
  <c r="J87" i="26"/>
  <c r="J90" i="26"/>
  <c r="J88" i="26"/>
  <c r="J84" i="26"/>
  <c r="J89" i="26"/>
  <c r="M53" i="26"/>
  <c r="T58" i="26"/>
  <c r="S52" i="26"/>
  <c r="S47" i="26"/>
  <c r="S61" i="26"/>
  <c r="S60" i="26"/>
  <c r="S74" i="26"/>
  <c r="S109" i="26"/>
  <c r="R108" i="26"/>
  <c r="R50" i="26"/>
  <c r="R59" i="26"/>
  <c r="V140" i="26"/>
  <c r="V141" i="26"/>
  <c r="V73" i="26"/>
  <c r="V85" i="26"/>
  <c r="V99" i="26"/>
  <c r="X136" i="26"/>
  <c r="W48" i="26"/>
  <c r="V137" i="26"/>
  <c r="U49" i="26"/>
  <c r="R80" i="26"/>
  <c r="R66" i="26"/>
  <c r="R68" i="26"/>
  <c r="R79" i="26"/>
  <c r="M55" i="26"/>
  <c r="V67" i="26"/>
  <c r="U76" i="26"/>
  <c r="Q75" i="26"/>
  <c r="L77" i="26"/>
  <c r="L70" i="26"/>
  <c r="K71" i="26"/>
  <c r="K78" i="26"/>
  <c r="K83" i="26"/>
  <c r="W140" i="26"/>
  <c r="S108" i="26"/>
  <c r="S50" i="26"/>
  <c r="S59" i="26"/>
  <c r="T109" i="26"/>
  <c r="T74" i="26"/>
  <c r="U58" i="26"/>
  <c r="T52" i="26"/>
  <c r="T47" i="26"/>
  <c r="T61" i="26"/>
  <c r="T60" i="26"/>
  <c r="V49" i="26"/>
  <c r="W137" i="26"/>
  <c r="X48" i="26"/>
  <c r="Y136" i="26"/>
  <c r="K72" i="26"/>
  <c r="V58" i="26"/>
  <c r="U52" i="26"/>
  <c r="U47" i="26"/>
  <c r="U61" i="26"/>
  <c r="U60" i="26"/>
  <c r="U74" i="26"/>
  <c r="U109" i="26"/>
  <c r="T108" i="26"/>
  <c r="T50" i="26"/>
  <c r="T59" i="26"/>
  <c r="X140" i="26"/>
  <c r="X141" i="26"/>
  <c r="X73" i="26"/>
  <c r="X85" i="26"/>
  <c r="X99" i="26"/>
  <c r="L71" i="26"/>
  <c r="L78" i="26"/>
  <c r="L83" i="26"/>
  <c r="M82" i="26"/>
  <c r="M56" i="26"/>
  <c r="M69" i="26"/>
  <c r="R75" i="26"/>
  <c r="K86" i="26"/>
  <c r="K87" i="26"/>
  <c r="K90" i="26"/>
  <c r="K88" i="26"/>
  <c r="K84" i="26"/>
  <c r="K89" i="26"/>
  <c r="S80" i="26"/>
  <c r="S66" i="26"/>
  <c r="S68" i="26"/>
  <c r="S79" i="26"/>
  <c r="W141" i="26"/>
  <c r="W73" i="26"/>
  <c r="W85" i="26"/>
  <c r="W99" i="26"/>
  <c r="V76" i="26"/>
  <c r="W67" i="26"/>
  <c r="N53" i="26"/>
  <c r="Y48" i="26"/>
  <c r="Z136" i="26"/>
  <c r="X137" i="26"/>
  <c r="W49" i="26"/>
  <c r="N55" i="26"/>
  <c r="L86" i="26"/>
  <c r="L87" i="26"/>
  <c r="L84" i="26"/>
  <c r="L89" i="26"/>
  <c r="G28" i="26"/>
  <c r="C105" i="26"/>
  <c r="L88" i="26"/>
  <c r="B105" i="26"/>
  <c r="M77" i="26"/>
  <c r="M70" i="26"/>
  <c r="T66" i="26"/>
  <c r="T68" i="26"/>
  <c r="T80" i="26"/>
  <c r="T79" i="26"/>
  <c r="X67" i="26"/>
  <c r="W76" i="26"/>
  <c r="S75" i="26"/>
  <c r="L72" i="26"/>
  <c r="Y140" i="26"/>
  <c r="U108" i="26"/>
  <c r="U50" i="26"/>
  <c r="U59" i="26"/>
  <c r="V109" i="26"/>
  <c r="V74" i="26"/>
  <c r="W58" i="26"/>
  <c r="V52" i="26"/>
  <c r="V47" i="26"/>
  <c r="V61" i="26"/>
  <c r="V60" i="26"/>
  <c r="Z48" i="26"/>
  <c r="AA136" i="26"/>
  <c r="X49" i="26"/>
  <c r="Y137" i="26"/>
  <c r="X58" i="26"/>
  <c r="W52" i="26"/>
  <c r="W47" i="26"/>
  <c r="W61" i="26"/>
  <c r="W60" i="26"/>
  <c r="W74" i="26"/>
  <c r="W109" i="26"/>
  <c r="V108" i="26"/>
  <c r="V50" i="26"/>
  <c r="V59" i="26"/>
  <c r="Z140" i="26"/>
  <c r="Z141" i="26"/>
  <c r="Z73" i="26"/>
  <c r="Z85" i="26"/>
  <c r="Z99" i="26"/>
  <c r="X76" i="26"/>
  <c r="Y67" i="26"/>
  <c r="M71" i="26"/>
  <c r="M78" i="26"/>
  <c r="M83" i="26"/>
  <c r="N82" i="26"/>
  <c r="N56" i="26"/>
  <c r="N69" i="26"/>
  <c r="U80" i="26"/>
  <c r="U66" i="26"/>
  <c r="U68" i="26"/>
  <c r="U79" i="26"/>
  <c r="Y141" i="26"/>
  <c r="Y73" i="26"/>
  <c r="Y85" i="26"/>
  <c r="Y99" i="26"/>
  <c r="T75" i="26"/>
  <c r="L90" i="26"/>
  <c r="G29" i="26"/>
  <c r="D105" i="26"/>
  <c r="G30" i="26"/>
  <c r="A105" i="26"/>
  <c r="O53" i="26"/>
  <c r="Y49" i="26"/>
  <c r="Z137" i="26"/>
  <c r="AB136" i="26"/>
  <c r="AA48" i="26"/>
  <c r="M86" i="26"/>
  <c r="M87" i="26"/>
  <c r="M90" i="26"/>
  <c r="M84" i="26"/>
  <c r="M89" i="26"/>
  <c r="M88" i="26"/>
  <c r="V80" i="26"/>
  <c r="V66" i="26"/>
  <c r="V68" i="26"/>
  <c r="V79" i="26"/>
  <c r="O55" i="26"/>
  <c r="P53" i="26"/>
  <c r="U75" i="26"/>
  <c r="N77" i="26"/>
  <c r="N70" i="26"/>
  <c r="M72" i="26"/>
  <c r="Z67" i="26"/>
  <c r="Y76" i="26"/>
  <c r="AA140" i="26"/>
  <c r="W108" i="26"/>
  <c r="W50" i="26"/>
  <c r="W59" i="26"/>
  <c r="X109" i="26"/>
  <c r="X74" i="26"/>
  <c r="Y58" i="26"/>
  <c r="X52" i="26"/>
  <c r="X47" i="26"/>
  <c r="X61" i="26"/>
  <c r="X60" i="26"/>
  <c r="AA137" i="26"/>
  <c r="Z49" i="26"/>
  <c r="AB48" i="26"/>
  <c r="AC136" i="26"/>
  <c r="Z58" i="26"/>
  <c r="Y52" i="26"/>
  <c r="Y47" i="26"/>
  <c r="Y61" i="26"/>
  <c r="Y60" i="26"/>
  <c r="Y74" i="26"/>
  <c r="Y109" i="26"/>
  <c r="X108" i="26"/>
  <c r="X50" i="26"/>
  <c r="X59" i="26"/>
  <c r="AB140" i="26"/>
  <c r="AB141" i="26"/>
  <c r="AB73" i="26"/>
  <c r="AB85" i="26"/>
  <c r="AB99" i="26"/>
  <c r="P55" i="26"/>
  <c r="W80" i="26"/>
  <c r="W66" i="26"/>
  <c r="W68" i="26"/>
  <c r="W79" i="26"/>
  <c r="AA141" i="26"/>
  <c r="AA73" i="26"/>
  <c r="AA85" i="26"/>
  <c r="AA99" i="26"/>
  <c r="Z76" i="26"/>
  <c r="AA67" i="26"/>
  <c r="N71" i="26"/>
  <c r="N78" i="26"/>
  <c r="N83" i="26"/>
  <c r="O56" i="26"/>
  <c r="O69" i="26"/>
  <c r="O82" i="26"/>
  <c r="V75" i="26"/>
  <c r="AD136" i="26"/>
  <c r="AC48" i="26"/>
  <c r="AA49" i="26"/>
  <c r="AB137" i="26"/>
  <c r="N86" i="26"/>
  <c r="N87" i="26"/>
  <c r="N90" i="26"/>
  <c r="N88" i="26"/>
  <c r="N84" i="26"/>
  <c r="N89" i="26"/>
  <c r="AB67" i="26"/>
  <c r="AA76" i="26"/>
  <c r="AQ67" i="26"/>
  <c r="W75" i="26"/>
  <c r="P82" i="26"/>
  <c r="P56" i="26"/>
  <c r="P69" i="26"/>
  <c r="X66" i="26"/>
  <c r="X68" i="26"/>
  <c r="X80" i="26"/>
  <c r="X79" i="26"/>
  <c r="O77" i="26"/>
  <c r="O70" i="26"/>
  <c r="N72" i="26"/>
  <c r="Q53" i="26"/>
  <c r="AC140" i="26"/>
  <c r="Y108" i="26"/>
  <c r="Y50" i="26"/>
  <c r="Y59" i="26"/>
  <c r="Z109" i="26"/>
  <c r="Z74" i="26"/>
  <c r="AA58" i="26"/>
  <c r="Z52" i="26"/>
  <c r="Z47" i="26"/>
  <c r="Z61" i="26"/>
  <c r="Z60" i="26"/>
  <c r="AC137" i="26"/>
  <c r="AB49" i="26"/>
  <c r="AD48" i="26"/>
  <c r="AE136" i="26"/>
  <c r="AB58" i="26"/>
  <c r="AA52" i="26"/>
  <c r="AA47" i="26"/>
  <c r="AA61" i="26"/>
  <c r="AA60" i="26"/>
  <c r="AA74" i="26"/>
  <c r="AA109" i="26"/>
  <c r="Z108" i="26"/>
  <c r="Z50" i="26"/>
  <c r="Z59" i="26"/>
  <c r="AD140" i="26"/>
  <c r="AD141" i="26"/>
  <c r="AD73" i="26"/>
  <c r="AD85" i="26"/>
  <c r="AD99" i="26"/>
  <c r="Q55" i="26"/>
  <c r="R53" i="26"/>
  <c r="O71" i="26"/>
  <c r="O78" i="26"/>
  <c r="O83" i="26"/>
  <c r="X75" i="26"/>
  <c r="Y80" i="26"/>
  <c r="Y66" i="26"/>
  <c r="Y68" i="26"/>
  <c r="Y79" i="26"/>
  <c r="AC141" i="26"/>
  <c r="AC73" i="26"/>
  <c r="AC85" i="26"/>
  <c r="AC99" i="26"/>
  <c r="P77" i="26"/>
  <c r="P70" i="26"/>
  <c r="AB76" i="26"/>
  <c r="AC67" i="26"/>
  <c r="AF136" i="26"/>
  <c r="AE48" i="26"/>
  <c r="AC49" i="26"/>
  <c r="AD137" i="26"/>
  <c r="O72" i="26"/>
  <c r="AD67" i="26"/>
  <c r="AC76" i="26"/>
  <c r="P71" i="26"/>
  <c r="P78" i="26"/>
  <c r="O86" i="26"/>
  <c r="O87" i="26"/>
  <c r="O90" i="26"/>
  <c r="O88" i="26"/>
  <c r="O84" i="26"/>
  <c r="O89" i="26"/>
  <c r="R55" i="26"/>
  <c r="Z80" i="26"/>
  <c r="Z66" i="26"/>
  <c r="Z68" i="26"/>
  <c r="Z79" i="26"/>
  <c r="P83" i="26"/>
  <c r="Y75" i="26"/>
  <c r="Q82" i="26"/>
  <c r="Q56" i="26"/>
  <c r="Q69" i="26"/>
  <c r="AE140" i="26"/>
  <c r="AA108" i="26"/>
  <c r="AA50" i="26"/>
  <c r="AA59" i="26"/>
  <c r="AB109" i="26"/>
  <c r="AB74" i="26"/>
  <c r="AC58" i="26"/>
  <c r="AB52" i="26"/>
  <c r="AB47" i="26"/>
  <c r="AB61" i="26"/>
  <c r="AB60" i="26"/>
  <c r="AD49" i="26"/>
  <c r="AE137" i="26"/>
  <c r="AF48" i="26"/>
  <c r="AG136" i="26"/>
  <c r="AD58" i="26"/>
  <c r="AC52" i="26"/>
  <c r="AC47" i="26"/>
  <c r="AC61" i="26"/>
  <c r="AC60" i="26"/>
  <c r="AC74" i="26"/>
  <c r="AC109" i="26"/>
  <c r="AB108" i="26"/>
  <c r="AB50" i="26"/>
  <c r="AB59" i="26"/>
  <c r="AF140" i="26"/>
  <c r="AF141" i="26"/>
  <c r="AF73" i="26"/>
  <c r="AF85" i="26"/>
  <c r="AF99" i="26"/>
  <c r="Q77" i="26"/>
  <c r="Q70" i="26"/>
  <c r="P86" i="26"/>
  <c r="P87" i="26"/>
  <c r="P90" i="26"/>
  <c r="P84" i="26"/>
  <c r="P89" i="26"/>
  <c r="P88" i="26"/>
  <c r="Z75" i="26"/>
  <c r="R82" i="26"/>
  <c r="R56" i="26"/>
  <c r="R69" i="26"/>
  <c r="AA80" i="26"/>
  <c r="AA66" i="26"/>
  <c r="AA68" i="26"/>
  <c r="AA79" i="26"/>
  <c r="AE141" i="26"/>
  <c r="AE73" i="26"/>
  <c r="AE85" i="26"/>
  <c r="AE99" i="26"/>
  <c r="S53" i="26"/>
  <c r="P72" i="26"/>
  <c r="AD76" i="26"/>
  <c r="AE67" i="26"/>
  <c r="AG48" i="26"/>
  <c r="AH136" i="26"/>
  <c r="AE49" i="26"/>
  <c r="AF137" i="26"/>
  <c r="AF67" i="26"/>
  <c r="AE76" i="26"/>
  <c r="Q71" i="26"/>
  <c r="Q78" i="26"/>
  <c r="AB66" i="26"/>
  <c r="AB68" i="26"/>
  <c r="AB80" i="26"/>
  <c r="AB79" i="26"/>
  <c r="S55" i="26"/>
  <c r="AA75" i="26"/>
  <c r="R77" i="26"/>
  <c r="R70" i="26"/>
  <c r="Q83" i="26"/>
  <c r="AG140" i="26"/>
  <c r="AG141" i="26"/>
  <c r="AG73" i="26"/>
  <c r="AG85" i="26"/>
  <c r="AG99" i="26"/>
  <c r="AC108" i="26"/>
  <c r="AC50" i="26"/>
  <c r="AC59" i="26"/>
  <c r="AD109" i="26"/>
  <c r="AD74" i="26"/>
  <c r="AE58" i="26"/>
  <c r="AD52" i="26"/>
  <c r="AD47" i="26"/>
  <c r="AD61" i="26"/>
  <c r="AD60" i="26"/>
  <c r="AF49" i="26"/>
  <c r="AG137" i="26"/>
  <c r="AH48" i="26"/>
  <c r="AI136" i="26"/>
  <c r="Q72" i="26"/>
  <c r="AC80" i="26"/>
  <c r="AC66" i="26"/>
  <c r="AC68" i="26"/>
  <c r="AC79" i="26"/>
  <c r="S82" i="26"/>
  <c r="S56" i="26"/>
  <c r="S69" i="26"/>
  <c r="AF58" i="26"/>
  <c r="AE52" i="26"/>
  <c r="AE47" i="26"/>
  <c r="AE61" i="26"/>
  <c r="AE60" i="26"/>
  <c r="AE74" i="26"/>
  <c r="AE109" i="26"/>
  <c r="AD108" i="26"/>
  <c r="AD50" i="26"/>
  <c r="AD59" i="26"/>
  <c r="AH140" i="26"/>
  <c r="Q86" i="26"/>
  <c r="Q87" i="26"/>
  <c r="Q90" i="26"/>
  <c r="Q88" i="26"/>
  <c r="Q84" i="26"/>
  <c r="Q89" i="26"/>
  <c r="R71" i="26"/>
  <c r="R78" i="26"/>
  <c r="R83" i="26"/>
  <c r="T53" i="26"/>
  <c r="AB75" i="26"/>
  <c r="AF76" i="26"/>
  <c r="AG67" i="26"/>
  <c r="AR67" i="26"/>
  <c r="AJ136" i="26"/>
  <c r="AI48" i="26"/>
  <c r="AH137" i="26"/>
  <c r="AG49" i="26"/>
  <c r="R86" i="26"/>
  <c r="R87" i="26"/>
  <c r="R90" i="26"/>
  <c r="R88" i="26"/>
  <c r="R84" i="26"/>
  <c r="R89" i="26"/>
  <c r="AI141" i="26"/>
  <c r="AI73" i="26"/>
  <c r="AI85" i="26"/>
  <c r="AI99" i="26"/>
  <c r="AI140" i="26"/>
  <c r="AE108" i="26"/>
  <c r="AE50" i="26"/>
  <c r="AE59" i="26"/>
  <c r="AF109" i="26"/>
  <c r="AF74" i="26"/>
  <c r="AG58" i="26"/>
  <c r="AF52" i="26"/>
  <c r="AF47" i="26"/>
  <c r="AF61" i="26"/>
  <c r="AF60" i="26"/>
  <c r="AC75" i="26"/>
  <c r="AH67" i="26"/>
  <c r="AG76" i="26"/>
  <c r="T55" i="26"/>
  <c r="R72" i="26"/>
  <c r="AH141" i="26"/>
  <c r="AH73" i="26"/>
  <c r="AH85" i="26"/>
  <c r="AH99" i="26"/>
  <c r="AD80" i="26"/>
  <c r="AD66" i="26"/>
  <c r="AD68" i="26"/>
  <c r="AD79" i="26"/>
  <c r="S77" i="26"/>
  <c r="S70" i="26"/>
  <c r="AH49" i="26"/>
  <c r="AI137" i="26"/>
  <c r="AK136" i="26"/>
  <c r="AJ48" i="26"/>
  <c r="AD75" i="26"/>
  <c r="T82" i="26"/>
  <c r="T56" i="26"/>
  <c r="T69" i="26"/>
  <c r="AH76" i="26"/>
  <c r="AI67" i="26"/>
  <c r="AE80" i="26"/>
  <c r="AE66" i="26"/>
  <c r="AE68" i="26"/>
  <c r="AE79" i="26"/>
  <c r="S71" i="26"/>
  <c r="S78" i="26"/>
  <c r="S83" i="26"/>
  <c r="U53" i="26"/>
  <c r="AH58" i="26"/>
  <c r="AG52" i="26"/>
  <c r="AG47" i="26"/>
  <c r="AG61" i="26"/>
  <c r="AG60" i="26"/>
  <c r="AG74" i="26"/>
  <c r="AG109" i="26"/>
  <c r="AF108" i="26"/>
  <c r="AF50" i="26"/>
  <c r="AF59" i="26"/>
  <c r="AJ140" i="26"/>
  <c r="AJ141" i="26"/>
  <c r="AJ73" i="26"/>
  <c r="AJ85" i="26"/>
  <c r="AJ99" i="26"/>
  <c r="AJ137" i="26"/>
  <c r="AI49" i="26"/>
  <c r="AK48" i="26"/>
  <c r="AL136" i="26"/>
  <c r="S72" i="26"/>
  <c r="S86" i="26"/>
  <c r="S87" i="26"/>
  <c r="S90" i="26"/>
  <c r="S88" i="26"/>
  <c r="S84" i="26"/>
  <c r="S89" i="26"/>
  <c r="AG108" i="26"/>
  <c r="AG50" i="26"/>
  <c r="AG59" i="26"/>
  <c r="AH109" i="26"/>
  <c r="AF66" i="26"/>
  <c r="AF68" i="26"/>
  <c r="AF80" i="26"/>
  <c r="AF79" i="26"/>
  <c r="U55" i="26"/>
  <c r="V53" i="26"/>
  <c r="AE75" i="26"/>
  <c r="AK140" i="26"/>
  <c r="AH74" i="26"/>
  <c r="AI58" i="26"/>
  <c r="AH52" i="26"/>
  <c r="AH47" i="26"/>
  <c r="AH61" i="26"/>
  <c r="AH60" i="26"/>
  <c r="AJ67" i="26"/>
  <c r="AI76" i="26"/>
  <c r="T77" i="26"/>
  <c r="T70" i="26"/>
  <c r="AM136" i="26"/>
  <c r="AL48" i="26"/>
  <c r="AJ49" i="26"/>
  <c r="AK137" i="26"/>
  <c r="T71" i="26"/>
  <c r="T78" i="26"/>
  <c r="T83" i="26"/>
  <c r="AJ58" i="26"/>
  <c r="AI52" i="26"/>
  <c r="AI47" i="26"/>
  <c r="AI61" i="26"/>
  <c r="AI60" i="26"/>
  <c r="AI74" i="26"/>
  <c r="AL140" i="26"/>
  <c r="AL141" i="26"/>
  <c r="AL73" i="26"/>
  <c r="AL85" i="26"/>
  <c r="AL99" i="26"/>
  <c r="V55" i="26"/>
  <c r="AF75" i="26"/>
  <c r="AG80" i="26"/>
  <c r="AG66" i="26"/>
  <c r="AG68" i="26"/>
  <c r="AG79" i="26"/>
  <c r="AJ76" i="26"/>
  <c r="AK67" i="26"/>
  <c r="AK141" i="26"/>
  <c r="AK73" i="26"/>
  <c r="AK85" i="26"/>
  <c r="AK99" i="26"/>
  <c r="U82" i="26"/>
  <c r="U56" i="26"/>
  <c r="U69" i="26"/>
  <c r="AI109" i="26"/>
  <c r="AH108" i="26"/>
  <c r="AH50" i="26"/>
  <c r="AH59" i="26"/>
  <c r="AK49" i="26"/>
  <c r="AL137" i="26"/>
  <c r="AN136" i="26"/>
  <c r="AM48" i="26"/>
  <c r="AH80" i="26"/>
  <c r="AH66" i="26"/>
  <c r="AH68" i="26"/>
  <c r="AH79" i="26"/>
  <c r="U77" i="26"/>
  <c r="U70" i="26"/>
  <c r="AL67" i="26"/>
  <c r="AK76" i="26"/>
  <c r="T86" i="26"/>
  <c r="T87" i="26"/>
  <c r="T90" i="26"/>
  <c r="T88" i="26"/>
  <c r="T84" i="26"/>
  <c r="T89" i="26"/>
  <c r="AG75" i="26"/>
  <c r="V82" i="26"/>
  <c r="V56" i="26"/>
  <c r="V69" i="26"/>
  <c r="AI108" i="26"/>
  <c r="AI50" i="26"/>
  <c r="AI59" i="26"/>
  <c r="AJ109" i="26"/>
  <c r="W53" i="26"/>
  <c r="AM140" i="26"/>
  <c r="AM141" i="26"/>
  <c r="AM73" i="26"/>
  <c r="AM85" i="26"/>
  <c r="AM99" i="26"/>
  <c r="AJ74" i="26"/>
  <c r="AK58" i="26"/>
  <c r="AJ52" i="26"/>
  <c r="AJ47" i="26"/>
  <c r="AJ61" i="26"/>
  <c r="AJ60" i="26"/>
  <c r="T72" i="26"/>
  <c r="AM137" i="26"/>
  <c r="AL49" i="26"/>
  <c r="AO136" i="26"/>
  <c r="AN48" i="26"/>
  <c r="AK109" i="26"/>
  <c r="AJ108" i="26"/>
  <c r="AJ50" i="26"/>
  <c r="AJ59" i="26"/>
  <c r="V77" i="26"/>
  <c r="V70" i="26"/>
  <c r="AL58" i="26"/>
  <c r="AK52" i="26"/>
  <c r="AK47" i="26"/>
  <c r="AK61" i="26"/>
  <c r="AK60" i="26"/>
  <c r="AK74" i="26"/>
  <c r="AN140" i="26"/>
  <c r="W55" i="26"/>
  <c r="AI80" i="26"/>
  <c r="AI66" i="26"/>
  <c r="AI68" i="26"/>
  <c r="AI79" i="26"/>
  <c r="AL76" i="26"/>
  <c r="AM67" i="26"/>
  <c r="AH75" i="26"/>
  <c r="U71" i="26"/>
  <c r="U78" i="26"/>
  <c r="U83" i="26"/>
  <c r="AP136" i="26"/>
  <c r="AO48" i="26"/>
  <c r="AM49" i="26"/>
  <c r="AN137" i="26"/>
  <c r="U86" i="26"/>
  <c r="U87" i="26"/>
  <c r="U90" i="26"/>
  <c r="U88" i="26"/>
  <c r="U84" i="26"/>
  <c r="U89" i="26"/>
  <c r="W56" i="26"/>
  <c r="W69" i="26"/>
  <c r="W82" i="26"/>
  <c r="AO140" i="26"/>
  <c r="AO141" i="26"/>
  <c r="AO73" i="26"/>
  <c r="AO85" i="26"/>
  <c r="AO99" i="26"/>
  <c r="AL74" i="26"/>
  <c r="AM58" i="26"/>
  <c r="AL52" i="26"/>
  <c r="AL47" i="26"/>
  <c r="AL61" i="26"/>
  <c r="AL60" i="26"/>
  <c r="V71" i="26"/>
  <c r="V78" i="26"/>
  <c r="V83" i="26"/>
  <c r="AJ66" i="26"/>
  <c r="AJ68" i="26"/>
  <c r="AJ80" i="26"/>
  <c r="AJ79" i="26"/>
  <c r="AN67" i="26"/>
  <c r="AM76" i="26"/>
  <c r="U72" i="26"/>
  <c r="AI75" i="26"/>
  <c r="X53" i="26"/>
  <c r="AN141" i="26"/>
  <c r="AN73" i="26"/>
  <c r="AN85" i="26"/>
  <c r="AN99" i="26"/>
  <c r="AK108" i="26"/>
  <c r="AK50" i="26"/>
  <c r="AK59" i="26"/>
  <c r="AL109" i="26"/>
  <c r="V72" i="26"/>
  <c r="AO137" i="26"/>
  <c r="AN49" i="26"/>
  <c r="AQ136" i="26"/>
  <c r="AR136" i="26"/>
  <c r="AS136" i="26"/>
  <c r="AT136" i="26"/>
  <c r="AU136" i="26"/>
  <c r="AV136" i="26"/>
  <c r="AW136" i="26"/>
  <c r="AX136" i="26"/>
  <c r="AY136" i="26"/>
  <c r="AP48" i="26"/>
  <c r="AK80" i="26"/>
  <c r="AK66" i="26"/>
  <c r="AK68" i="26"/>
  <c r="AK79" i="26"/>
  <c r="AJ75" i="26"/>
  <c r="W77" i="26"/>
  <c r="W70" i="26"/>
  <c r="AM109" i="26"/>
  <c r="AL108" i="26"/>
  <c r="AL50" i="26"/>
  <c r="AL59" i="26"/>
  <c r="V86" i="26"/>
  <c r="V87" i="26"/>
  <c r="V90" i="26"/>
  <c r="V84" i="26"/>
  <c r="V89" i="26"/>
  <c r="V88" i="26"/>
  <c r="X55" i="26"/>
  <c r="AN76" i="26"/>
  <c r="AO67" i="26"/>
  <c r="AN58" i="26"/>
  <c r="AM52" i="26"/>
  <c r="AM47" i="26"/>
  <c r="AM61" i="26"/>
  <c r="AM60" i="26"/>
  <c r="AM74" i="26"/>
  <c r="AP140" i="26"/>
  <c r="AP137" i="26"/>
  <c r="AO49" i="26"/>
  <c r="AM108" i="26"/>
  <c r="AM50" i="26"/>
  <c r="AM59" i="26"/>
  <c r="AN109" i="26"/>
  <c r="AK75" i="26"/>
  <c r="AQ140" i="26"/>
  <c r="AQ141" i="26"/>
  <c r="AN74" i="26"/>
  <c r="AO58" i="26"/>
  <c r="AN52" i="26"/>
  <c r="AN47" i="26"/>
  <c r="AN61" i="26"/>
  <c r="AN60" i="26"/>
  <c r="X82" i="26"/>
  <c r="X56" i="26"/>
  <c r="X69" i="26"/>
  <c r="AP141" i="26"/>
  <c r="AP73" i="26"/>
  <c r="AP85" i="26"/>
  <c r="AP99" i="26"/>
  <c r="AQ99" i="26"/>
  <c r="A100" i="26"/>
  <c r="AP67" i="26"/>
  <c r="AO76" i="26"/>
  <c r="Y53" i="26"/>
  <c r="AL80" i="26"/>
  <c r="AL66" i="26"/>
  <c r="AL68" i="26"/>
  <c r="AL79" i="26"/>
  <c r="W71" i="26"/>
  <c r="W78" i="26"/>
  <c r="W83" i="26"/>
  <c r="AP49" i="26"/>
  <c r="AQ137" i="26"/>
  <c r="AR137" i="26"/>
  <c r="AS137" i="26"/>
  <c r="AT137" i="26"/>
  <c r="AU137" i="26"/>
  <c r="AV137" i="26"/>
  <c r="AW137" i="26"/>
  <c r="AX137" i="26"/>
  <c r="AY137" i="26"/>
  <c r="W72" i="26"/>
  <c r="W86" i="26"/>
  <c r="W87" i="26"/>
  <c r="W90" i="26"/>
  <c r="W84" i="26"/>
  <c r="W89" i="26"/>
  <c r="W88" i="26"/>
  <c r="AO109" i="26"/>
  <c r="AN108" i="26"/>
  <c r="AN50" i="26"/>
  <c r="AN59" i="26"/>
  <c r="AL75" i="26"/>
  <c r="Y55" i="26"/>
  <c r="AP76" i="26"/>
  <c r="AS67" i="26"/>
  <c r="X77" i="26"/>
  <c r="X70" i="26"/>
  <c r="AP58" i="26"/>
  <c r="AO52" i="26"/>
  <c r="AO47" i="26"/>
  <c r="AO61" i="26"/>
  <c r="AO60" i="26"/>
  <c r="AO74" i="26"/>
  <c r="AR140" i="26"/>
  <c r="AM80" i="26"/>
  <c r="AM66" i="26"/>
  <c r="AM68" i="26"/>
  <c r="AM79" i="26"/>
  <c r="AS140" i="26"/>
  <c r="AS141" i="26"/>
  <c r="AP74" i="26"/>
  <c r="AP52" i="26"/>
  <c r="AP47" i="26"/>
  <c r="AP61" i="26"/>
  <c r="AP60" i="26"/>
  <c r="Y82" i="26"/>
  <c r="Y56" i="26"/>
  <c r="Y69" i="26"/>
  <c r="AO108" i="26"/>
  <c r="AO50" i="26"/>
  <c r="AO59" i="26"/>
  <c r="AP109" i="26"/>
  <c r="AP108" i="26"/>
  <c r="AP50" i="26"/>
  <c r="AP59" i="26"/>
  <c r="AM75" i="26"/>
  <c r="AR141" i="26"/>
  <c r="X71" i="26"/>
  <c r="X78" i="26"/>
  <c r="X83" i="26"/>
  <c r="Z53" i="26"/>
  <c r="AN66" i="26"/>
  <c r="AN68" i="26"/>
  <c r="AN80" i="26"/>
  <c r="AN79" i="26"/>
  <c r="X86" i="26"/>
  <c r="X87" i="26"/>
  <c r="X90" i="26"/>
  <c r="X88" i="26"/>
  <c r="X84" i="26"/>
  <c r="X89" i="26"/>
  <c r="AN75" i="26"/>
  <c r="Z55" i="26"/>
  <c r="AA53" i="26"/>
  <c r="X72" i="26"/>
  <c r="AP80" i="26"/>
  <c r="AP66" i="26"/>
  <c r="AP68" i="26"/>
  <c r="Y77" i="26"/>
  <c r="Y70" i="26"/>
  <c r="AT140" i="26"/>
  <c r="AO80" i="26"/>
  <c r="AO66" i="26"/>
  <c r="AO68" i="26"/>
  <c r="AO79" i="26"/>
  <c r="AP79" i="26"/>
  <c r="AO75" i="26"/>
  <c r="AU140" i="26"/>
  <c r="AU141" i="26"/>
  <c r="AP75" i="26"/>
  <c r="AA55" i="26"/>
  <c r="AB53" i="26"/>
  <c r="AT141" i="26"/>
  <c r="Y71" i="26"/>
  <c r="Y78" i="26"/>
  <c r="Y83" i="26"/>
  <c r="Z82" i="26"/>
  <c r="Z56" i="26"/>
  <c r="Z69" i="26"/>
  <c r="Y86" i="26"/>
  <c r="Y87" i="26"/>
  <c r="Y90" i="26"/>
  <c r="Y84" i="26"/>
  <c r="Y89" i="26"/>
  <c r="Y88" i="26"/>
  <c r="Z77" i="26"/>
  <c r="Z70" i="26"/>
  <c r="Y72" i="26"/>
  <c r="AA82" i="26"/>
  <c r="AA56" i="26"/>
  <c r="AA69" i="26"/>
  <c r="AV140" i="26"/>
  <c r="AB55" i="26"/>
  <c r="AC53" i="26"/>
  <c r="AC55" i="26"/>
  <c r="AD53" i="26"/>
  <c r="AW140" i="26"/>
  <c r="Z71" i="26"/>
  <c r="Z78" i="26"/>
  <c r="Z83" i="26"/>
  <c r="AB82" i="26"/>
  <c r="AB56" i="26"/>
  <c r="AB69" i="26"/>
  <c r="AV141" i="26"/>
  <c r="AA77" i="26"/>
  <c r="AA70" i="26"/>
  <c r="Z86" i="26"/>
  <c r="Z87" i="26"/>
  <c r="Z90" i="26"/>
  <c r="Z88" i="26"/>
  <c r="Z84" i="26"/>
  <c r="Z89" i="26"/>
  <c r="AB77" i="26"/>
  <c r="AB70" i="26"/>
  <c r="AX140" i="26"/>
  <c r="AX141" i="26"/>
  <c r="AD55" i="26"/>
  <c r="AA71" i="26"/>
  <c r="AA78" i="26"/>
  <c r="AA83" i="26"/>
  <c r="Z72" i="26"/>
  <c r="AW141" i="26"/>
  <c r="AC82" i="26"/>
  <c r="AC56" i="26"/>
  <c r="AC69" i="26"/>
  <c r="AA72" i="26"/>
  <c r="AC77" i="26"/>
  <c r="AC70" i="26"/>
  <c r="AD82" i="26"/>
  <c r="AD56" i="26"/>
  <c r="AD69" i="26"/>
  <c r="AB71" i="26"/>
  <c r="AB78" i="26"/>
  <c r="AB83" i="26"/>
  <c r="AA86" i="26"/>
  <c r="AA87" i="26"/>
  <c r="AA90" i="26"/>
  <c r="AA84" i="26"/>
  <c r="AA89" i="26"/>
  <c r="AA88" i="26"/>
  <c r="AE53" i="26"/>
  <c r="AY140" i="26"/>
  <c r="AY141" i="26"/>
  <c r="AB86" i="26"/>
  <c r="AB87" i="26"/>
  <c r="AB90" i="26"/>
  <c r="AB88" i="26"/>
  <c r="AB84" i="26"/>
  <c r="AB89" i="26"/>
  <c r="AE55" i="26"/>
  <c r="AD77" i="26"/>
  <c r="AD70" i="26"/>
  <c r="AC71" i="26"/>
  <c r="AC78" i="26"/>
  <c r="AC83" i="26"/>
  <c r="AB72" i="26"/>
  <c r="AC86" i="26"/>
  <c r="AC87" i="26"/>
  <c r="AC90" i="26"/>
  <c r="AC88" i="26"/>
  <c r="AC84" i="26"/>
  <c r="AC89" i="26"/>
  <c r="AE56" i="26"/>
  <c r="AE69" i="26"/>
  <c r="AE82" i="26"/>
  <c r="AC72" i="26"/>
  <c r="AD71" i="26"/>
  <c r="AD78" i="26"/>
  <c r="AD83" i="26"/>
  <c r="AF53" i="26"/>
  <c r="AD72" i="26"/>
  <c r="AF55" i="26"/>
  <c r="AD86" i="26"/>
  <c r="AD87" i="26"/>
  <c r="AD90" i="26"/>
  <c r="AD88" i="26"/>
  <c r="AD84" i="26"/>
  <c r="AD89" i="26"/>
  <c r="AE77" i="26"/>
  <c r="AE70" i="26"/>
  <c r="AF82" i="26"/>
  <c r="AF56" i="26"/>
  <c r="AF69" i="26"/>
  <c r="AE71" i="26"/>
  <c r="AE78" i="26"/>
  <c r="AE83" i="26"/>
  <c r="AG53" i="26"/>
  <c r="AE86" i="26"/>
  <c r="AE87" i="26"/>
  <c r="AE90" i="26"/>
  <c r="AE84" i="26"/>
  <c r="AE89" i="26"/>
  <c r="AE88" i="26"/>
  <c r="AG55" i="26"/>
  <c r="AH53" i="26"/>
  <c r="AE72" i="26"/>
  <c r="AF77" i="26"/>
  <c r="AF70" i="26"/>
  <c r="AH55" i="26"/>
  <c r="AI53" i="26"/>
  <c r="AF71" i="26"/>
  <c r="AF78" i="26"/>
  <c r="AF83" i="26"/>
  <c r="AG82" i="26"/>
  <c r="AG56" i="26"/>
  <c r="AG69" i="26"/>
  <c r="AF72" i="26"/>
  <c r="AF86" i="26"/>
  <c r="AF87" i="26"/>
  <c r="AF90" i="26"/>
  <c r="AF88" i="26"/>
  <c r="AF84" i="26"/>
  <c r="AF89" i="26"/>
  <c r="AI55" i="26"/>
  <c r="AG77" i="26"/>
  <c r="AG70" i="26"/>
  <c r="AH82" i="26"/>
  <c r="AH56" i="26"/>
  <c r="AH69" i="26"/>
  <c r="AI82" i="26"/>
  <c r="AI56" i="26"/>
  <c r="AI69" i="26"/>
  <c r="AH77" i="26"/>
  <c r="AH70" i="26"/>
  <c r="AG71" i="26"/>
  <c r="AG78" i="26"/>
  <c r="AG83" i="26"/>
  <c r="AJ53" i="26"/>
  <c r="AG86" i="26"/>
  <c r="AG87" i="26"/>
  <c r="AG90" i="26"/>
  <c r="AG84" i="26"/>
  <c r="AG89" i="26"/>
  <c r="AG88" i="26"/>
  <c r="AJ55" i="26"/>
  <c r="AK53" i="26"/>
  <c r="AG72" i="26"/>
  <c r="AH71" i="26"/>
  <c r="AH78" i="26"/>
  <c r="AH83" i="26"/>
  <c r="AI77" i="26"/>
  <c r="AI70" i="26"/>
  <c r="AH72" i="26"/>
  <c r="AH86" i="26"/>
  <c r="AH87" i="26"/>
  <c r="AH90" i="26"/>
  <c r="AH88" i="26"/>
  <c r="AH84" i="26"/>
  <c r="AH89" i="26"/>
  <c r="AK55" i="26"/>
  <c r="AI71" i="26"/>
  <c r="AI78" i="26"/>
  <c r="AI83" i="26"/>
  <c r="AJ82" i="26"/>
  <c r="AJ56" i="26"/>
  <c r="AJ69" i="26"/>
  <c r="AI86" i="26"/>
  <c r="AI87" i="26"/>
  <c r="AI90" i="26"/>
  <c r="AI84" i="26"/>
  <c r="AI89" i="26"/>
  <c r="AI88" i="26"/>
  <c r="AK82" i="26"/>
  <c r="AK56" i="26"/>
  <c r="AK69" i="26"/>
  <c r="AJ77" i="26"/>
  <c r="AJ70" i="26"/>
  <c r="AI72" i="26"/>
  <c r="AL53" i="26"/>
  <c r="AL55" i="26"/>
  <c r="AM53" i="26"/>
  <c r="AJ71" i="26"/>
  <c r="AJ78" i="26"/>
  <c r="AJ83" i="26"/>
  <c r="AK77" i="26"/>
  <c r="AK70" i="26"/>
  <c r="AJ72" i="26"/>
  <c r="AJ86" i="26"/>
  <c r="AJ87" i="26"/>
  <c r="AJ90" i="26"/>
  <c r="AJ88" i="26"/>
  <c r="AJ84" i="26"/>
  <c r="AJ89" i="26"/>
  <c r="AM55" i="26"/>
  <c r="AN53" i="26"/>
  <c r="AK71" i="26"/>
  <c r="AK78" i="26"/>
  <c r="AK83" i="26"/>
  <c r="AL82" i="26"/>
  <c r="AL56" i="26"/>
  <c r="AL69" i="26"/>
  <c r="AK72" i="26"/>
  <c r="AL77" i="26"/>
  <c r="AL70" i="26"/>
  <c r="AN55" i="26"/>
  <c r="AK86" i="26"/>
  <c r="AK87" i="26"/>
  <c r="AK90" i="26"/>
  <c r="AK84" i="26"/>
  <c r="AK89" i="26"/>
  <c r="AK88" i="26"/>
  <c r="AM56" i="26"/>
  <c r="AM69" i="26"/>
  <c r="AM82" i="26"/>
  <c r="AM77" i="26"/>
  <c r="AM70" i="26"/>
  <c r="AN82" i="26"/>
  <c r="AN56" i="26"/>
  <c r="AN69" i="26"/>
  <c r="AL71" i="26"/>
  <c r="AL78" i="26"/>
  <c r="AL83" i="26"/>
  <c r="AO53" i="26"/>
  <c r="AN77" i="26"/>
  <c r="AN70" i="26"/>
  <c r="AM71" i="26"/>
  <c r="AM78" i="26"/>
  <c r="AM83" i="26"/>
  <c r="AL86" i="26"/>
  <c r="AL87" i="26"/>
  <c r="AL90" i="26"/>
  <c r="AL88" i="26"/>
  <c r="AL84" i="26"/>
  <c r="AL89" i="26"/>
  <c r="AO55" i="26"/>
  <c r="AL72" i="26"/>
  <c r="AM72" i="26"/>
  <c r="AO82" i="26"/>
  <c r="AO56" i="26"/>
  <c r="AO69" i="26"/>
  <c r="AN71" i="26"/>
  <c r="AN78" i="26"/>
  <c r="AN83" i="26"/>
  <c r="AM86" i="26"/>
  <c r="AM87" i="26"/>
  <c r="AM90" i="26"/>
  <c r="AM88" i="26"/>
  <c r="AM84" i="26"/>
  <c r="AM89" i="26"/>
  <c r="AP53" i="26"/>
  <c r="AP55" i="26"/>
  <c r="AN86" i="26"/>
  <c r="AN87" i="26"/>
  <c r="AN90" i="26"/>
  <c r="AN84" i="26"/>
  <c r="AN89" i="26"/>
  <c r="AN88" i="26"/>
  <c r="AP82" i="26"/>
  <c r="AP56" i="26"/>
  <c r="AP69" i="26"/>
  <c r="AO77" i="26"/>
  <c r="AO70" i="26"/>
  <c r="AN72" i="26"/>
  <c r="AO71" i="26"/>
  <c r="AO78" i="26"/>
  <c r="AO83" i="26"/>
  <c r="AP77" i="26"/>
  <c r="AP70" i="26"/>
  <c r="AO86" i="26"/>
  <c r="AO87" i="26"/>
  <c r="AO90" i="26"/>
  <c r="AO88" i="26"/>
  <c r="AO84" i="26"/>
  <c r="AO89" i="26"/>
  <c r="AP71" i="26"/>
  <c r="AP78" i="26"/>
  <c r="AP83" i="26"/>
  <c r="AO72" i="26"/>
  <c r="AP72" i="26"/>
  <c r="AP86" i="26"/>
  <c r="AP87" i="26"/>
  <c r="AP88" i="26"/>
  <c r="AP84" i="26"/>
  <c r="AP89" i="26"/>
  <c r="A101" i="26"/>
  <c r="B102" i="26"/>
  <c r="AP90" i="26"/>
  <c r="B22" i="23"/>
  <c r="A14" i="24"/>
  <c r="A11" i="24"/>
  <c r="A8"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23" i="24"/>
  <c r="A4" i="24"/>
  <c r="A15" i="23"/>
  <c r="B21" i="23"/>
  <c r="A12" i="23"/>
  <c r="A9" i="23"/>
  <c r="A14" i="12"/>
  <c r="A11" i="12"/>
  <c r="A8" i="12"/>
  <c r="A4" i="12"/>
  <c r="A15" i="10"/>
  <c r="A12" i="10"/>
  <c r="A9" i="10"/>
  <c r="A5" i="10"/>
  <c r="A5" i="26"/>
  <c r="A15" i="5"/>
  <c r="A12" i="5"/>
  <c r="A9" i="5"/>
  <c r="A5" i="5"/>
  <c r="A5" i="23"/>
  <c r="A15" i="16"/>
  <c r="A14" i="27"/>
  <c r="A12" i="16"/>
  <c r="A11" i="27"/>
  <c r="A9" i="16"/>
  <c r="A8" i="27"/>
  <c r="A5" i="16"/>
  <c r="A4" i="27"/>
  <c r="A14" i="17"/>
  <c r="A11" i="17"/>
  <c r="A8" i="17"/>
  <c r="A4" i="17"/>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S30" i="24"/>
</calcChain>
</file>

<file path=xl/sharedStrings.xml><?xml version="1.0" encoding="utf-8"?>
<sst xmlns="http://schemas.openxmlformats.org/spreadsheetml/2006/main" count="3394" uniqueCount="1047">
  <si>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</si>
  <si>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</si>
  <si>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</si>
  <si>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</si>
  <si>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</si>
  <si>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</si>
  <si>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</si>
  <si>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</si>
  <si>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</si>
  <si>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</si>
  <si>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</si>
  <si>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</si>
  <si>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</si>
  <si>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</si>
  <si>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</si>
  <si>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</si>
  <si>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</si>
  <si>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</si>
  <si>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</si>
  <si>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</si>
  <si>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</si>
  <si>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</si>
  <si>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</si>
  <si>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</si>
  <si>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</si>
  <si>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</si>
  <si>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</si>
  <si>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</si>
  <si>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</si>
  <si>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</si>
  <si>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</si>
  <si>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</si>
  <si>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</si>
  <si>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</si>
  <si>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</si>
  <si>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</si>
  <si>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</si>
  <si>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</si>
  <si>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</si>
  <si>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</si>
  <si>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</si>
  <si>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</si>
  <si>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</si>
  <si>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</si>
  <si>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</si>
  <si>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</si>
  <si>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</si>
  <si>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</si>
  <si>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</si>
  <si>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</si>
  <si>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</si>
  <si>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</si>
  <si>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</si>
  <si>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</si>
  <si>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</si>
  <si>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</si>
  <si>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</si>
  <si>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</si>
  <si>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</si>
  <si>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</si>
  <si>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</si>
  <si>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</si>
  <si>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</si>
  <si>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</si>
  <si>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</si>
  <si>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</si>
  <si>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</si>
  <si>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</si>
  <si>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</si>
  <si>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</si>
  <si>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</si>
  <si>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</si>
  <si>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</si>
  <si>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</si>
  <si>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</si>
  <si>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</si>
  <si>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</si>
  <si>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</si>
  <si>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</si>
  <si>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</si>
  <si>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</si>
  <si>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</si>
  <si>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</si>
  <si>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</si>
  <si>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</si>
  <si>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</si>
  <si>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</si>
  <si>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</si>
  <si>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</si>
  <si>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</si>
  <si>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</si>
  <si>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</si>
  <si>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</si>
  <si>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</si>
  <si>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</si>
  <si>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</si>
  <si>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</si>
  <si>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</si>
  <si>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</si>
  <si>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</si>
  <si>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</si>
  <si>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</si>
  <si>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</si>
  <si>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</si>
  <si>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</si>
  <si>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</si>
  <si>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</si>
  <si>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</si>
  <si>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</si>
  <si>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</si>
  <si>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</si>
  <si>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</si>
  <si>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</si>
  <si>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</si>
  <si>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</si>
  <si>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</si>
  <si>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</si>
  <si>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</si>
  <si>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</si>
  <si>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</si>
  <si>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</si>
  <si>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</si>
  <si>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</si>
  <si>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</si>
  <si>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</si>
  <si>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</si>
  <si>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</si>
  <si>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</si>
  <si>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</si>
  <si>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</si>
  <si>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</si>
  <si>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</si>
  <si>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</si>
  <si>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</si>
  <si>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</si>
  <si>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</si>
  <si>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</si>
  <si>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</si>
  <si>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</si>
  <si>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</si>
  <si>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</si>
  <si>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</si>
  <si>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</si>
  <si>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</si>
  <si>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</si>
  <si>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</si>
  <si>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</si>
  <si>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</si>
  <si>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</si>
  <si>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</si>
  <si>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</si>
  <si>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</si>
  <si>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</si>
  <si>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</si>
  <si>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</si>
  <si>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</si>
  <si>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</si>
  <si>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</si>
  <si>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</si>
  <si>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</si>
  <si>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</si>
  <si>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</si>
  <si>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</si>
  <si>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</si>
  <si>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</si>
  <si>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</si>
  <si>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</si>
  <si>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</si>
  <si>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</si>
  <si>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</si>
  <si>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</si>
  <si>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</si>
  <si>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</si>
  <si>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</si>
  <si>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</si>
  <si>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</si>
  <si>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</si>
  <si>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</si>
  <si>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</si>
  <si>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</si>
  <si>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</si>
  <si>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</si>
  <si>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</si>
  <si>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</si>
  <si>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</si>
  <si>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</si>
  <si>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</si>
  <si>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</si>
  <si>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</si>
  <si>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</si>
  <si>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</si>
  <si>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</si>
  <si>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</si>
  <si>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</si>
  <si>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</si>
  <si>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</si>
  <si>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</si>
  <si>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</si>
  <si>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</si>
  <si>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</si>
  <si>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</si>
  <si>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</si>
  <si>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</si>
  <si>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</si>
  <si>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</si>
  <si>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</si>
  <si>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</si>
  <si>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</si>
  <si>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</si>
  <si>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</si>
  <si>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</si>
  <si>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</si>
  <si>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</si>
  <si>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</si>
  <si>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</si>
  <si>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</si>
  <si>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</si>
  <si>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</si>
  <si>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</si>
  <si>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</si>
  <si>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</si>
  <si>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</si>
  <si>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</si>
  <si>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</si>
  <si>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</si>
  <si>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</si>
  <si>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</si>
  <si>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</si>
  <si>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</si>
  <si>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</si>
  <si>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</si>
  <si>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</si>
  <si>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</si>
  <si>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</si>
  <si>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</si>
  <si>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</si>
  <si>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</si>
  <si>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</si>
  <si>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</si>
  <si>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</si>
  <si>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</si>
  <si>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</si>
  <si>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</si>
  <si>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</si>
  <si>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</si>
  <si>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</si>
  <si>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</si>
  <si>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</si>
  <si>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</si>
  <si>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</si>
  <si>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</si>
  <si>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</si>
  <si>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</si>
  <si>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</si>
  <si>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</si>
  <si>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</si>
  <si>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</si>
  <si>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</si>
  <si>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</si>
  <si>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</si>
  <si>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</si>
  <si>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</si>
  <si>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</si>
  <si>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</si>
  <si>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</si>
  <si>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</si>
  <si>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</si>
  <si>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</si>
  <si>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</si>
  <si>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</si>
  <si>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</si>
  <si>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</si>
  <si>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</si>
  <si>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</si>
  <si>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</si>
  <si>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</si>
  <si>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</si>
  <si>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</si>
  <si>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</si>
  <si>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</si>
  <si>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</si>
  <si>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</si>
  <si>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</si>
  <si>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</si>
  <si>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</si>
  <si>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</si>
  <si>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</si>
  <si>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</si>
  <si>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</si>
  <si>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</si>
  <si>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</si>
  <si>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</si>
  <si>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</si>
  <si>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</si>
  <si>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</si>
  <si>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</si>
  <si>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</si>
  <si>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</si>
  <si>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</si>
  <si>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</si>
  <si>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</si>
  <si>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</si>
  <si>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</si>
  <si>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</si>
  <si>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</si>
  <si>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</si>
  <si>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</si>
  <si>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</si>
  <si>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</si>
  <si>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</si>
  <si>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</si>
  <si>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</si>
  <si>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</si>
  <si>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</si>
  <si>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</si>
  <si>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</si>
  <si>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</si>
  <si>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</si>
  <si>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</si>
  <si>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</si>
  <si>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</si>
  <si>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</si>
  <si>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</si>
  <si>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</si>
  <si>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</si>
  <si>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</si>
  <si>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</si>
  <si>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</si>
  <si>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</si>
  <si>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</si>
  <si>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</si>
  <si>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</si>
  <si>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</si>
  <si>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</si>
  <si>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</si>
  <si>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</si>
  <si>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</si>
  <si>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</si>
  <si>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</si>
  <si>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</si>
  <si>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</si>
  <si>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</si>
  <si>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</si>
  <si>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</si>
  <si>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</si>
  <si>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</si>
  <si>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</si>
  <si>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</si>
  <si>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</si>
  <si>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</si>
  <si>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</si>
  <si>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</si>
  <si>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</si>
  <si>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</si>
  <si>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</si>
  <si>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</si>
  <si>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</si>
  <si>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</si>
  <si>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</si>
  <si>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</si>
  <si>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</si>
  <si>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</si>
  <si>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</si>
  <si>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</si>
  <si>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</si>
  <si>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</si>
  <si>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</si>
  <si>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</si>
  <si>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</si>
  <si>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</si>
  <si>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</si>
  <si>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</si>
  <si>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</si>
  <si>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</si>
  <si>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</si>
  <si>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</si>
  <si>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</si>
  <si>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</si>
  <si>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</si>
  <si>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</si>
  <si>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</si>
  <si>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</si>
  <si>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</si>
  <si>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</si>
  <si>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</si>
  <si>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</si>
  <si>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</si>
  <si>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</si>
  <si>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</si>
  <si>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</si>
  <si>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</si>
  <si>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</si>
  <si>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</si>
  <si>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</si>
  <si>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</si>
  <si>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</si>
  <si>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</si>
  <si>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</si>
  <si>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</si>
  <si>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</si>
  <si>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</si>
  <si>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</si>
  <si>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</si>
  <si>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</si>
  <si>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</si>
  <si>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</si>
  <si>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</si>
  <si>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</si>
  <si>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</si>
  <si>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</si>
  <si>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</si>
  <si>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</si>
  <si>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</si>
  <si>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</si>
  <si>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</si>
  <si>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</si>
  <si>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</si>
  <si>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</si>
  <si>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</si>
  <si>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</si>
  <si>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</si>
  <si>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</si>
  <si>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</si>
  <si>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</si>
  <si>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</si>
  <si>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</si>
  <si>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</si>
  <si>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</si>
  <si>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</si>
  <si>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</si>
  <si>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</si>
  <si>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</si>
  <si>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</si>
  <si>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</si>
  <si>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</si>
  <si>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</si>
  <si>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</si>
  <si>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</si>
  <si>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</si>
  <si>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</si>
  <si>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</si>
  <si>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</si>
  <si>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</si>
  <si>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</si>
  <si>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</si>
  <si>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</si>
  <si>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</si>
  <si>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</si>
  <si>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</si>
  <si>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</si>
  <si>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</si>
  <si>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</si>
  <si>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</si>
  <si>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</si>
  <si>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</si>
  <si>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</si>
  <si>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</si>
  <si>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</si>
  <si>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</si>
  <si>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</si>
  <si>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</si>
  <si>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</si>
  <si>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</si>
  <si>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</si>
  <si>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</si>
  <si>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</si>
  <si>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</si>
  <si>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</si>
  <si>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</si>
  <si>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</si>
  <si>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</si>
  <si>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</si>
  <si>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</si>
  <si>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</si>
  <si>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</si>
  <si>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</si>
  <si>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</si>
  <si>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</si>
  <si>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</si>
  <si>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</si>
  <si>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</si>
  <si>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</si>
  <si>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</si>
  <si>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</si>
  <si>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</si>
  <si>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</si>
  <si>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</si>
  <si>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</si>
  <si>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</si>
  <si>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</si>
  <si>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</si>
  <si>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</si>
  <si>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</si>
  <si>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</si>
  <si>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</si>
  <si>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</si>
  <si>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</si>
  <si>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</si>
  <si>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</si>
  <si>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</si>
  <si>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</si>
  <si>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</si>
  <si>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</si>
  <si>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</si>
  <si>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</si>
  <si>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</si>
  <si>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</si>
  <si>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</si>
  <si>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</si>
  <si>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</si>
  <si>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</si>
  <si>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</si>
  <si>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</si>
  <si>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</si>
  <si>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</si>
  <si>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</si>
  <si>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</si>
  <si>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</si>
  <si>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</si>
  <si>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</si>
  <si>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</si>
  <si>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</si>
  <si>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</si>
  <si>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</si>
  <si>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</si>
  <si>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</si>
  <si>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</si>
  <si>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</si>
  <si>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</si>
  <si>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</si>
  <si>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</si>
  <si>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</si>
  <si>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</si>
  <si>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</si>
  <si>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</si>
  <si>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</si>
  <si>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</si>
  <si>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</si>
  <si>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</si>
  <si>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</si>
  <si>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</si>
  <si>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</si>
  <si>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</si>
  <si>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</si>
  <si>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</si>
  <si>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</si>
  <si>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</si>
  <si>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</si>
  <si>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</si>
  <si>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</si>
  <si>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</si>
  <si>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2021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</si>
  <si>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</si>
  <si>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</si>
  <si>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</si>
  <si>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</si>
  <si>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</si>
  <si>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</si>
  <si>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</si>
  <si>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</si>
  <si>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</si>
  <si>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</si>
  <si>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</si>
  <si>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</si>
  <si>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</si>
  <si>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</si>
  <si>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</si>
  <si>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</si>
  <si>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</si>
  <si>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</si>
  <si>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</si>
  <si>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</si>
  <si>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</si>
  <si>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</si>
  <si>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</si>
  <si>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</si>
  <si>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</si>
  <si>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</si>
  <si>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</si>
  <si>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</si>
  <si>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</si>
  <si>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</si>
  <si>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</si>
  <si>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</si>
  <si>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</si>
  <si>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</si>
  <si>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</si>
  <si>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</si>
  <si>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</si>
  <si>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</si>
  <si>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</si>
  <si>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</si>
  <si>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</si>
  <si>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</si>
  <si>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</si>
  <si>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</si>
  <si>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2016 г.</t>
  </si>
  <si>
    <t>2017 г.</t>
  </si>
  <si>
    <t>2018 г.</t>
  </si>
  <si>
    <t>2019 г.</t>
  </si>
  <si>
    <t>2020 г.</t>
  </si>
  <si>
    <t>Технологическое присоединение энергопринимающих устройств потребителей максимальной мощностью до 15 кВт включительно</t>
  </si>
  <si>
    <t>не требуется</t>
  </si>
  <si>
    <t xml:space="preserve"> местного</t>
  </si>
  <si>
    <t xml:space="preserve">не требуется </t>
  </si>
  <si>
    <t>нд</t>
  </si>
  <si>
    <t>ТП новые</t>
  </si>
  <si>
    <t>ТМГ</t>
  </si>
  <si>
    <t>ЛЭП новые</t>
  </si>
  <si>
    <t>0,4, 6, 10 ,15</t>
  </si>
  <si>
    <t>Новое строительство и реконструкция сетей с целью технологического присоединения энергопринимающих устройств потребителей максимальной мощностью до 15 кВт включительно</t>
  </si>
  <si>
    <t>договоры технологического присоединения</t>
  </si>
  <si>
    <t>новое строительство, реконструкция</t>
  </si>
  <si>
    <t>по состоянию на 01.01.2017</t>
  </si>
  <si>
    <t>ВЛ, КЛ</t>
  </si>
  <si>
    <t>проектирование, строительство</t>
  </si>
  <si>
    <t>выбрать строки и скрыть столбец</t>
  </si>
  <si>
    <t>корр</t>
  </si>
  <si>
    <t>утв</t>
  </si>
  <si>
    <t>46,67 МВА /  121,36 км</t>
  </si>
  <si>
    <t>Увеличение объема услуг по договорам технологического присоединения</t>
  </si>
  <si>
    <t>ежегодно</t>
  </si>
  <si>
    <t>Наименование контрольных этапов реализации инвестпроекта с указанием событий/работ критического пути сетевого графика</t>
  </si>
  <si>
    <t>2.</t>
  </si>
  <si>
    <t>3.</t>
  </si>
  <si>
    <t>4.</t>
  </si>
  <si>
    <t>Возможно реализовать в установленный срок [возможность реализации в установленный срок, отставание от установленного срока, причины отставания, возможный срок ввода объекта]</t>
  </si>
  <si>
    <t>Электромонтаж -СП  договор  № 42  от  30/12/16-   в ценах 2016 года с НДС, млн. руб.</t>
  </si>
  <si>
    <t>Энергопромстрой  договор  № 847  от  30/12/16-   в ценах 2016 года с НДС, млн. руб.</t>
  </si>
  <si>
    <t>Электромонтаж -СП  договор  № 41  от  30/12/16-   в ценах 2016 года с НДС, млн. руб.</t>
  </si>
  <si>
    <t>ТатЭнерго  договор  № 36-Л  от  30/12/16-   в ценах 2016 года с НДС, млн. руб.</t>
  </si>
  <si>
    <t>Элмонт  договор  № 98  от  30/12/16-   в ценах 2016 года с НДС, млн. руб.</t>
  </si>
  <si>
    <t>Элмонт  договор  № 99  от  30/12/16-   в ценах 2016 года с НДС, млн. руб.</t>
  </si>
  <si>
    <t>Элмонт  договор  № 100  от  30/12/16-   в ценах 2016 года с НДС, млн. руб.</t>
  </si>
  <si>
    <t>Элмонт  договор  № 101  от  30/12/16-   в ценах 2016 года с НДС, млн. руб.</t>
  </si>
  <si>
    <t>Элмонт  договор  № 102  от  30/12/16-   в ценах 2016 года с НДС, млн. руб.</t>
  </si>
  <si>
    <t>Квадро Электрик  договор  № 2016-ЭМ-169  от  30/12/16-   в ценах 2016 года с НДС, млн. руб.</t>
  </si>
  <si>
    <t>Фаби  договор  № 2016-131  от  30/12/16-   в ценах 2016 года с НДС, млн. руб.</t>
  </si>
  <si>
    <t>Фаби  договор  № 2016-136  от  30/12/16-   в ценах 2016 года с НДС, млн. руб.</t>
  </si>
  <si>
    <t>Стройтехразвитие   договор  № 143  от  30/12/16-   в ценах 2016 года с НДС, млн. руб.</t>
  </si>
  <si>
    <t>Стройтехразвитие   договор  № 142  от  30/12/16-   в ценах 2016 года с НДС, млн. руб.</t>
  </si>
  <si>
    <t>Стройтехразвитие   договор  № 144  от  30/12/16-   в ценах 2016 года с НДС, млн. руб.</t>
  </si>
  <si>
    <t>Стройтехразвитие   договор  № 222  от  05/04/17-   в ценах 2017 года с НДС, млн. руб.</t>
  </si>
  <si>
    <t>Электромонтаж -СП  договор  № 286  от  14/04/17-   в ценах 2017 года с НДС, млн. руб.</t>
  </si>
  <si>
    <t>Энергопромстрой  договор  № 07/06  от  07/06/17-   в ценах 2017 года с НДС, млн. руб.</t>
  </si>
  <si>
    <t>Стройтехразвитие   договор  № 223  в ценах 2017 года с НДС, млн. руб.</t>
  </si>
  <si>
    <t>Фаби  договор  № 2017-50  от     в ценах 2017 года с НДС, млн. руб.</t>
  </si>
  <si>
    <t>АО "Янтарьэнерго"/ДКС</t>
  </si>
  <si>
    <t>АО "Янтарьэнерго"/ОМТО</t>
  </si>
  <si>
    <t>ГП</t>
  </si>
  <si>
    <t>Разработка рабочей документации и выполнение строительно-монтажных работ с поставкой оборудования по объектам г. Калининграда  (по Лоту № 1, всего 59 об.)</t>
  </si>
  <si>
    <t>УР</t>
  </si>
  <si>
    <t>"ЭнергоЦентр" ООО</t>
  </si>
  <si>
    <t>756884</t>
  </si>
  <si>
    <t>b2b-mrsk.ru</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</si>
  <si>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№1 г. Калининград (донабор участников в ОК №50583 )</t>
  </si>
  <si>
    <t>ООК</t>
  </si>
  <si>
    <t>"ИНВЕКС" ООО</t>
  </si>
  <si>
    <t xml:space="preserve"> 51580</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</si>
  <si>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№2 Гурьевский район(донабор участников в ОК №50583 )</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</si>
  <si>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№3 Восточные сети (донабор участников в ОК №50583 )</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</si>
  <si>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№4 Полесский, Гвардейский, Правдинский районы (донабор участников в ОК №50583 )</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</si>
  <si>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№5 Мамоново, Ладушкин, Багратионовский район (донабор участников в ОК №50583 )</t>
  </si>
  <si>
    <t>Право заключения рамочного соглашения на разработку рабочей документации и выполнение строительно-монтажных работ с поставкой оборудования по объектам ТП  с предельной стоимостью по объекту до 30 млн. руб. без НДС: Лот №6 Янтарный, Пионерский, Зеленоградский, Светловский, Светлогорский районы (донабор участников в ОК №50583 )</t>
  </si>
  <si>
    <t>МТРиО</t>
  </si>
  <si>
    <t>Объекты технологического присоединения мощностью до 15 кВт. Поставка опор типа СВ</t>
  </si>
  <si>
    <t>ПСД</t>
  </si>
  <si>
    <t>ООК ЕП</t>
  </si>
  <si>
    <t>"Элмонт" ООО</t>
  </si>
  <si>
    <t>51876</t>
  </si>
  <si>
    <t>Проведены преддоговорные переговоры. Цена снижена.</t>
  </si>
  <si>
    <t>Объекты технологического присоединения мощностью  до 15 кВт. Поставка металлопроката</t>
  </si>
  <si>
    <t>ОЗЦ</t>
  </si>
  <si>
    <t>"УралМеталСтрой" ООО</t>
  </si>
  <si>
    <t>775854</t>
  </si>
  <si>
    <t>51775</t>
  </si>
  <si>
    <t>Идет прием заявок</t>
  </si>
  <si>
    <t>Объекты технологического присоединения мощностью до 15  кВт. Поставка рубильников</t>
  </si>
  <si>
    <t>ОЗЦ ЕП</t>
  </si>
  <si>
    <t>"ПО Электротехник" ООО</t>
  </si>
  <si>
    <t>31704754748</t>
  </si>
  <si>
    <t>rosseti.ru</t>
  </si>
  <si>
    <t>ОЗП</t>
  </si>
  <si>
    <t>ОЗП ЕП</t>
  </si>
  <si>
    <t>ИП Калмыков А.И.</t>
  </si>
  <si>
    <t xml:space="preserve"> Объекты технологического присоединения мощностью  до 15 кВт. Поставка плит ПЗК</t>
  </si>
  <si>
    <t>"Весна" ООО</t>
  </si>
  <si>
    <t>31704744179</t>
  </si>
  <si>
    <t>Признана несостоявшейся по причине наличия единственной заявки, отвечающей требованиям закупочной доркументации</t>
  </si>
  <si>
    <t>Объекты технологического присоединения мощностью до 15 кВт. Поставка неизолированного провода до 35 кВ</t>
  </si>
  <si>
    <t>"Рыбинсккабель СП" ООО</t>
  </si>
  <si>
    <t>31704740937</t>
  </si>
  <si>
    <t>Объекты технологического присоединения мощностью  до 15 кВт. Поставка гофротруб для прокладки кабеля</t>
  </si>
  <si>
    <t>"Шангри-Ла" ООО</t>
  </si>
  <si>
    <t>31704755056</t>
  </si>
  <si>
    <t>Признана несостоявшейся по причине отказа в допуске участнику</t>
  </si>
  <si>
    <t>Объекты технологического присоединения мощностью до 15  кВт. Поставка предохранителей</t>
  </si>
  <si>
    <t>ТД "Пассифик" ООО</t>
  </si>
  <si>
    <t>31704741534</t>
  </si>
  <si>
    <t>Объекты технологического присоединения мощностью до 15 кВт. Поставка самонесущего изолированного провода (СИП) на напряжение до 35 кВ</t>
  </si>
  <si>
    <t>52092</t>
  </si>
  <si>
    <t xml:space="preserve"> Объекты технологического присоединения мощностью до 15 кВт. Поставка арматуры к самонесущему изолированному проводу (СИП) на напряжение до 1000 В</t>
  </si>
  <si>
    <t>"ФОРЭНЕРГО-ТРЕЙД" ООО</t>
  </si>
  <si>
    <t>791351</t>
  </si>
  <si>
    <t>Объекты технологического присоединения мощностью. Поставка изоляторов до 15 кВ.</t>
  </si>
  <si>
    <t>"Электрофарфор" ООО</t>
  </si>
  <si>
    <t>31704755324</t>
  </si>
  <si>
    <t>Услуги</t>
  </si>
  <si>
    <t>Оказание услуг строительного контроля и проверку достоверности сметной документации по технологическому присоединению к электросетям АО «Янтарьэнерго» льготной категории заявителей.</t>
  </si>
  <si>
    <t>"НИИЦ МРСК" АО</t>
  </si>
  <si>
    <t>51460</t>
  </si>
  <si>
    <t>Отказ от процедуры</t>
  </si>
  <si>
    <t>Объекты технологического присоединения мощностью до 15 кВт. Поставка силового кабеля на напряжение 6-10 (20) кВ</t>
  </si>
  <si>
    <t>793760</t>
  </si>
  <si>
    <t>Объекты технологического присоединения мощностью до 15  кВт. Поставка кабельных муфт на напряжение до 10 кВ</t>
  </si>
  <si>
    <t>"БалтЭнергоКомплект" ООО</t>
  </si>
  <si>
    <t>31704882197</t>
  </si>
  <si>
    <t>Признана несостоявшейся по причине наличия единственной заявки, отвечающей требованиям конкурсной документации</t>
  </si>
  <si>
    <t>Разработка рабочей документации и выполнение строительно-монтажных работ с поставкой оборудования по объектам: Лот № 3 - объекты Восточных сетей (Гусевский, Краснознаменский, Неманский, Нестеровский, Озерский, Славский, Советский, Черняховский районы), согласно приложению №3.2. (17 объектов)</t>
  </si>
  <si>
    <t>"Телеком-Строй" ООО</t>
  </si>
  <si>
    <t>783021</t>
  </si>
  <si>
    <t xml:space="preserve">Поставка арматуры к самонесущему изолированному проводу (СИП) на напряжение до 1000 В для выполнения СМР хозяйственным способом по объектам технологического присоединения льготной категории заявителей (до 15 кВт)» </t>
  </si>
  <si>
    <t>"ХГ "Энергокомпани" ООО</t>
  </si>
  <si>
    <t>755704</t>
  </si>
  <si>
    <t>Право заключения договора на поставку БКТП (БКРТП)6-20 кВ для выполнения работ по технологическому присоединению (на склад)</t>
  </si>
  <si>
    <t>"ОЭнТ-Центр" ООО</t>
  </si>
  <si>
    <t>763217</t>
  </si>
  <si>
    <t>Разработка рабочей документации и выполнение строительно-монтажных работ с поставкой оборудования по объектам  Светлогорского и Пионерского районов, Лот № 6  согласно приложению № 6.8 (36 объектов)</t>
  </si>
  <si>
    <t>"Электромонтаж-СП" ООО</t>
  </si>
  <si>
    <t>803265</t>
  </si>
  <si>
    <t>Разработка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по Лоту № 2, объекты Гурьевского района, согласно приложению № 2.6.</t>
  </si>
  <si>
    <t>805312</t>
  </si>
  <si>
    <t>Разработку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по Лоту № 6 - объекты Зеленоградского согласно приложению № 6.10.</t>
  </si>
  <si>
    <t>805350</t>
  </si>
  <si>
    <t xml:space="preserve"> Объекты технологического присоединения мощностью  до 15 кВт. Поставка плит ПЗК </t>
  </si>
  <si>
    <t>31705015602</t>
  </si>
  <si>
    <t>Право заключения договора на поставку БКТП (БКРТП) кВ для выполнения работ по технологическому присоединению (на склад)</t>
  </si>
  <si>
    <t>52609</t>
  </si>
  <si>
    <t>Объекты технологического присоединения мощностью до 15  кВт. Поставка кабельных муфт на напряжение до 10 кВ (повторное проведение № 29)</t>
  </si>
  <si>
    <t>31705088896</t>
  </si>
  <si>
    <t>31705015291</t>
  </si>
  <si>
    <t>Разработка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Лот № 2, объекты Гурьевского района согласно приложению 2.10 (Всего 41 объект)</t>
  </si>
  <si>
    <t>852207</t>
  </si>
  <si>
    <t>АО "Янтарьэнерго"/УСДР</t>
  </si>
  <si>
    <t>Разработка рабочей документации по объекту «Строительство КТП 10/0,4 кВ (новой) по пр. Советский - ул. 1-я Б. Окружная, ЛЭП-10 кВ от РП-XXX до КТП (новой), КЛ-10 кВ (К-2) от РП-V до ТП-912 в г. Калининграде».</t>
  </si>
  <si>
    <t>"КПСП" ООО</t>
  </si>
  <si>
    <t>31604410952</t>
  </si>
  <si>
    <t>СМР</t>
  </si>
  <si>
    <t>СМР по объекту: Строительство ВЛИ 0,4кВ от ТП 213-7, реконструкция ТП 213-7, реконструкция ВЛ 0,4кВ от ТП 213-7, в п.Железнодорожный Правдинского района, Реконструкция ВЛ 0,4 кВ от ТП 22-16, реконструкция ТП 22-16 в Гвардейском районе, п. Семеново, Строительство СТП 15/0,4 кВ, строительство ЛЭП 15 кВ в п. Холмы (кадастр. № 39:02:240007:25) Гвардейского района, "Реконструкция ВЛ 0,4 кВ от ТП 25-55 (инв. № 5115555), Строительство ВЛИ 0,4 кВ от ТП 25-55 (инв. № 5147683)  в п. Березовка Гвардейского района, Строительство ВЛ 0,4 кВ, реконструкция от ТП 80-25 в п. Талпаки Гвардейского района,  Строительство ВЛИ 0,4кВ, реконструкция ВЛ 0,4кВ от ТП 249-3 (инв. № 5116331) в Гвардейском районе, с/т "Сосновый Бор", Строительство ВЛИ 0,4 кВ от ТП 134-8, реконструкция ВЛ 0,4 кВ от ТП 134-8, реконструкция ТП 134-8 в г. Гвардейске</t>
  </si>
  <si>
    <t>"Атлант-Строй" ООО</t>
  </si>
  <si>
    <t>725140</t>
  </si>
  <si>
    <t xml:space="preserve"> Выполнение строительно-монтажных работ с поставкой оборудования по титулам: «Строительство ВЛИ 0,4 кВ от ТП 148-14, реконструкция ТП 148-14 в п. Солнечное Гурьевского района;- «Строительство ТП 15/0,4 кВ, ЛЭП 15 кВ от ВЛ 15-06, ВЛИ 0,4 кВ от ТП 15/0,4 кВ в п. Яблоневка Гурьевского района»; «Строительство ВЛИ 0,4 кВ от ТП 47-16 в п. М. Исаково Гурьевского района»; «Строительство ТП 15/0,4 кВ, ЛЭП 15 кВ, ВЛИ 0,4 кВ в п.Прибрежное, ул. Береговая  Гурьевского района»; «Строительство ВЛИ 0,4 кВ от ТП 59-2, реконструкция ТП 59-2 в п. Узловое Гурьевского района».</t>
  </si>
  <si>
    <t>780705</t>
  </si>
  <si>
    <t>Признана несостоявшейся по причине отсутствия предложений.</t>
  </si>
  <si>
    <t>Выполнение строительно-монтажных работ с поставкой оборудования по титулам: «Строительство МТП 15/0,4 кВ, ВЛ 15 кВ, ВЛИ 0,4 кВ, п. Новгородское, Гурьевского района»; «Строительство ВЛИ 0,4 кВ от ПС В-17, реконструкция ПС В-17 в п. Добрино Гурьевского района».</t>
  </si>
  <si>
    <t>778176</t>
  </si>
  <si>
    <t>Отказ от проведения</t>
  </si>
  <si>
    <t>Выполнение строительно-монтажных работ с поставкой оборудования по объектам: «Строительство ВЛИ 0,4 кВ от ТП 72-06 в п.Тельманово Черняховского района»,«Строительство ТП 15/0,4 кВ, ЛЭП 15 кВ от ВЛ 15-472 (0,2 км) оп.68-72, ВЛИ 0,4 кВ в г.Черняховск СОТ "Радуга"», «Строительство ВЛИ 0,4 кВ от ТП 72-13 в г. Черняховске СОТ "Машиностроитель"», «Строительство КЛ 0,4 кВ от ТП 14 до СП нового, установка СП нового по ул. Ленина в г.Черняховске», «Строительство КТП 6/0,4 кВ, ВЛЗ 6 кВ от оп. 22 ВЛ 6 кВ ф.7, ВЛИ 0,4 кВ в г. Черняховск СОТ "Земледелец"»</t>
  </si>
  <si>
    <t>"Стройтехразвитие" ООО</t>
  </si>
  <si>
    <t>789760</t>
  </si>
  <si>
    <t>Разработка рабочей документации и выполнение строительно-монтажных работ по титулам: «Строительство ТП 15/0,4 кВ, ВЛЗ 15 кВ от ВЛ № 15-468 до ТП Новой в Славском районе», «Строительство ТП 15/0,4 кВ, ВЛЗ 15 кВ от ВЛ № 15-357 до ТП Новой в Славском районе»</t>
  </si>
  <si>
    <t>"ПрофЭнергоСтрой" ООО</t>
  </si>
  <si>
    <t>789582</t>
  </si>
  <si>
    <t>Разработка рабочей документации и выполнение строительно-монтажных работ: по титулам: «Строительство ТП 15/0,4 кВ, ВЛЗ 15 кВ от ВЛ 15 кВ № 15-360 до ТП Новой в Неманском районе», строительство ТП 15/0,4 кВ, ВЛЗ 15 кВ № 15-361 до ТП Новой в Неманском районе»</t>
  </si>
  <si>
    <t>"Квадро Электрик" ООО</t>
  </si>
  <si>
    <t>789542</t>
  </si>
  <si>
    <t>Разработка рабочей документации и выполнение строительно-монтажных работ с поставкой оборудования по титулу: Строительство КЛ-1 кВ от КТП-136 до СП (нового), с установкой СП (нового) по ул. Ломоносова в г. Калининграде</t>
  </si>
  <si>
    <t>31704767187</t>
  </si>
  <si>
    <t>Разработка рабочей документации и выполнение строительно-монтажных работ с поставкой оборудования по объектам Восточных сетей Лот № 3(Гусевский, Краснознаменский, Неманский, Нестеровский, Озерский, Славский, Советский, Черняховский районы), согласно приложению №3.3. (49 объектов)</t>
  </si>
  <si>
    <t>782370</t>
  </si>
  <si>
    <t>Разработка рабочей документации и выполнение строительно-монтажных работ с поставкой оборудования по объектам Восточных сетей Лот № 3  (Гусевский, Краснознаменский, Неманский, Нестеровский, Озерский, Славский, Советский, Черняховский районы), согласно приложению №3.4. (25 объектов)</t>
  </si>
  <si>
    <t>782699</t>
  </si>
  <si>
    <t>Разработка рабочей документации и выполнение строительно-монтажных работ с поставкой оборудования по объектам Лот № 1 г. Калининград, согласно приложению №1.2 (66 объектов)</t>
  </si>
  <si>
    <t>782334</t>
  </si>
  <si>
    <t>Разработка рабочей документации и выполнение строительно-монтажных работ с поставкой оборудования по объектам Гурьевского района  (по Лоту № 2) (39 объектов)</t>
  </si>
  <si>
    <t>782314</t>
  </si>
  <si>
    <t>Корректировка рабочей документации по ТЗ 123/12-20 и выполнение строительно – монтажных работ с поставкой оборудования по объекту «Строительство ТП 15/0,4 кВ, ВЛ 15 кВ от ВЛ № 15-261 (инв. 5114685), строительство ЛЭП 0,4 кВ в п. Б. Исаково Гурьевского района (взамен ТЗ № 123.СЭРС.2012/ЗЭС-20)»</t>
  </si>
  <si>
    <t>31604097464</t>
  </si>
  <si>
    <t>Признана несостоявшейся. Повторно проводиться не будет. Выполнено хоз.способом.</t>
  </si>
  <si>
    <t xml:space="preserve">СМР с поставкой оборудования по объектам: Строительство ВЛИ 0,4 кВ от ТП 148-14, реконструкция ТП 148-14 в п. Солнечное Гурьевского района,Строительство ТП 15/0,4 кВ, ЛЭП 15 кВ от ВЛ 15-06, ВЛИ 0,4 кВ от ТП 15/0,4 кВ в п. Яблоневка Гурьевского района,Строительство ВЛИ 0,4 кВ от ТП 47-16 в п. М. Исаково Гурьевского района,  Строительство ТП 15/0,4 кВ, ЛЭП 15 кВ, ВЛИ 0,4 кВ в п.Прибрежное, ул. Береговая Гурьевского района, Строительство ВЛИ 0,4 кВ от ТП 59-2, реконструкция ТП 59-2 в п. Узловое Гурьевского района </t>
  </si>
  <si>
    <t>"ССК" ООО</t>
  </si>
  <si>
    <t>725276</t>
  </si>
  <si>
    <t>Признана несостоявшейся по причине отклонения всех заявок</t>
  </si>
  <si>
    <t>СМР  с поставкой оборудования по объекту: Строительство ВЛИ 0,4 кВ от ТП 191-1 в п.Надеждино Багратионовского района,  Строительство ТП 15/0,4кВ, ВЛ 15кВ от ВЛ 15-215 (инв. № 5115262), ВЛИ 0,4кВ в п. Марийское Багратионовского района, Реконструкция ВЛ 0,4 кВ от ТП 279-5, строительство ВЛИ 0,4 кВ в г. Ладушкин Багратионовского района, Реконструкция ТП 203-5, строительство ВЛИ 0,4 кВ в п. Славское Багратионовского района</t>
  </si>
  <si>
    <t>"Капитал-Строй" ООО</t>
  </si>
  <si>
    <t>724647</t>
  </si>
  <si>
    <t>Разработка рабочей документации и выполнение строительно-монтажных работ с поставкой оборудования по объекту «Строительство КРУН 15кВ, ЛЭП 15кВ от ПС О-52, реконструкция ПС 110/15кВ О-52 "Светлый" с наладкой резервной ячейки ЗРУ 15 кВ в г. Светлый, ул. Рыбацкая (код 000007687)».</t>
  </si>
  <si>
    <t>"ЛАУДОН ГРУПП" ООО</t>
  </si>
  <si>
    <t>755933</t>
  </si>
  <si>
    <t>Признана несостоявшейся. Единственный участник. Соответствующий требованиям.</t>
  </si>
  <si>
    <t>Поставка силового кабеля на напряжение до 20 кВ» по договору об осуществлении технологического присоединения заявителей льготной категории по объекту «Строительство ТП 15/0,4 кВ, ЛЭП 15 кВ от ВЛ 15-148 (инв. № 5114682), ВЛИ 0,4 кВ в. Родники Гурьевского р-на».</t>
  </si>
  <si>
    <t>31704890210</t>
  </si>
  <si>
    <t xml:space="preserve"> Поставка силового кабеля на напряжение до 20 кВ» по договору об осуществлении технологического присоединения заявителей льготной категории по объекту «Строительство ТП-1 15/0,4 кВ, ЛЭП 15 кВ от ВЛ 15-71 (инв. № 5115434), ВЛИ 0,4 кВ, реконструкция ВЛ 15-71 (инв. №5115434), ВЛ 0,4 кВ от ТП 71-10 (инв. № 5116280) в г. Мамоново, ул. Портовая».</t>
  </si>
  <si>
    <t>31704890207</t>
  </si>
  <si>
    <t>Разработка рабочей документации и выполнение строительно-монтажных работ с поставкой оборудования по объектам Зеленоградского согласно приложению № 6.11 Лот № 6 (18 объектов)</t>
  </si>
  <si>
    <t>808147</t>
  </si>
  <si>
    <t>Разработка рабочей документации и выполнение строительно-монтажных работ с поставкой оборудования по объектам г. Калининград, Лот № 1, приложенеи № 1,3 (47 объектов)</t>
  </si>
  <si>
    <t>808851</t>
  </si>
  <si>
    <t>Разработка рабочей документации и выполнение строительно – монтажных работ с поставкой оборудования по объекты г. Мамоново, г. Ладушкина и Багратионовского района, согласно приложению № 5.3 (Лот № 5)</t>
  </si>
  <si>
    <t>"ФАБИ" ООО</t>
  </si>
  <si>
    <t>808436</t>
  </si>
  <si>
    <t>СМР по объекту: Реконструкция ВЛ 0,4 кВ от ТП 151-1 (инв. № 5115672), строительство ВЛИ 0,4 кВ от ТП 151-1 в п. Безымянка Ковровское с/п Зеленоградского района, Строительство ВЛИ 0,4 кВ от ТП 60-6, реконструкция ВЛ 0,4 кВ от ТП 60-6 (инв. № 5114112) в п. Грачевка Зеленоградского района,  Строительство ВЛИ 0,4 кВ от ТП-новая (по ТЗ 108/10) в п. Дунаевка (СНТ "Дунаевка") Зеленоградского района, Строительство ВЛИ 0,4 кВ от ТП 128-24 в п. Куликово Зеленоградского района, Строительство ВЛИ 0,4 кВ от ТП 60-5 в п. Лесенково Зеленоградского района</t>
  </si>
  <si>
    <t>724635</t>
  </si>
  <si>
    <t>Выполнение строительно-монтажных работ с поставкой оборудования без изменения параметров закупки и стоимости по объектам: «Строительство ТП 15/0,4 кВ, ВЛ 15 кВ-215 (инв. № 5115262), ВЛИ 0,4 кВ в п. Марийское Багратионовского района, «Реконструкция ВЛ 0,4 кВ от ТП 279-5, строительство ВЛИ 0,4 кВ в г. Ладушкин Багратионовского района»  «Реконструкция ТП 203-5, строительство ВЛИ 0,4 кВ в п. Славское Багратионовского района:</t>
  </si>
  <si>
    <t>817287</t>
  </si>
  <si>
    <t>Выполнение строительно-монтажных работ по объекту «Строительство ТП 15/0,4 кВ, ЛЭП 15 кВ от ВЛ 15-148 (инв. № 5114682), ВЛИ 0,4 кВ в п. Заозерье Гурьевского района».</t>
  </si>
  <si>
    <t>816183</t>
  </si>
  <si>
    <t>Отказ от проведения процедуры</t>
  </si>
  <si>
    <t>Разработка рабочей документации и выполнение строительно-монтажных работ с поставкой оборудования по объектам Гурьевского района, согласно приложению № 2.7Лот № 2 (18 объектов)</t>
  </si>
  <si>
    <t>813646</t>
  </si>
  <si>
    <t>Выполнение строительно-монтажных работ с поставкой оборудования по объекту «Строительство мачтовой ТП 15/0.4 кВ, ЛЭП 15 кВ и ВЛИ 0.4 кВ в п. Пелевино Неманского района».</t>
  </si>
  <si>
    <t>"Энергия-Полюс" ООО</t>
  </si>
  <si>
    <t>806728</t>
  </si>
  <si>
    <t>Разработка рабочей документации и выполнение строительно – монтажных работс поставкой оборудования  по объектам Полесского района, согласно приложению №4.7. (Лот №4)</t>
  </si>
  <si>
    <t>832350</t>
  </si>
  <si>
    <t>Разработка рабочей документации и выполнение строительно – монтажных работс поставкой оборудования  по объектам Правдинского и Гвардейского районов, согласно приложению 4.6 (Лот 4)</t>
  </si>
  <si>
    <t>832345</t>
  </si>
  <si>
    <t>Разработка рабочей документации и выполнение строительно-монтажных работ с поставкой оборудованияпо объектам объекты Полесского, Правдинского и Гвардейского районов, согласно приложению №4.5</t>
  </si>
  <si>
    <t>831529</t>
  </si>
  <si>
    <t>Выполнение строительно-монтажных работ с поставкой оборудования без изменения параметров закупки и стоимости по объектам: «Строительство КТП 15/0,4 кВ, ЛЭП 0,4 кВ, в г. Зеленоградске, ул. Герцена»,  «Реконструкция ТП 128-34, строительство ВЛИ 0,4 кВ от ТП 128-34 в п. Кузнецкое Зеленоградского района», «Строительство ТП 15/0,4 кВ, ВЛ 15 кВ от ВЛ 15-88 (инв. № 5113992), ВЛИ 0,4 кВ в п. Куликово Зеленоградского района».</t>
  </si>
  <si>
    <t>825900</t>
  </si>
  <si>
    <t>Разработка рабочей документации и выполнение строительно-монтажных работ с поставкой оборудования по объектам Светлогорского, Балтийского районов, Светловского, Янтарного, Пионерского ГО, согласно приложению № 6.13</t>
  </si>
  <si>
    <t>825269</t>
  </si>
  <si>
    <t xml:space="preserve">Разработка рабочей документации и выполнение строительно-монтажных работ с поставкой оборудования по объектам Светлогорского района, Янтарного,Пионерского ГО, согласно приложению № 6.12 </t>
  </si>
  <si>
    <t>"ЕВРОБИЛД" ООО</t>
  </si>
  <si>
    <t>825223</t>
  </si>
  <si>
    <t>Разработка рабочей документации и выполнение строительно-монтажных работ с поставкой оборудованияпо объектам Восточных электрических сетей (Гусевский, Краснознаменский, Неманский, Нестеровский, Озерский, Славский, Советский, Черняховский районы), согласно приложению №3.5.</t>
  </si>
  <si>
    <t>824456</t>
  </si>
  <si>
    <t>Разработка рабочей документации и выполнение строительно-монтажных работ с поставкой оборудования по объектам г. Калининград, согласно приложению №1.4.</t>
  </si>
  <si>
    <t>824414</t>
  </si>
  <si>
    <t xml:space="preserve">ПИР, СМР с поставкой оборудования Лот № 6: - объекты Зеленоградского района, Светловского, Янтарного ГО, согласно приложению №6.9 </t>
  </si>
  <si>
    <t>823806</t>
  </si>
  <si>
    <t>Разработка рабочей документации и выполнение строительно-монтажных работ с поставкой оборудования по объектам Полесского, Правдинского и Гвардейского районов, согласно приложению №4.4. (29 объектов)</t>
  </si>
  <si>
    <t>823042</t>
  </si>
  <si>
    <t>Разработка рабочей документации и выполнение строительно-монтажных работ с поставкой оборудования по объектам Гурьевского района, согласно приложению № 2.8</t>
  </si>
  <si>
    <t>"ЭНЕРГОПРОМСТРОЙ" ООО</t>
  </si>
  <si>
    <t>823031</t>
  </si>
  <si>
    <t>Разработка рабочей документации и выполнение строительно-монтажных работ по объекту «Строительство КЛ-1 кВ от ТП-217-1 до РЩ по ул. Емельянова в г. Калининграде».</t>
  </si>
  <si>
    <t>"ОРИОН" ООО</t>
  </si>
  <si>
    <t>31704981436</t>
  </si>
  <si>
    <t>Строительно-монтажные работы с поставкой оборудования по объекту «Строительство ТП 15/0,4 кВ, ЛЭП 15 кВ от ВЛ 15-214, ВЛИ 0,4 кВ в п. Нивенское, ул. Больничная, Багратионовского района (код 000002590)».</t>
  </si>
  <si>
    <t>31604157817</t>
  </si>
  <si>
    <t>Выполнение строительно-монтажных работ с поставкой оборудования по объекту «Строительство ТП 15/0,4 кВ,   ВЛ 15 кВ от ВЛ 15-142 ( инв.№5114676), ВЛ 0,4 кВ в г. Гурьевске, по ул. Горной».</t>
  </si>
  <si>
    <t>31705043170</t>
  </si>
  <si>
    <t>Выполнение строительно-монтажных работ с поставкой оборудования по объекту «Строительство МТП 15/0,4 кВ, ЛЭП 15 кВ от ВЛ 15-09 (инв. № 5115424), ВЛИ 0,4 кВ в п. Ново-Московское, Багратионовского района».</t>
  </si>
  <si>
    <t>31704980112</t>
  </si>
  <si>
    <t>СМР по объекту: Строительство КЛ 1 кВ от ТП 272 до СП нового, установка СП нового по ул. Сержантская в г.Калининграде</t>
  </si>
  <si>
    <t>31604217288</t>
  </si>
  <si>
    <t>Выполнение строительно-монтажных работ с поставкой оборудования по объекту «Строительство ТП 15/0,4 кВ, ЛЭП 15 кВ, ВЛИ 0,4 кВ, реконструкция ВЛ 0,4 кВ от ТП 215-13 в п. Марийское Багратионовского района (код 000001959)».</t>
  </si>
  <si>
    <t>31604356128</t>
  </si>
  <si>
    <t xml:space="preserve">СМР по объекту Строительство ВЛИ 0,4 кВ от ТП 107-5 в п. Переславское,  Реконструкция ТП169-4, строительство ВЛИ 0,4 кВ в п. Янтарный, ул. Советская, </t>
  </si>
  <si>
    <t>31604225654</t>
  </si>
  <si>
    <t>Разработка рабочей документации и выполнение строительно-монтажных работ по объекту «Строительство ЛЭП 0,4 кВ в п. Кузнецкое Зеленоградский ГО (четвёртый этап по ТЗ 455.СРС.2010/ЗПЭС) (код 000006778)».</t>
  </si>
  <si>
    <t>31604069324</t>
  </si>
  <si>
    <t xml:space="preserve"> Выполнение строительно-монтажных работ по объекту «Строительство КЛ-1 кВ от ТП-717 до РЩ по ул. У. Громовой в г. Калининграде (код 000006350)» (в рамках проекта докапитализации)</t>
  </si>
  <si>
    <t>31604219025</t>
  </si>
  <si>
    <t>Разработка рабочей документации и выполнение строительно-монтажных работ с поставкой оборудования по объекту «Реконструкция ТП 046-12 (инв. 5149586) и строительство ЛЭП 0,4 кВ от Л-2 от ТП 046-12 (инв.5116036) п. Доброе Гурьевский ГО».</t>
  </si>
  <si>
    <t>31604128939</t>
  </si>
  <si>
    <t>Разработка рабочей документации и выполнение строительно – монтажных работс поставкой оборудования  по объектам Гурьевского района, согласно приложению № 2.11.</t>
  </si>
  <si>
    <t>837175</t>
  </si>
  <si>
    <t>Выполнение строительно-монтажных работ с поставкой оборудования по объектам  Багратионовского и Гвардейского районов (СМР.2)</t>
  </si>
  <si>
    <t>"БАРК" ООО</t>
  </si>
  <si>
    <t>833863</t>
  </si>
  <si>
    <t xml:space="preserve"> Разработка рабочей документации и выполнение строительно-монтажных работ с поставкой оборудования по объекту «Строительство ТП 15/0,4 кВ, ВЛЗ 15 кВ от ВЛ 15-477 до ТП Новая в п. Ботаническое Черняховского р-на».</t>
  </si>
  <si>
    <t>31705138501</t>
  </si>
  <si>
    <t>Разработка рабочей документации и выполнение строительно-монтажных работ с поставкой оборудования по объекту «Строительство ТП 15/0,4кВ, ЛЭП 15кВ от ВЛ 15-08 (инв. № 5115423) в Гурьевском районе, ТОО Ново-Московское».</t>
  </si>
  <si>
    <t>31705000154</t>
  </si>
  <si>
    <t>Разработка рабочей документации и выполнение строительно-монтажных работ с поставкой оборудования по объекту «Строительство ТП 6/0,4 кВ, ЛЭП 6 кВ от ТП 21 до ТПн, ВЛИ 0,4 кВ в г. Черняховске СОТ "Тюльпан"»</t>
  </si>
  <si>
    <t>31704996495</t>
  </si>
  <si>
    <t xml:space="preserve">Разработка рабочей документации и выполнение строительно-монтажных работ с поставкой оборудования по объекту «Строительство ТП 15/0,4кВ, ЛЭП 15кВ от ВЛ 15-80 (инв. № 5113796), ЛЭП 0,4кВ в Гвардейском районе, юго-западнее п. Талпаки».   </t>
  </si>
  <si>
    <t>31705138469</t>
  </si>
  <si>
    <t>Разработка рабочей документации и выполнение строительно – монтажных работс поставкой оборудования  по объектам Зеленоградского района, Пионерского, Светлого, согласно приложению 6.14</t>
  </si>
  <si>
    <t>848767</t>
  </si>
  <si>
    <t>Разработка рабочей документации и выполнение строительно – монтажных работс поставкой оборудования  по объектам г. Ладушкина и Багратионовского района, согласно приложению 5.4</t>
  </si>
  <si>
    <t>837685</t>
  </si>
  <si>
    <t>АО "Янтарьэнерго"/Энергоремонт</t>
  </si>
  <si>
    <t>ВЗ</t>
  </si>
  <si>
    <t>ЗЦ ООК РС</t>
  </si>
  <si>
    <t>07.02.2017</t>
  </si>
  <si>
    <t>07.08.2017</t>
  </si>
  <si>
    <t>"Ольдам" ООО</t>
  </si>
  <si>
    <t>"ГлавСтройПроект" ООО</t>
  </si>
  <si>
    <t>23.02.2017</t>
  </si>
  <si>
    <t>23.02.2016</t>
  </si>
  <si>
    <t>Оказание услуг  строительного контроля для нужд АО "Янтарьэнерго"</t>
  </si>
  <si>
    <t>"Центр технического заказчика" АО</t>
  </si>
  <si>
    <t>51903</t>
  </si>
  <si>
    <t>Лимит финансирования 29914.20 тыс. руб. без НДС. Максимальная предельная стоимость услуги 1.74% от стоимости СМР пообъектно.</t>
  </si>
  <si>
    <t>"ИНЖТЕХСТРОЙ" ООО</t>
  </si>
  <si>
    <t>"Блок" ООО</t>
  </si>
  <si>
    <t>"Энлико" ООО</t>
  </si>
  <si>
    <t>"Торгкабель" ООО</t>
  </si>
  <si>
    <t>10.04.2017</t>
  </si>
  <si>
    <t>"ЭЛЕКТРОТЕХ" ООО</t>
  </si>
  <si>
    <t>"ТД-ВЛИ-КОМПДЕКТ" ООО</t>
  </si>
  <si>
    <t>"ЭНЕРГОМЕХАНИКА" ООО</t>
  </si>
  <si>
    <t>"ТРЕВИС и ВВК" ООО</t>
  </si>
  <si>
    <t>"Электромонтажник" ООО</t>
  </si>
  <si>
    <t>30.05.2017</t>
  </si>
  <si>
    <t>19.06.2017</t>
  </si>
  <si>
    <t>19.10.2017</t>
  </si>
  <si>
    <t>22.05.2017</t>
  </si>
  <si>
    <t>22.09.2017</t>
  </si>
  <si>
    <t>05.04.2017</t>
  </si>
  <si>
    <t>04.07.2017</t>
  </si>
  <si>
    <t>14.04.2017</t>
  </si>
  <si>
    <t>14.07.2017</t>
  </si>
  <si>
    <t>10.07.2017</t>
  </si>
  <si>
    <t>"ТАТЭНЕРГО" ООО</t>
  </si>
  <si>
    <t>"НОВТЕХСТРОЙ" ООО</t>
  </si>
  <si>
    <t>"БЭК" ООО</t>
  </si>
  <si>
    <t>"ИнжТехСтро" ООО</t>
  </si>
  <si>
    <t>"Проектно-монтажная компания Сибири" ООО</t>
  </si>
  <si>
    <t>"Технология" ООО</t>
  </si>
  <si>
    <t>"Энергоград" ООО</t>
  </si>
  <si>
    <t>"БАЛТТЕХСНАБ" ООО</t>
  </si>
  <si>
    <t>"Среднеуральский энергетический союз" ООО</t>
  </si>
  <si>
    <t>"Фапиком" ООО</t>
  </si>
  <si>
    <t>ЗП ОКП РС</t>
  </si>
  <si>
    <t>"ТД-ВЛИ-КОМПЛЕКТ" ООО</t>
  </si>
  <si>
    <t>"СИКАМ" ООО</t>
  </si>
  <si>
    <t>"ТД "Хорда" ООО</t>
  </si>
  <si>
    <t>"ИНВЭНТ-Электро" ООО</t>
  </si>
  <si>
    <t>"Росэнергосистемы" ООО</t>
  </si>
  <si>
    <t>18.05.2017</t>
  </si>
  <si>
    <t>18.08.2017</t>
  </si>
  <si>
    <t>28.04.207</t>
  </si>
  <si>
    <t>17.05.2017</t>
  </si>
  <si>
    <t>05.05.2017</t>
  </si>
  <si>
    <t>05.08.2017</t>
  </si>
  <si>
    <t xml:space="preserve"> 817829</t>
  </si>
  <si>
    <t>24.05.2017</t>
  </si>
  <si>
    <t>24.08.2017</t>
  </si>
  <si>
    <t>Разработка рабочей документации и выполнение строительно-монтажных работ с поставкой оборудования по объекту «Строительство КТП 10/0,4 кВ (новой), КЛ-10 кВ от КТП (новой) до КТП (новой по ТУ 699/13), 2-х КЛ-1 кВ от КТП (новой) и от ТП-209 до РЩ по ул. Крылова ».</t>
  </si>
  <si>
    <t>809357</t>
  </si>
  <si>
    <t>НДС не предусмотрен</t>
  </si>
  <si>
    <t>ЗЦ ООК РС ЕП</t>
  </si>
  <si>
    <t>15.06.2017</t>
  </si>
  <si>
    <t>01.06.2017</t>
  </si>
  <si>
    <t>"Региональная Промышленная Компания" ООО</t>
  </si>
  <si>
    <t>03.07.2017</t>
  </si>
  <si>
    <t>"БАЛТЭЛЕКТРО" ООО</t>
  </si>
  <si>
    <t>"Балтийская Кабельная Компания" ООО</t>
  </si>
  <si>
    <t>Выполнение строительно-монтажных работ с поставкой оборудования по объекту «Строительство ТП 15/0,4 кВ, ЛЭП 15 кВ от ВЛ 15-01 (инв. № 5115421) в Гурьевском районе, юго - западенее п. Шоссейное, СНТ "Альфа", кад. № 39:03:080806:140».</t>
  </si>
  <si>
    <t>31603828000</t>
  </si>
  <si>
    <t>Отказ от дальнейшего проведения</t>
  </si>
  <si>
    <t xml:space="preserve"> Разработка рабочей документации и выполнение строительно-монтажных работ с поставкой оборудования по объекту «Лот № 2, объекты Гурьевского района согласно приложению 2.14».</t>
  </si>
  <si>
    <t>855745</t>
  </si>
  <si>
    <t>Разработка рабочей документации и выполнение строительно-монтажных работ с поставкой оборудования по объекту «Лот № 1 г. Калининград, согласно приложению 1.5».</t>
  </si>
  <si>
    <t>855733</t>
  </si>
  <si>
    <t>Разработка рабочей документации и выполнение строительно-монтажных работ с поставкой оборудования по объекту «Лот №5 - объекты г.Мамоново, г.Ладушкина и Багратионовского района, согласно приложению №5.5».</t>
  </si>
  <si>
    <t>854564</t>
  </si>
  <si>
    <t>Разработка рабочей документации и выполнение строительно-монтажных работ с поставкой оборудования по объекту «Лот №4 - Объекты Правдинского и Гвардейского районов, согласно приложению №4.11».</t>
  </si>
  <si>
    <t>854516</t>
  </si>
  <si>
    <t>Разработка рабочей документации и выполнение строительно-монтажных работ с поставкой оборудования по объекту «Реконструкция ТП 88-16 (инв. № 5147985), строительство ЛЭП 0,4кВ от ТП 88-16 в Зеленоградском районе, южнее п. Куликово (код 000007361)».</t>
  </si>
  <si>
    <t>31603989934</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</si>
  <si>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15-060 (инв.5113987), ВЛИ 0,4 кВ в Красноторовское с/п, пос. Клюквенное Зеленоградский район (код 000006567)».</t>
  </si>
  <si>
    <t>31603989132</t>
  </si>
  <si>
    <t>Разработка рабочей документации и выполнение строительно-монтажных работ с поставкой оборудования по объекту «Лот № 2, объекты Гурьевского района согласно приложению 2.15».</t>
  </si>
  <si>
    <t>856774</t>
  </si>
  <si>
    <t>Разработка рабочей документации и выполнение строительно-монтажных работ с поставкой оборудования по объекту «Лот № 4 объекты Полесского района, согласно приложению 4.12».</t>
  </si>
  <si>
    <t>856686</t>
  </si>
  <si>
    <t>Разработка рабочей документации и выполнение строительно-монтажных работ с поставкой оборудования по объекту «Лот № 3 объекты филиала «Восточные электрические сети», согласно приложению 3.8».</t>
  </si>
  <si>
    <t>856655</t>
  </si>
  <si>
    <t>Работы</t>
  </si>
  <si>
    <t>Выполнение проколов методом горизонтально-направленного бурения для нужд филиала АО «Янтарьэнерго» «Энергоремонт» по объектам технологического присоединения</t>
  </si>
  <si>
    <t>52710</t>
  </si>
  <si>
    <t xml:space="preserve">РРД и выполнение СМР с поставкой оборудования для исполнения договорных обязательств по ТП льготной категории граждан. Лот №5 - объекты г. Мамоново, г. Ладушкина и Багратионовского района, согласно приложению №5.7.     </t>
  </si>
  <si>
    <t>864077</t>
  </si>
  <si>
    <t>РРД и выполнение СМР с поставкой оборудования для ТП льготной категории граждан. Лот 4 - Объекты Полесского, Гвардейского и Правдинского районов, согласно приложению №4.13.</t>
  </si>
  <si>
    <t>863971</t>
  </si>
  <si>
    <t>Выполнение строительно – монтажных работ с поставкой оборудования по технологическому присоединению льготной категории граждан Лот № 2, объекты Гурьевского района согласно приложению 2.13.</t>
  </si>
  <si>
    <t>861982</t>
  </si>
  <si>
    <t xml:space="preserve">Выполнение строительно-монтажных работ с поставкой оборудования по объекту «Строительство ТП 15/0,4 кВ, ЛЭП 15 кВ от ВЛ 15-148 (инв. № 5114682), ВЛИ 0,4 кВ в п. Заозерье Гурьевского </t>
  </si>
  <si>
    <t>861400</t>
  </si>
  <si>
    <t>Разработка рабочей документации и выполнение строительно-монтажных работ с поставкой оборудования по объекту «Лот № 6, согласно приложению 6.15».</t>
  </si>
  <si>
    <t>860120</t>
  </si>
  <si>
    <t>Разработка рабочей документации и выполнение строительно-монтажных работ с поставкой оборудования по объекту «Лот № 6 по объектам Зеленоградского района, Светлогорского, Янтарного ГО, согласно приложению 6.17».</t>
  </si>
  <si>
    <t>858377</t>
  </si>
  <si>
    <t>Разработка рабочей документации и выполнение строительно – монтажных работ с поставкой оборудования для исполнения договорных обязательств Общества по ТП льготной категории граждан. по объектам Зеленоградского района, Светловского ГО, согласно приложению 6.18.</t>
  </si>
  <si>
    <t>872824</t>
  </si>
  <si>
    <t>Разработка рабочей документации и выполнение строительно – монтажных работ с поставкой оборудования для исполнения договорных обязательств Общества по тТП  льготной категории граждан по  объектам Гурьевского района согласно приложению 2.18.</t>
  </si>
  <si>
    <t>877890</t>
  </si>
  <si>
    <t>Разработка рабочей документации и выполнение строительно – монтажных работ с поставкой оборудования Лот 2, объекты Гурьевского района согласно приложению 2.24</t>
  </si>
  <si>
    <t>879857</t>
  </si>
  <si>
    <t>Корректировка рабочей документации и выполнение строительно-монтажных работ с поставкой оборудования по объекту «Лот № 2, объекты Гурьевского района согласно приложению 2.17».</t>
  </si>
  <si>
    <t>879894</t>
  </si>
  <si>
    <t>Корректировка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объекты г. Мамоново, г. Ладушкина и Багратионовского района, согласно приложению №5.6.</t>
  </si>
  <si>
    <t>880058</t>
  </si>
  <si>
    <t>Разработка рабочей документации и выполнение строительно – монтажных работ с поставкой оборудования Лот № 1 г. Калининград, согласно приложению 1.6.</t>
  </si>
  <si>
    <t>880103</t>
  </si>
  <si>
    <t>корректировка рабочей документации и выполнение строительно-монтажных работ с поставкой оборудования по объекту «Лот № 2, объекты Гурьевского района согласно приложению 2.16».</t>
  </si>
  <si>
    <t xml:space="preserve"> 880105</t>
  </si>
  <si>
    <t>РРД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Лот № 2, объекты Гурьевского района согласно приложению 2.12.</t>
  </si>
  <si>
    <t>880119</t>
  </si>
  <si>
    <t>Разработка рабочей документации и выполнение строительно – монтажных работ с поставкой оборудования Лот 2. Объекты Гурьевского района согласно приложению 2.19</t>
  </si>
  <si>
    <t>880196</t>
  </si>
  <si>
    <t>Корректировку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Объекты Правдинского и Гвардейского районов, согласно приложению №4.9.</t>
  </si>
  <si>
    <t>880524</t>
  </si>
  <si>
    <t>Разработка рабочей документации и выполнение строительно – монтажных работ с поставкой оборудования Лот №5 - объекты Багратионовского района, согласно приложению №5.8.</t>
  </si>
  <si>
    <t xml:space="preserve"> 880725</t>
  </si>
  <si>
    <t>Разработка рабочей документации и выполнение строительно – монтажных работ с поставкой оборудования Лот 2, объекты Гурьевского района согласно приложению 2.22</t>
  </si>
  <si>
    <t>880752</t>
  </si>
  <si>
    <t>Корректировка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объекты филиала «Восточные электрические сети», согласно приложению 3.7.</t>
  </si>
  <si>
    <t>880757</t>
  </si>
  <si>
    <t>Корректировка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Лот № 6 - Объекты Зеленоградского района, согласно приложению 6.16.</t>
  </si>
  <si>
    <t xml:space="preserve"> 881414</t>
  </si>
  <si>
    <t>на корректировка рабочей документации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Лот № 6 - Объекты Зеленоградского района, согласно приложению 6.16.</t>
  </si>
  <si>
    <t>881547</t>
  </si>
  <si>
    <t>РРД и выполнение строительно – 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объекты филиала «Восточные электрические сети», согласно приложению 3.6.</t>
  </si>
  <si>
    <t>881559</t>
  </si>
  <si>
    <t>Выполнение строительно – монтажных работ с поставкой оборудования для ТП  объекты Гурьевского района (СМР.10).</t>
  </si>
  <si>
    <t>882951</t>
  </si>
  <si>
    <t>Разработка рабочей документации и выполнение строительно-монтажных работ с поставкой оборудованияпо объектам  Гурьевского района, согласно приложению № 2.9.</t>
  </si>
  <si>
    <t>823002</t>
  </si>
  <si>
    <t>Г</t>
  </si>
  <si>
    <t>2014 г.</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</si>
  <si>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</si>
  <si>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</si>
  <si>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</si>
  <si>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</si>
  <si>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</si>
  <si>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</si>
  <si>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</si>
  <si>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</si>
  <si>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</si>
  <si>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</si>
  <si>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</si>
  <si>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</si>
  <si>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</si>
  <si>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</si>
  <si>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</si>
  <si>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</si>
  <si>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Год раскрытия информации: 2018 год</t>
  </si>
  <si>
    <t>По удельным расчетам стоимости</t>
  </si>
  <si>
    <t>кор</t>
  </si>
  <si>
    <t>Т</t>
  </si>
  <si>
    <t>6-15</t>
  </si>
  <si>
    <t>1, 2</t>
  </si>
  <si>
    <t>* Реализация мероприятий  по договорам ТП до 15 кВт заключенных после августа 2023 года переходят в инвестиционную программу 2024 года</t>
  </si>
  <si>
    <t>* В части столбцов  " Предложения по корректировке"</t>
  </si>
  <si>
    <t>2017-2021</t>
  </si>
  <si>
    <t>П, С</t>
  </si>
  <si>
    <t>2018</t>
  </si>
  <si>
    <t>111,435 МВА /  922,891 км</t>
  </si>
  <si>
    <t>2015г., 2016 г., 2017 г., 2018 г., 2019 г., 2020 г., 2021 г.</t>
  </si>
  <si>
    <t>Сметная стоимость проекта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</si>
</sst>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theme="0" tint="-0.14999847407452621"/>
      <name val="Times New Roman"/>
      <family val="1"/>
      <charset val="204"/>
    </font>
    <font>
      <sz val="12"/>
      <color theme="0" tint="-4.9989318521683403E-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b/>
      <sz val="12"/>
      <name val="Arial"/>
      <family val="2"/>
      <charset val="204"/>
    </font>
    <font>
      <sz val="11"/>
      <name val="Calibri"/>
      <family val="2"/>
      <charset val="204"/>
      <scheme val="minor"/>
    </font>
    <font>
      <b/>
      <u/>
      <sz val="14"/>
      <name val="Times New Roman"/>
      <family val="1"/>
      <charset val="204"/>
    </font>
    <font>
      <vertAlign val="superscript"/>
      <sz val="12"/>
      <name val="Times New Roman"/>
      <family val="1"/>
      <charset val="204"/>
    </font>
    <font>
      <b/>
      <sz val="14"/>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 fillId="0" borderId="0"/>
  </cellStyleXfs>
  <cellXfs count="5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8"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7"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1"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6" fillId="0" borderId="47" xfId="62" applyFont="1" applyFill="1" applyBorder="1"/>
    <xf numFmtId="0" fontId="84" fillId="0" borderId="47" xfId="62" applyFont="1" applyFill="1" applyBorder="1"/>
    <xf numFmtId="3" fontId="64" fillId="0" borderId="0" xfId="67" applyNumberFormat="1" applyFont="1" applyFill="1" applyAlignment="1">
      <alignment horizontal="center" vertical="center" wrapText="1"/>
    </xf>
    <xf numFmtId="0" fontId="71" fillId="0" borderId="0" xfId="67" applyFont="1" applyFill="1" applyAlignment="1">
      <alignment vertical="center"/>
    </xf>
    <xf numFmtId="0" fontId="84" fillId="0" borderId="0" xfId="62" applyFont="1" applyFill="1"/>
    <xf numFmtId="0" fontId="71" fillId="0" borderId="0" xfId="67" applyFont="1" applyFill="1" applyAlignment="1">
      <alignment vertical="center" wrapText="1"/>
    </xf>
    <xf numFmtId="169" fontId="82" fillId="0" borderId="1" xfId="67" applyNumberFormat="1" applyFont="1" applyFill="1" applyBorder="1" applyAlignment="1">
      <alignment vertical="center"/>
    </xf>
    <xf numFmtId="0" fontId="77"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6" fillId="0" borderId="0" xfId="62" applyFont="1"/>
    <xf numFmtId="169" fontId="67" fillId="26" borderId="1" xfId="62" applyNumberFormat="1" applyFont="1" applyFill="1" applyBorder="1" applyAlignment="1">
      <alignment horizontal="center" vertical="center" wrapText="1"/>
    </xf>
    <xf numFmtId="9" fontId="67" fillId="26" borderId="1" xfId="62" applyNumberFormat="1" applyFont="1" applyFill="1" applyBorder="1" applyAlignment="1">
      <alignment horizontal="center" vertical="center" wrapText="1"/>
    </xf>
    <xf numFmtId="4" fontId="67" fillId="26"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8" borderId="1" xfId="62" applyNumberFormat="1" applyFont="1" applyFill="1" applyBorder="1" applyAlignment="1">
      <alignment horizontal="center"/>
    </xf>
    <xf numFmtId="3" fontId="67" fillId="28"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7" borderId="1" xfId="62" applyNumberFormat="1" applyFont="1" applyFill="1" applyBorder="1" applyAlignment="1">
      <alignment horizontal="center"/>
    </xf>
    <xf numFmtId="4" fontId="67" fillId="0" borderId="0" xfId="62" applyNumberFormat="1" applyFont="1" applyAlignment="1">
      <alignment horizontal="center"/>
    </xf>
    <xf numFmtId="10" fontId="67"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7" borderId="1" xfId="62" applyFont="1" applyFill="1" applyBorder="1" applyAlignment="1">
      <alignment horizontal="center"/>
    </xf>
    <xf numFmtId="0" fontId="67" fillId="0" borderId="1" xfId="62" applyFont="1" applyBorder="1"/>
    <xf numFmtId="10" fontId="67" fillId="27"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4" fontId="42" fillId="0" borderId="1" xfId="2"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5" fontId="44" fillId="28" borderId="1" xfId="62" applyNumberFormat="1" applyFill="1" applyBorder="1" applyAlignment="1">
      <alignment horizontal="center" vertical="center" wrapText="1"/>
    </xf>
    <xf numFmtId="0" fontId="7" fillId="0" borderId="50" xfId="1" applyFont="1" applyBorder="1" applyAlignment="1">
      <alignment vertical="center" wrapText="1"/>
    </xf>
    <xf numFmtId="0" fontId="7" fillId="0" borderId="50" xfId="1" applyFont="1" applyFill="1" applyBorder="1" applyAlignment="1">
      <alignment vertical="center" wrapText="1"/>
    </xf>
    <xf numFmtId="0" fontId="7" fillId="0" borderId="50" xfId="1" applyFont="1" applyFill="1" applyBorder="1" applyAlignment="1">
      <alignment horizontal="left"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0" fontId="7" fillId="0" borderId="50" xfId="1" applyFont="1" applyFill="1" applyBorder="1" applyAlignment="1">
      <alignment vertical="center"/>
    </xf>
    <xf numFmtId="4" fontId="7" fillId="0" borderId="50" xfId="1" applyNumberFormat="1" applyFont="1" applyBorder="1" applyAlignment="1">
      <alignment horizontal="left" vertical="center" wrapText="1"/>
    </xf>
    <xf numFmtId="0" fontId="7" fillId="0" borderId="50" xfId="1" applyFont="1" applyBorder="1" applyAlignment="1">
      <alignment horizontal="center" vertical="center" wrapText="1"/>
    </xf>
    <xf numFmtId="2" fontId="11" fillId="0" borderId="1" xfId="62" applyNumberFormat="1" applyFont="1" applyBorder="1" applyAlignment="1">
      <alignment horizontal="center" vertical="center"/>
    </xf>
    <xf numFmtId="0" fontId="11" fillId="0" borderId="50" xfId="2" applyFont="1" applyFill="1" applyBorder="1" applyAlignment="1">
      <alignment vertical="center" wrapText="1"/>
    </xf>
    <xf numFmtId="0" fontId="42" fillId="0" borderId="0" xfId="0" applyFont="1" applyFill="1" applyAlignment="1">
      <alignment horizontal="center" vertical="center"/>
    </xf>
    <xf numFmtId="2" fontId="7" fillId="0" borderId="1" xfId="1" applyNumberFormat="1" applyFont="1" applyBorder="1" applyAlignment="1">
      <alignment horizontal="left" vertical="center" wrapText="1"/>
    </xf>
    <xf numFmtId="0" fontId="87"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58" fillId="0" borderId="0" xfId="1" applyFont="1"/>
    <xf numFmtId="0" fontId="88" fillId="0" borderId="0" xfId="0" applyFont="1"/>
    <xf numFmtId="2" fontId="39" fillId="0" borderId="50"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76" fillId="0" borderId="0" xfId="2" applyFont="1" applyFill="1"/>
    <xf numFmtId="0" fontId="11" fillId="0" borderId="50" xfId="2" applyNumberFormat="1" applyFont="1" applyFill="1" applyBorder="1" applyAlignment="1">
      <alignment horizontal="center" vertical="center" wrapText="1" shrinkToFit="1"/>
    </xf>
    <xf numFmtId="0" fontId="11" fillId="0" borderId="50" xfId="2" applyFont="1" applyFill="1" applyBorder="1" applyAlignment="1">
      <alignment vertical="center" wrapText="1" shrinkToFit="1"/>
    </xf>
    <xf numFmtId="0" fontId="0" fillId="0" borderId="50" xfId="0" applyFill="1" applyBorder="1" applyAlignment="1">
      <alignment wrapText="1" shrinkToFit="1"/>
    </xf>
    <xf numFmtId="0" fontId="11" fillId="0" borderId="50" xfId="2" applyFont="1" applyFill="1" applyBorder="1" applyAlignment="1">
      <alignment wrapText="1" shrinkToFit="1"/>
    </xf>
    <xf numFmtId="0" fontId="11" fillId="0" borderId="50" xfId="2" applyNumberFormat="1" applyFont="1" applyFill="1" applyBorder="1" applyAlignment="1">
      <alignment horizontal="left" vertical="center" wrapText="1" shrinkToFit="1"/>
    </xf>
    <xf numFmtId="168" fontId="42" fillId="0" borderId="50" xfId="2" applyNumberFormat="1" applyFont="1" applyFill="1" applyBorder="1" applyAlignment="1">
      <alignment horizontal="right" vertical="center" wrapText="1" shrinkToFit="1"/>
    </xf>
    <xf numFmtId="0" fontId="42" fillId="0" borderId="50" xfId="2" applyNumberFormat="1" applyFont="1" applyFill="1" applyBorder="1" applyAlignment="1">
      <alignment horizontal="center" vertical="top" wrapText="1" shrinkToFit="1"/>
    </xf>
    <xf numFmtId="0" fontId="42" fillId="0" borderId="50" xfId="2" applyFont="1" applyFill="1" applyBorder="1" applyAlignment="1">
      <alignment horizontal="center" vertical="center" wrapText="1" shrinkToFi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0" fontId="11" fillId="25" borderId="0" xfId="2" applyFont="1" applyFill="1"/>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4" fontId="41" fillId="0" borderId="30" xfId="2" applyNumberFormat="1" applyFont="1" applyFill="1" applyBorder="1" applyAlignment="1">
      <alignment horizontal="justify" vertical="top"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67"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wrapText="1"/>
    </xf>
    <xf numFmtId="1" fontId="37" fillId="0" borderId="51" xfId="49" applyNumberFormat="1" applyFont="1" applyBorder="1" applyAlignment="1">
      <alignment horizontal="center" vertical="center" wrapText="1"/>
    </xf>
    <xf numFmtId="14" fontId="37" fillId="0" borderId="51" xfId="49" applyNumberFormat="1" applyFont="1" applyBorder="1" applyAlignment="1">
      <alignment horizontal="center" vertical="center" wrapText="1"/>
    </xf>
    <xf numFmtId="1"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wrapText="1"/>
    </xf>
    <xf numFmtId="167" fontId="37" fillId="0" borderId="52" xfId="49" applyNumberFormat="1" applyFont="1" applyBorder="1" applyAlignment="1">
      <alignment horizontal="center" vertical="center" wrapText="1"/>
    </xf>
    <xf numFmtId="1"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wrapText="1"/>
    </xf>
    <xf numFmtId="2" fontId="37" fillId="0" borderId="52" xfId="49" applyNumberFormat="1" applyFont="1" applyBorder="1" applyAlignment="1">
      <alignment horizontal="center" vertical="center"/>
    </xf>
    <xf numFmtId="0" fontId="42" fillId="0" borderId="52" xfId="2" applyNumberFormat="1" applyFont="1" applyBorder="1" applyAlignment="1">
      <alignment horizontal="center" vertical="top" wrapText="1" shrinkToFit="1"/>
    </xf>
    <xf numFmtId="0" fontId="42" fillId="0" borderId="52" xfId="2" applyFont="1" applyBorder="1" applyAlignment="1">
      <alignment horizontal="left" vertical="top" wrapText="1" shrinkToFit="1"/>
    </xf>
    <xf numFmtId="14" fontId="11" fillId="0" borderId="52" xfId="2" applyNumberFormat="1" applyFont="1" applyBorder="1" applyAlignment="1">
      <alignment horizontal="center" vertical="center" wrapText="1" shrinkToFit="1"/>
    </xf>
    <xf numFmtId="0" fontId="11" fillId="0" borderId="52" xfId="2" applyFont="1" applyBorder="1" applyAlignment="1">
      <alignment horizontal="left" vertical="top" wrapText="1" shrinkToFit="1"/>
    </xf>
    <xf numFmtId="14" fontId="11" fillId="30" borderId="52" xfId="2" applyNumberFormat="1" applyFont="1" applyFill="1" applyBorder="1" applyAlignment="1">
      <alignment horizontal="center" vertical="center" wrapText="1" shrinkToFit="1"/>
    </xf>
    <xf numFmtId="1" fontId="11" fillId="0" borderId="52" xfId="2" applyNumberFormat="1" applyFont="1" applyBorder="1" applyAlignment="1">
      <alignment horizontal="center" vertical="center" wrapText="1" shrinkToFit="1"/>
    </xf>
    <xf numFmtId="14" fontId="42" fillId="0" borderId="52" xfId="2" applyNumberFormat="1" applyFont="1" applyBorder="1" applyAlignment="1">
      <alignment horizontal="center" vertical="top" wrapText="1" shrinkToFit="1"/>
    </xf>
    <xf numFmtId="0" fontId="11" fillId="0" borderId="52" xfId="2" applyFont="1" applyFill="1" applyBorder="1" applyAlignment="1">
      <alignment horizontal="left" vertical="top" wrapText="1" shrinkToFit="1"/>
    </xf>
    <xf numFmtId="0" fontId="42" fillId="0" borderId="10" xfId="2" applyFont="1" applyFill="1" applyBorder="1" applyAlignment="1">
      <alignment horizontal="center" vertical="center" wrapText="1"/>
    </xf>
    <xf numFmtId="0" fontId="89" fillId="0" borderId="0" xfId="2" applyFont="1" applyFill="1" applyAlignment="1">
      <alignment vertical="center"/>
    </xf>
    <xf numFmtId="0" fontId="12" fillId="0" borderId="0" xfId="1" applyFont="1" applyFill="1" applyBorder="1" applyAlignment="1">
      <alignment vertical="center"/>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6" fontId="42"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6" fontId="11" fillId="0" borderId="52"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11" fillId="0" borderId="52" xfId="45" applyFont="1" applyFill="1" applyBorder="1" applyAlignment="1">
      <alignment horizontal="left" vertical="center" wrapText="1"/>
    </xf>
    <xf numFmtId="176" fontId="11" fillId="0" borderId="52" xfId="45" applyNumberFormat="1" applyFont="1" applyFill="1" applyBorder="1" applyAlignment="1">
      <alignment horizontal="center" vertical="center" wrapText="1"/>
    </xf>
    <xf numFmtId="0" fontId="42" fillId="0" borderId="52" xfId="45" applyFont="1" applyFill="1" applyBorder="1" applyAlignment="1">
      <alignment horizontal="left" vertical="center" wrapText="1"/>
    </xf>
    <xf numFmtId="176" fontId="42" fillId="0" borderId="5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11" fillId="0" borderId="0" xfId="2" applyNumberFormat="1" applyFont="1"/>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wrapText="1"/>
    </xf>
    <xf numFmtId="0" fontId="11" fillId="0" borderId="0" xfId="2" applyFont="1" applyFill="1" applyAlignment="1">
      <alignment vertical="center" wrapText="1"/>
    </xf>
    <xf numFmtId="176" fontId="11" fillId="0" borderId="0" xfId="2" applyNumberFormat="1" applyFont="1" applyFill="1" applyAlignment="1">
      <alignment wrapText="1"/>
    </xf>
    <xf numFmtId="176" fontId="11" fillId="0" borderId="0" xfId="2" applyNumberFormat="1" applyFont="1" applyFill="1" applyBorder="1" applyAlignment="1">
      <alignment wrapText="1"/>
    </xf>
    <xf numFmtId="14" fontId="11" fillId="0" borderId="53" xfId="2" applyNumberFormat="1" applyFont="1" applyBorder="1" applyAlignment="1">
      <alignment horizontal="center" vertical="center" wrapText="1" shrinkToFit="1"/>
    </xf>
    <xf numFmtId="14" fontId="11" fillId="30" borderId="53" xfId="2" applyNumberFormat="1" applyFont="1" applyFill="1" applyBorder="1" applyAlignment="1">
      <alignment horizontal="center" vertical="center" wrapText="1" shrinkToFit="1"/>
    </xf>
    <xf numFmtId="14" fontId="11" fillId="0" borderId="53" xfId="2" applyNumberFormat="1" applyFont="1" applyFill="1" applyBorder="1" applyAlignment="1">
      <alignment horizontal="center" vertical="center" wrapText="1" shrinkToFit="1"/>
    </xf>
    <xf numFmtId="0" fontId="91" fillId="0" borderId="0" xfId="74" applyFont="1"/>
    <xf numFmtId="0" fontId="11" fillId="0" borderId="53" xfId="62" applyFont="1" applyBorder="1" applyAlignment="1">
      <alignment horizontal="center" vertical="center"/>
    </xf>
    <xf numFmtId="2" fontId="11" fillId="0" borderId="53" xfId="62" applyNumberFormat="1" applyFont="1" applyBorder="1" applyAlignment="1">
      <alignment horizontal="center" vertical="center"/>
    </xf>
    <xf numFmtId="4" fontId="76" fillId="0" borderId="1" xfId="2" applyNumberFormat="1" applyFont="1" applyFill="1" applyBorder="1" applyAlignment="1">
      <alignment horizontal="center" vertical="center" wrapText="1"/>
    </xf>
    <xf numFmtId="0" fontId="13" fillId="24" borderId="0" xfId="1" applyFont="1" applyFill="1" applyAlignment="1">
      <alignment horizontal="center" textRotation="90"/>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49" fillId="0" borderId="0" xfId="1" applyFont="1" applyAlignment="1">
      <alignment horizontal="center" vertical="center"/>
    </xf>
    <xf numFmtId="0" fontId="8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50" xfId="2" applyFont="1" applyFill="1" applyBorder="1" applyAlignment="1">
      <alignment horizontal="center" vertical="center" wrapText="1" shrinkToFit="1"/>
    </xf>
    <xf numFmtId="0" fontId="42" fillId="0" borderId="50" xfId="2" applyNumberFormat="1" applyFont="1" applyFill="1" applyBorder="1" applyAlignment="1">
      <alignment horizontal="center" vertical="center" wrapText="1" shrinkToFit="1"/>
    </xf>
    <xf numFmtId="0" fontId="42" fillId="0" borderId="50"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53"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86" fillId="0" borderId="0" xfId="1" applyFont="1" applyAlignment="1">
      <alignment horizontal="center" vertical="center" wrapText="1"/>
    </xf>
    <xf numFmtId="0" fontId="42" fillId="0" borderId="52" xfId="2" applyFont="1" applyFill="1" applyBorder="1" applyAlignment="1">
      <alignment horizontal="center" vertical="center" wrapText="1"/>
    </xf>
    <xf numFmtId="0" fontId="42" fillId="0" borderId="52"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0" applyFont="1" applyFill="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6" fillId="0" borderId="0" xfId="2" applyFont="1" applyFill="1" applyAlignment="1">
      <alignment horizontal="center" textRotation="90"/>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3 6" xfId="74"/>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8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3192"/>
        <c:axId val="657001032"/>
      </c:lineChart>
      <c:catAx>
        <c:axId val="656993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001032"/>
        <c:crosses val="autoZero"/>
        <c:auto val="1"/>
        <c:lblAlgn val="ctr"/>
        <c:lblOffset val="100"/>
        <c:noMultiLvlLbl val="0"/>
      </c:catAx>
      <c:valAx>
        <c:axId val="657001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3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48;&#1055;&#1056;%202016-2020%20&#1074;%2017&#1075;/28.02.17_&#1085;&#1072;%20&#1057;&#1086;&#1074;&#1077;&#1090;%20&#1044;&#1080;&#1088;&#1077;&#1082;&#1090;&#1086;&#1088;&#1086;&#1074;/&#1087;&#1072;&#1089;&#1087;&#1086;&#1088;&#1090;&#1072;,%20&#1082;&#1072;&#1088;&#1090;&#1099;,%20&#1060;&#1086;&#1088;&#1084;&#1072;20,%20&#1086;&#1073;&#1086;&#1089;&#1085;.%20&#1084;&#1072;&#1090;&#1077;&#1088;&#1080;&#1072;&#1083;&#1099;/16-0246_&#1043;/&#1087;&#1072;&#1089;&#1087;&#1086;&#1088;&#1090;/16-0246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1. паспорт Техсостояние ПС у"/>
      <sheetName val="3.2 паспорт Техсостояние ЛЭП"/>
      <sheetName val="3.2 паспорт Техсостояние ЛЭП у"/>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row r="24">
          <cell r="D24">
            <v>2782.5947665186213</v>
          </cell>
        </row>
      </sheetData>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A50" sqref="A50:XFD51"/>
    </sheetView>
  </sheetViews>
  <sheetFormatPr defaultColWidth="9.140625" defaultRowHeight="15" x14ac:dyDescent="0.25"/>
  <cols>
    <col min="1" max="1" width="6.140625" style="1" customWidth="1"/>
    <col min="2" max="2" width="53.5703125" style="1" customWidth="1"/>
    <col min="3" max="3" width="91.42578125" style="1" customWidth="1"/>
    <col min="4"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68</v>
      </c>
      <c r="E1" s="424" t="s">
        <v>616</v>
      </c>
      <c r="F1" s="16"/>
      <c r="G1" s="16"/>
    </row>
    <row r="2" spans="1:22" s="12" customFormat="1" ht="18.75" customHeight="1" x14ac:dyDescent="0.3">
      <c r="A2" s="18"/>
      <c r="C2" s="15" t="s">
        <v>10</v>
      </c>
      <c r="E2" s="424"/>
      <c r="F2" s="16"/>
      <c r="G2" s="16"/>
    </row>
    <row r="3" spans="1:22" s="12" customFormat="1" ht="18.75" x14ac:dyDescent="0.3">
      <c r="A3" s="17"/>
      <c r="C3" s="15" t="s">
        <v>67</v>
      </c>
      <c r="E3" s="424"/>
      <c r="F3" s="16"/>
      <c r="G3" s="16"/>
    </row>
    <row r="4" spans="1:22" s="12" customFormat="1" ht="18.75" x14ac:dyDescent="0.3">
      <c r="A4" s="17"/>
      <c r="E4" s="424"/>
      <c r="F4" s="16"/>
      <c r="G4" s="16"/>
      <c r="H4" s="15"/>
    </row>
    <row r="5" spans="1:22" s="12" customFormat="1" ht="15.75" x14ac:dyDescent="0.25">
      <c r="A5" s="426" t="s">
        <v>1033</v>
      </c>
      <c r="B5" s="426"/>
      <c r="C5" s="426"/>
      <c r="D5" s="151"/>
      <c r="E5" s="424"/>
      <c r="F5" s="151"/>
      <c r="G5" s="151"/>
      <c r="H5" s="151"/>
      <c r="I5" s="151"/>
      <c r="J5" s="151"/>
    </row>
    <row r="6" spans="1:22" s="12" customFormat="1" ht="18.75" x14ac:dyDescent="0.3">
      <c r="A6" s="17"/>
      <c r="E6" s="424"/>
      <c r="F6" s="16"/>
      <c r="G6" s="16"/>
      <c r="H6" s="15"/>
    </row>
    <row r="7" spans="1:22" s="12" customFormat="1" ht="18.75" x14ac:dyDescent="0.2">
      <c r="A7" s="430" t="s">
        <v>9</v>
      </c>
      <c r="B7" s="430"/>
      <c r="C7" s="430"/>
      <c r="D7" s="13"/>
      <c r="E7" s="424"/>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24"/>
      <c r="F8" s="14"/>
      <c r="G8" s="14"/>
      <c r="H8" s="14"/>
      <c r="I8" s="13"/>
      <c r="J8" s="13"/>
      <c r="K8" s="13"/>
      <c r="L8" s="13"/>
      <c r="M8" s="13"/>
      <c r="N8" s="13"/>
      <c r="O8" s="13"/>
      <c r="P8" s="13"/>
      <c r="Q8" s="13"/>
      <c r="R8" s="13"/>
      <c r="S8" s="13"/>
      <c r="T8" s="13"/>
      <c r="U8" s="13"/>
      <c r="V8" s="13"/>
    </row>
    <row r="9" spans="1:22" s="12" customFormat="1" ht="18.75" x14ac:dyDescent="0.2">
      <c r="A9" s="431" t="s">
        <v>541</v>
      </c>
      <c r="B9" s="431"/>
      <c r="C9" s="431"/>
      <c r="D9" s="8"/>
      <c r="E9" s="424"/>
      <c r="F9" s="8"/>
      <c r="G9" s="8"/>
      <c r="H9" s="8"/>
      <c r="I9" s="13"/>
      <c r="J9" s="13"/>
      <c r="K9" s="13"/>
      <c r="L9" s="13"/>
      <c r="M9" s="13"/>
      <c r="N9" s="13"/>
      <c r="O9" s="13"/>
      <c r="P9" s="13"/>
      <c r="Q9" s="13"/>
      <c r="R9" s="13"/>
      <c r="S9" s="13"/>
      <c r="T9" s="13"/>
      <c r="U9" s="13"/>
      <c r="V9" s="13"/>
    </row>
    <row r="10" spans="1:22" s="12" customFormat="1" ht="18.75" x14ac:dyDescent="0.2">
      <c r="A10" s="427" t="s">
        <v>8</v>
      </c>
      <c r="B10" s="427"/>
      <c r="C10" s="427"/>
      <c r="D10" s="6"/>
      <c r="E10" s="424"/>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24"/>
      <c r="F11" s="14"/>
      <c r="G11" s="14"/>
      <c r="H11" s="14"/>
      <c r="I11" s="13"/>
      <c r="J11" s="13"/>
      <c r="K11" s="13"/>
      <c r="L11" s="13"/>
      <c r="M11" s="13"/>
      <c r="N11" s="13"/>
      <c r="O11" s="13"/>
      <c r="P11" s="13"/>
      <c r="Q11" s="13"/>
      <c r="R11" s="13"/>
      <c r="S11" s="13"/>
      <c r="T11" s="13"/>
      <c r="U11" s="13"/>
      <c r="V11" s="13"/>
    </row>
    <row r="12" spans="1:22" s="12" customFormat="1" ht="18.75" x14ac:dyDescent="0.2">
      <c r="A12" s="431" t="s">
        <v>1015</v>
      </c>
      <c r="B12" s="431"/>
      <c r="C12" s="431"/>
      <c r="D12" s="8"/>
      <c r="E12" s="424"/>
      <c r="F12" s="8"/>
      <c r="G12" s="8"/>
      <c r="H12" s="8"/>
      <c r="I12" s="13"/>
      <c r="J12" s="13"/>
      <c r="K12" s="13"/>
      <c r="L12" s="13"/>
      <c r="M12" s="13"/>
      <c r="N12" s="13"/>
      <c r="O12" s="13"/>
      <c r="P12" s="13"/>
      <c r="Q12" s="13"/>
      <c r="R12" s="13"/>
      <c r="S12" s="13"/>
      <c r="T12" s="13"/>
      <c r="U12" s="13"/>
      <c r="V12" s="13"/>
    </row>
    <row r="13" spans="1:22" s="12" customFormat="1" ht="18.75" x14ac:dyDescent="0.2">
      <c r="A13" s="427" t="s">
        <v>7</v>
      </c>
      <c r="B13" s="427"/>
      <c r="C13" s="427"/>
      <c r="D13" s="6"/>
      <c r="E13" s="424"/>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24"/>
      <c r="F14" s="10"/>
      <c r="G14" s="10"/>
      <c r="H14" s="10"/>
      <c r="I14" s="10"/>
      <c r="J14" s="10"/>
      <c r="K14" s="10"/>
      <c r="L14" s="10"/>
      <c r="M14" s="10"/>
      <c r="N14" s="10"/>
      <c r="O14" s="10"/>
      <c r="P14" s="10"/>
      <c r="Q14" s="10"/>
      <c r="R14" s="10"/>
      <c r="S14" s="10"/>
      <c r="T14" s="10"/>
      <c r="U14" s="10"/>
      <c r="V14" s="10"/>
    </row>
    <row r="15" spans="1:22" s="3" customFormat="1" ht="29.25" customHeight="1" x14ac:dyDescent="0.2">
      <c r="A15" s="432" t="s">
        <v>601</v>
      </c>
      <c r="B15" s="432"/>
      <c r="C15" s="432"/>
      <c r="D15" s="8"/>
      <c r="E15" s="424"/>
      <c r="F15" s="8"/>
      <c r="G15" s="8"/>
      <c r="H15" s="8"/>
      <c r="I15" s="8"/>
      <c r="J15" s="8"/>
      <c r="K15" s="8"/>
      <c r="L15" s="8"/>
      <c r="M15" s="8"/>
      <c r="N15" s="8"/>
      <c r="O15" s="8"/>
      <c r="P15" s="8"/>
      <c r="Q15" s="8"/>
      <c r="R15" s="8"/>
      <c r="S15" s="8"/>
      <c r="T15" s="8"/>
      <c r="U15" s="8"/>
      <c r="V15" s="8"/>
    </row>
    <row r="16" spans="1:22" s="3" customFormat="1" ht="15" customHeight="1" x14ac:dyDescent="0.2">
      <c r="A16" s="427" t="s">
        <v>6</v>
      </c>
      <c r="B16" s="427"/>
      <c r="C16" s="427"/>
      <c r="D16" s="6"/>
      <c r="E16" s="424"/>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24"/>
      <c r="F17" s="4"/>
      <c r="G17" s="4"/>
      <c r="H17" s="4"/>
      <c r="I17" s="4"/>
      <c r="J17" s="4"/>
      <c r="K17" s="4"/>
      <c r="L17" s="4"/>
      <c r="M17" s="4"/>
      <c r="N17" s="4"/>
      <c r="O17" s="4"/>
      <c r="P17" s="4"/>
      <c r="Q17" s="4"/>
      <c r="R17" s="4"/>
      <c r="S17" s="4"/>
    </row>
    <row r="18" spans="1:22" s="3" customFormat="1" ht="15" customHeight="1" x14ac:dyDescent="0.2">
      <c r="A18" s="428" t="s">
        <v>523</v>
      </c>
      <c r="B18" s="429"/>
      <c r="C18" s="429"/>
      <c r="D18" s="7"/>
      <c r="E18" s="424"/>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24"/>
      <c r="F19" s="6"/>
      <c r="G19" s="6"/>
      <c r="H19" s="6"/>
      <c r="I19" s="4"/>
      <c r="J19" s="4"/>
      <c r="K19" s="4"/>
      <c r="L19" s="4"/>
      <c r="M19" s="4"/>
      <c r="N19" s="4"/>
      <c r="O19" s="4"/>
      <c r="P19" s="4"/>
      <c r="Q19" s="4"/>
      <c r="R19" s="4"/>
      <c r="S19" s="4"/>
    </row>
    <row r="20" spans="1:22" s="3" customFormat="1" ht="39.75" customHeight="1" x14ac:dyDescent="0.2">
      <c r="A20" s="320" t="s">
        <v>5</v>
      </c>
      <c r="B20" s="327" t="s">
        <v>66</v>
      </c>
      <c r="C20" s="327" t="s">
        <v>65</v>
      </c>
      <c r="D20" s="33"/>
      <c r="E20" s="424"/>
      <c r="F20" s="33"/>
      <c r="G20" s="33"/>
      <c r="H20" s="33"/>
      <c r="I20" s="32"/>
      <c r="J20" s="32"/>
      <c r="K20" s="32"/>
      <c r="L20" s="32"/>
      <c r="M20" s="32"/>
      <c r="N20" s="32"/>
      <c r="O20" s="32"/>
      <c r="P20" s="32"/>
      <c r="Q20" s="32"/>
      <c r="R20" s="32"/>
      <c r="S20" s="32"/>
      <c r="T20" s="31"/>
      <c r="U20" s="31"/>
      <c r="V20" s="31"/>
    </row>
    <row r="21" spans="1:22" s="3" customFormat="1" ht="16.5" customHeight="1" x14ac:dyDescent="0.2">
      <c r="A21" s="327">
        <v>1</v>
      </c>
      <c r="B21" s="327">
        <v>2</v>
      </c>
      <c r="C21" s="327">
        <v>3</v>
      </c>
      <c r="D21" s="33"/>
      <c r="E21" s="424"/>
      <c r="F21" s="33"/>
      <c r="G21" s="33"/>
      <c r="H21" s="33"/>
      <c r="I21" s="32"/>
      <c r="J21" s="32"/>
      <c r="K21" s="32"/>
      <c r="L21" s="32"/>
      <c r="M21" s="32"/>
      <c r="N21" s="32"/>
      <c r="O21" s="32"/>
      <c r="P21" s="32"/>
      <c r="Q21" s="32"/>
      <c r="R21" s="32"/>
      <c r="S21" s="32"/>
      <c r="T21" s="31"/>
      <c r="U21" s="31"/>
      <c r="V21" s="31"/>
    </row>
    <row r="22" spans="1:22" s="3" customFormat="1" ht="39" customHeight="1" x14ac:dyDescent="0.2">
      <c r="A22" s="323" t="s">
        <v>64</v>
      </c>
      <c r="B22" s="324" t="s">
        <v>358</v>
      </c>
      <c r="C22" s="321" t="s">
        <v>601</v>
      </c>
      <c r="D22" s="33"/>
      <c r="E22" s="424"/>
      <c r="F22" s="33"/>
      <c r="G22" s="33"/>
      <c r="H22" s="33"/>
      <c r="I22" s="32"/>
      <c r="J22" s="32"/>
      <c r="K22" s="32"/>
      <c r="L22" s="32"/>
      <c r="M22" s="32"/>
      <c r="N22" s="32"/>
      <c r="O22" s="32"/>
      <c r="P22" s="32"/>
      <c r="Q22" s="32"/>
      <c r="R22" s="32"/>
      <c r="S22" s="32"/>
      <c r="T22" s="31"/>
      <c r="U22" s="31"/>
      <c r="V22" s="31"/>
    </row>
    <row r="23" spans="1:22" s="3" customFormat="1" ht="93" customHeight="1" x14ac:dyDescent="0.2">
      <c r="A23" s="323" t="s">
        <v>63</v>
      </c>
      <c r="B23" s="321" t="s">
        <v>1021</v>
      </c>
      <c r="C23" s="320" t="s">
        <v>1020</v>
      </c>
      <c r="D23" s="33"/>
      <c r="E23" s="424"/>
      <c r="F23" s="33"/>
      <c r="G23" s="33"/>
      <c r="H23" s="33"/>
      <c r="I23" s="32"/>
      <c r="J23" s="32"/>
      <c r="K23" s="32"/>
      <c r="L23" s="32"/>
      <c r="M23" s="32"/>
      <c r="N23" s="32"/>
      <c r="O23" s="32"/>
      <c r="P23" s="32"/>
      <c r="Q23" s="32"/>
      <c r="R23" s="32"/>
      <c r="S23" s="32"/>
      <c r="T23" s="31"/>
      <c r="U23" s="31"/>
      <c r="V23" s="31"/>
    </row>
    <row r="24" spans="1:22" s="3" customFormat="1" ht="22.5" customHeight="1" x14ac:dyDescent="0.2">
      <c r="A24" s="425"/>
      <c r="B24" s="425"/>
      <c r="C24" s="425"/>
      <c r="D24" s="33"/>
      <c r="E24" s="424"/>
      <c r="F24" s="33"/>
      <c r="G24" s="33"/>
      <c r="H24" s="33"/>
      <c r="I24" s="32"/>
      <c r="J24" s="32"/>
      <c r="K24" s="32"/>
      <c r="L24" s="32"/>
      <c r="M24" s="32"/>
      <c r="N24" s="32"/>
      <c r="O24" s="32"/>
      <c r="P24" s="32"/>
      <c r="Q24" s="32"/>
      <c r="R24" s="32"/>
      <c r="S24" s="32"/>
      <c r="T24" s="31"/>
      <c r="U24" s="31"/>
      <c r="V24" s="31"/>
    </row>
    <row r="25" spans="1:22" s="35" customFormat="1" ht="58.5" customHeight="1" x14ac:dyDescent="0.2">
      <c r="A25" s="323" t="s">
        <v>62</v>
      </c>
      <c r="B25" s="322" t="s">
        <v>470</v>
      </c>
      <c r="C25" s="321" t="s">
        <v>541</v>
      </c>
      <c r="D25" s="38"/>
      <c r="E25" s="424"/>
      <c r="F25" s="38"/>
      <c r="G25" s="38"/>
      <c r="H25" s="37"/>
      <c r="I25" s="37"/>
      <c r="J25" s="37"/>
      <c r="K25" s="37"/>
      <c r="L25" s="37"/>
      <c r="M25" s="37"/>
      <c r="N25" s="37"/>
      <c r="O25" s="37"/>
      <c r="P25" s="37"/>
      <c r="Q25" s="37"/>
      <c r="R25" s="37"/>
      <c r="S25" s="36"/>
      <c r="T25" s="36"/>
      <c r="U25" s="36"/>
      <c r="V25" s="36"/>
    </row>
    <row r="26" spans="1:22" s="35" customFormat="1" ht="42.75" customHeight="1" x14ac:dyDescent="0.2">
      <c r="A26" s="323" t="s">
        <v>61</v>
      </c>
      <c r="B26" s="322" t="s">
        <v>74</v>
      </c>
      <c r="C26" s="321" t="s">
        <v>542</v>
      </c>
      <c r="D26" s="38"/>
      <c r="E26" s="424"/>
      <c r="F26" s="38"/>
      <c r="G26" s="38"/>
      <c r="H26" s="37"/>
      <c r="I26" s="37"/>
      <c r="J26" s="37"/>
      <c r="K26" s="37"/>
      <c r="L26" s="37"/>
      <c r="M26" s="37"/>
      <c r="N26" s="37"/>
      <c r="O26" s="37"/>
      <c r="P26" s="37"/>
      <c r="Q26" s="37"/>
      <c r="R26" s="37"/>
      <c r="S26" s="36"/>
      <c r="T26" s="36"/>
      <c r="U26" s="36"/>
      <c r="V26" s="36"/>
    </row>
    <row r="27" spans="1:22" s="35" customFormat="1" ht="51.75" customHeight="1" x14ac:dyDescent="0.2">
      <c r="A27" s="323" t="s">
        <v>59</v>
      </c>
      <c r="B27" s="322" t="s">
        <v>73</v>
      </c>
      <c r="C27" s="321" t="s">
        <v>542</v>
      </c>
      <c r="D27" s="38"/>
      <c r="E27" s="424"/>
      <c r="F27" s="38"/>
      <c r="G27" s="38"/>
      <c r="H27" s="37"/>
      <c r="I27" s="37"/>
      <c r="J27" s="37"/>
      <c r="K27" s="37"/>
      <c r="L27" s="37"/>
      <c r="M27" s="37"/>
      <c r="N27" s="37"/>
      <c r="O27" s="37"/>
      <c r="P27" s="37"/>
      <c r="Q27" s="37"/>
      <c r="R27" s="37"/>
      <c r="S27" s="36"/>
      <c r="T27" s="36"/>
      <c r="U27" s="36"/>
      <c r="V27" s="36"/>
    </row>
    <row r="28" spans="1:22" s="35" customFormat="1" ht="42.75" customHeight="1" x14ac:dyDescent="0.2">
      <c r="A28" s="323" t="s">
        <v>58</v>
      </c>
      <c r="B28" s="322" t="s">
        <v>471</v>
      </c>
      <c r="C28" s="321" t="s">
        <v>602</v>
      </c>
      <c r="D28" s="38"/>
      <c r="E28" s="424"/>
      <c r="F28" s="38"/>
      <c r="G28" s="38"/>
      <c r="H28" s="37"/>
      <c r="I28" s="37"/>
      <c r="J28" s="37"/>
      <c r="K28" s="37"/>
      <c r="L28" s="37"/>
      <c r="M28" s="37"/>
      <c r="N28" s="37"/>
      <c r="O28" s="37"/>
      <c r="P28" s="37"/>
      <c r="Q28" s="37"/>
      <c r="R28" s="37"/>
      <c r="S28" s="36"/>
      <c r="T28" s="36"/>
      <c r="U28" s="36"/>
      <c r="V28" s="36"/>
    </row>
    <row r="29" spans="1:22" s="35" customFormat="1" ht="51.75" customHeight="1" x14ac:dyDescent="0.2">
      <c r="A29" s="323" t="s">
        <v>56</v>
      </c>
      <c r="B29" s="322" t="s">
        <v>472</v>
      </c>
      <c r="C29" s="321" t="s">
        <v>602</v>
      </c>
      <c r="D29" s="38"/>
      <c r="E29" s="424"/>
      <c r="F29" s="38"/>
      <c r="G29" s="38"/>
      <c r="H29" s="37"/>
      <c r="I29" s="37"/>
      <c r="J29" s="37"/>
      <c r="K29" s="37"/>
      <c r="L29" s="37"/>
      <c r="M29" s="37"/>
      <c r="N29" s="37"/>
      <c r="O29" s="37"/>
      <c r="P29" s="37"/>
      <c r="Q29" s="37"/>
      <c r="R29" s="37"/>
      <c r="S29" s="36"/>
      <c r="T29" s="36"/>
      <c r="U29" s="36"/>
      <c r="V29" s="36"/>
    </row>
    <row r="30" spans="1:22" s="35" customFormat="1" ht="51.75" customHeight="1" x14ac:dyDescent="0.2">
      <c r="A30" s="323" t="s">
        <v>54</v>
      </c>
      <c r="B30" s="322" t="s">
        <v>473</v>
      </c>
      <c r="C30" s="321" t="s">
        <v>602</v>
      </c>
      <c r="D30" s="38"/>
      <c r="E30" s="424"/>
      <c r="F30" s="38"/>
      <c r="G30" s="38"/>
      <c r="H30" s="37"/>
      <c r="I30" s="37"/>
      <c r="J30" s="37"/>
      <c r="K30" s="37"/>
      <c r="L30" s="37"/>
      <c r="M30" s="37"/>
      <c r="N30" s="37"/>
      <c r="O30" s="37"/>
      <c r="P30" s="37"/>
      <c r="Q30" s="37"/>
      <c r="R30" s="37"/>
      <c r="S30" s="36"/>
      <c r="T30" s="36"/>
      <c r="U30" s="36"/>
      <c r="V30" s="36"/>
    </row>
    <row r="31" spans="1:22" s="35" customFormat="1" ht="51.75" customHeight="1" x14ac:dyDescent="0.2">
      <c r="A31" s="323" t="s">
        <v>72</v>
      </c>
      <c r="B31" s="324" t="s">
        <v>474</v>
      </c>
      <c r="C31" s="325" t="s">
        <v>605</v>
      </c>
      <c r="D31" s="38"/>
      <c r="E31" s="424"/>
      <c r="F31" s="38"/>
      <c r="G31" s="38"/>
      <c r="H31" s="37"/>
      <c r="I31" s="37"/>
      <c r="J31" s="37"/>
      <c r="K31" s="37"/>
      <c r="L31" s="37"/>
      <c r="M31" s="37"/>
      <c r="N31" s="37"/>
      <c r="O31" s="37"/>
      <c r="P31" s="37"/>
      <c r="Q31" s="37"/>
      <c r="R31" s="37"/>
      <c r="S31" s="36"/>
      <c r="T31" s="36"/>
      <c r="U31" s="36"/>
      <c r="V31" s="36"/>
    </row>
    <row r="32" spans="1:22" s="35" customFormat="1" ht="51.75" customHeight="1" x14ac:dyDescent="0.2">
      <c r="A32" s="323" t="s">
        <v>70</v>
      </c>
      <c r="B32" s="324" t="s">
        <v>475</v>
      </c>
      <c r="C32" s="325" t="s">
        <v>605</v>
      </c>
      <c r="D32" s="38"/>
      <c r="E32" s="424"/>
      <c r="F32" s="38"/>
      <c r="G32" s="38"/>
      <c r="H32" s="37"/>
      <c r="I32" s="37"/>
      <c r="J32" s="37"/>
      <c r="K32" s="37"/>
      <c r="L32" s="37"/>
      <c r="M32" s="37"/>
      <c r="N32" s="37"/>
      <c r="O32" s="37"/>
      <c r="P32" s="37"/>
      <c r="Q32" s="37"/>
      <c r="R32" s="37"/>
      <c r="S32" s="36"/>
      <c r="T32" s="36"/>
      <c r="U32" s="36"/>
      <c r="V32" s="36"/>
    </row>
    <row r="33" spans="1:22" s="35" customFormat="1" ht="101.25" customHeight="1" x14ac:dyDescent="0.2">
      <c r="A33" s="323" t="s">
        <v>69</v>
      </c>
      <c r="B33" s="324" t="s">
        <v>476</v>
      </c>
      <c r="C33" s="322" t="s">
        <v>603</v>
      </c>
      <c r="D33" s="38"/>
      <c r="E33" s="424"/>
      <c r="F33" s="38"/>
      <c r="G33" s="38"/>
      <c r="H33" s="37"/>
      <c r="I33" s="37"/>
      <c r="J33" s="37"/>
      <c r="K33" s="37"/>
      <c r="L33" s="37"/>
      <c r="M33" s="37"/>
      <c r="N33" s="37"/>
      <c r="O33" s="37"/>
      <c r="P33" s="37"/>
      <c r="Q33" s="37"/>
      <c r="R33" s="37"/>
      <c r="S33" s="36"/>
      <c r="T33" s="36"/>
      <c r="U33" s="36"/>
      <c r="V33" s="36"/>
    </row>
    <row r="34" spans="1:22" ht="111" customHeight="1" x14ac:dyDescent="0.25">
      <c r="A34" s="323" t="s">
        <v>492</v>
      </c>
      <c r="B34" s="324" t="s">
        <v>477</v>
      </c>
      <c r="C34" s="321" t="s">
        <v>603</v>
      </c>
      <c r="D34" s="27"/>
      <c r="E34" s="424"/>
      <c r="F34" s="27"/>
      <c r="G34" s="27"/>
      <c r="H34" s="27"/>
      <c r="I34" s="27"/>
      <c r="J34" s="27"/>
      <c r="K34" s="27"/>
      <c r="L34" s="27"/>
      <c r="M34" s="27"/>
      <c r="N34" s="27"/>
      <c r="O34" s="27"/>
      <c r="P34" s="27"/>
      <c r="Q34" s="27"/>
      <c r="R34" s="27"/>
      <c r="S34" s="27"/>
      <c r="T34" s="27"/>
      <c r="U34" s="27"/>
      <c r="V34" s="27"/>
    </row>
    <row r="35" spans="1:22" ht="58.5" customHeight="1" x14ac:dyDescent="0.25">
      <c r="A35" s="323" t="s">
        <v>480</v>
      </c>
      <c r="B35" s="324" t="s">
        <v>71</v>
      </c>
      <c r="C35" s="321" t="s">
        <v>604</v>
      </c>
      <c r="D35" s="27"/>
      <c r="E35" s="424"/>
      <c r="F35" s="27"/>
      <c r="G35" s="27"/>
      <c r="H35" s="27"/>
      <c r="I35" s="27"/>
      <c r="J35" s="27"/>
      <c r="K35" s="27"/>
      <c r="L35" s="27"/>
      <c r="M35" s="27"/>
      <c r="N35" s="27"/>
      <c r="O35" s="27"/>
      <c r="P35" s="27"/>
      <c r="Q35" s="27"/>
      <c r="R35" s="27"/>
      <c r="S35" s="27"/>
      <c r="T35" s="27"/>
      <c r="U35" s="27"/>
      <c r="V35" s="27"/>
    </row>
    <row r="36" spans="1:22" ht="51.75" customHeight="1" x14ac:dyDescent="0.25">
      <c r="A36" s="323" t="s">
        <v>493</v>
      </c>
      <c r="B36" s="324" t="s">
        <v>478</v>
      </c>
      <c r="C36" s="321" t="s">
        <v>602</v>
      </c>
      <c r="D36" s="27"/>
      <c r="E36" s="424"/>
      <c r="F36" s="27"/>
      <c r="G36" s="27"/>
      <c r="H36" s="27"/>
      <c r="I36" s="27"/>
      <c r="J36" s="27"/>
      <c r="K36" s="27"/>
      <c r="L36" s="27"/>
      <c r="M36" s="27"/>
      <c r="N36" s="27"/>
      <c r="O36" s="27"/>
      <c r="P36" s="27"/>
      <c r="Q36" s="27"/>
      <c r="R36" s="27"/>
      <c r="S36" s="27"/>
      <c r="T36" s="27"/>
      <c r="U36" s="27"/>
      <c r="V36" s="27"/>
    </row>
    <row r="37" spans="1:22" ht="43.5" customHeight="1" x14ac:dyDescent="0.25">
      <c r="A37" s="323" t="s">
        <v>481</v>
      </c>
      <c r="B37" s="324" t="s">
        <v>479</v>
      </c>
      <c r="C37" s="325" t="s">
        <v>605</v>
      </c>
      <c r="D37" s="27"/>
      <c r="E37" s="424"/>
      <c r="F37" s="27"/>
      <c r="G37" s="27"/>
      <c r="H37" s="27"/>
      <c r="I37" s="27"/>
      <c r="J37" s="27"/>
      <c r="K37" s="27"/>
      <c r="L37" s="27"/>
      <c r="M37" s="27"/>
      <c r="N37" s="27"/>
      <c r="O37" s="27"/>
      <c r="P37" s="27"/>
      <c r="Q37" s="27"/>
      <c r="R37" s="27"/>
      <c r="S37" s="27"/>
      <c r="T37" s="27"/>
      <c r="U37" s="27"/>
      <c r="V37" s="27"/>
    </row>
    <row r="38" spans="1:22" ht="43.5" customHeight="1" x14ac:dyDescent="0.25">
      <c r="A38" s="323" t="s">
        <v>494</v>
      </c>
      <c r="B38" s="324" t="s">
        <v>239</v>
      </c>
      <c r="C38" s="321" t="s">
        <v>604</v>
      </c>
      <c r="D38" s="27"/>
      <c r="E38" s="424"/>
      <c r="F38" s="27"/>
      <c r="G38" s="27"/>
      <c r="H38" s="27"/>
      <c r="I38" s="27"/>
      <c r="J38" s="27"/>
      <c r="K38" s="27"/>
      <c r="L38" s="27"/>
      <c r="M38" s="27"/>
      <c r="N38" s="27"/>
      <c r="O38" s="27"/>
      <c r="P38" s="27"/>
      <c r="Q38" s="27"/>
      <c r="R38" s="27"/>
      <c r="S38" s="27"/>
      <c r="T38" s="27"/>
      <c r="U38" s="27"/>
      <c r="V38" s="27"/>
    </row>
    <row r="39" spans="1:22" ht="23.25" customHeight="1" x14ac:dyDescent="0.25">
      <c r="A39" s="425"/>
      <c r="B39" s="425"/>
      <c r="C39" s="425"/>
      <c r="D39" s="27"/>
      <c r="E39" s="424"/>
      <c r="F39" s="27"/>
      <c r="G39" s="27"/>
      <c r="H39" s="27"/>
      <c r="I39" s="27"/>
      <c r="J39" s="27"/>
      <c r="K39" s="27"/>
      <c r="L39" s="27"/>
      <c r="M39" s="27"/>
      <c r="N39" s="27"/>
      <c r="O39" s="27"/>
      <c r="P39" s="27"/>
      <c r="Q39" s="27"/>
      <c r="R39" s="27"/>
      <c r="S39" s="27"/>
      <c r="T39" s="27"/>
      <c r="U39" s="27"/>
      <c r="V39" s="27"/>
    </row>
    <row r="40" spans="1:22" ht="63" x14ac:dyDescent="0.25">
      <c r="A40" s="323" t="s">
        <v>482</v>
      </c>
      <c r="B40" s="324" t="s">
        <v>536</v>
      </c>
      <c r="C40" s="29" t="s">
        <v>610</v>
      </c>
      <c r="D40" s="27"/>
      <c r="E40" s="424"/>
      <c r="F40" s="27"/>
      <c r="G40" s="27"/>
      <c r="H40" s="27"/>
      <c r="I40" s="27"/>
      <c r="J40" s="27"/>
      <c r="K40" s="27"/>
      <c r="L40" s="27"/>
      <c r="M40" s="27"/>
      <c r="N40" s="27"/>
      <c r="O40" s="27"/>
      <c r="P40" s="27"/>
      <c r="Q40" s="27"/>
      <c r="R40" s="27"/>
      <c r="S40" s="27"/>
      <c r="T40" s="27"/>
      <c r="U40" s="27"/>
      <c r="V40" s="27"/>
    </row>
    <row r="41" spans="1:22" ht="105.75" customHeight="1" x14ac:dyDescent="0.25">
      <c r="A41" s="323" t="s">
        <v>495</v>
      </c>
      <c r="B41" s="324" t="s">
        <v>518</v>
      </c>
      <c r="C41" s="325" t="s">
        <v>605</v>
      </c>
      <c r="D41" s="27"/>
      <c r="E41" s="424"/>
      <c r="F41" s="27"/>
      <c r="G41" s="27"/>
      <c r="H41" s="27"/>
      <c r="I41" s="27"/>
      <c r="J41" s="27"/>
      <c r="K41" s="27"/>
      <c r="L41" s="27"/>
      <c r="M41" s="27"/>
      <c r="N41" s="27"/>
      <c r="O41" s="27"/>
      <c r="P41" s="27"/>
      <c r="Q41" s="27"/>
      <c r="R41" s="27"/>
      <c r="S41" s="27"/>
      <c r="T41" s="27"/>
      <c r="U41" s="27"/>
      <c r="V41" s="27"/>
    </row>
    <row r="42" spans="1:22" ht="83.25" customHeight="1" x14ac:dyDescent="0.25">
      <c r="A42" s="323" t="s">
        <v>483</v>
      </c>
      <c r="B42" s="324" t="s">
        <v>533</v>
      </c>
      <c r="C42" s="325" t="s">
        <v>605</v>
      </c>
      <c r="D42" s="27"/>
      <c r="E42" s="424"/>
      <c r="F42" s="27"/>
      <c r="G42" s="27"/>
      <c r="H42" s="27"/>
      <c r="I42" s="27"/>
      <c r="J42" s="27"/>
      <c r="K42" s="27"/>
      <c r="L42" s="27"/>
      <c r="M42" s="27"/>
      <c r="N42" s="27"/>
      <c r="O42" s="27"/>
      <c r="P42" s="27"/>
      <c r="Q42" s="27"/>
      <c r="R42" s="27"/>
      <c r="S42" s="27"/>
      <c r="T42" s="27"/>
      <c r="U42" s="27"/>
      <c r="V42" s="27"/>
    </row>
    <row r="43" spans="1:22" ht="186" customHeight="1" x14ac:dyDescent="0.25">
      <c r="A43" s="323" t="s">
        <v>498</v>
      </c>
      <c r="B43" s="324" t="s">
        <v>499</v>
      </c>
      <c r="C43" s="325" t="s">
        <v>605</v>
      </c>
      <c r="D43" s="27"/>
      <c r="E43" s="424"/>
      <c r="F43" s="27"/>
      <c r="G43" s="27"/>
      <c r="H43" s="27"/>
      <c r="I43" s="27"/>
      <c r="J43" s="27"/>
      <c r="K43" s="27"/>
      <c r="L43" s="27"/>
      <c r="M43" s="27"/>
      <c r="N43" s="27"/>
      <c r="O43" s="27"/>
      <c r="P43" s="27"/>
      <c r="Q43" s="27"/>
      <c r="R43" s="27"/>
      <c r="S43" s="27"/>
      <c r="T43" s="27"/>
      <c r="U43" s="27"/>
      <c r="V43" s="27"/>
    </row>
    <row r="44" spans="1:22" ht="111" customHeight="1" x14ac:dyDescent="0.25">
      <c r="A44" s="323" t="s">
        <v>484</v>
      </c>
      <c r="B44" s="324" t="s">
        <v>524</v>
      </c>
      <c r="C44" s="325" t="s">
        <v>605</v>
      </c>
      <c r="D44" s="27"/>
      <c r="E44" s="424"/>
      <c r="F44" s="27"/>
      <c r="G44" s="27"/>
      <c r="H44" s="27"/>
      <c r="I44" s="27"/>
      <c r="J44" s="27"/>
      <c r="K44" s="27"/>
      <c r="L44" s="27"/>
      <c r="M44" s="27"/>
      <c r="N44" s="27"/>
      <c r="O44" s="27"/>
      <c r="P44" s="27"/>
      <c r="Q44" s="27"/>
      <c r="R44" s="27"/>
      <c r="S44" s="27"/>
      <c r="T44" s="27"/>
      <c r="U44" s="27"/>
      <c r="V44" s="27"/>
    </row>
    <row r="45" spans="1:22" ht="120" customHeight="1" x14ac:dyDescent="0.25">
      <c r="A45" s="323" t="s">
        <v>519</v>
      </c>
      <c r="B45" s="324" t="s">
        <v>525</v>
      </c>
      <c r="C45" s="325" t="s">
        <v>605</v>
      </c>
      <c r="D45" s="27"/>
      <c r="E45" s="424"/>
      <c r="F45" s="27"/>
      <c r="G45" s="27"/>
      <c r="H45" s="27"/>
      <c r="I45" s="27"/>
      <c r="J45" s="27"/>
      <c r="K45" s="27"/>
      <c r="L45" s="27"/>
      <c r="M45" s="27"/>
      <c r="N45" s="27"/>
      <c r="O45" s="27"/>
      <c r="P45" s="27"/>
      <c r="Q45" s="27"/>
      <c r="R45" s="27"/>
      <c r="S45" s="27"/>
      <c r="T45" s="27"/>
      <c r="U45" s="27"/>
      <c r="V45" s="27"/>
    </row>
    <row r="46" spans="1:22" ht="101.25" customHeight="1" x14ac:dyDescent="0.25">
      <c r="A46" s="323" t="s">
        <v>485</v>
      </c>
      <c r="B46" s="324" t="s">
        <v>526</v>
      </c>
      <c r="C46" s="325" t="s">
        <v>605</v>
      </c>
      <c r="D46" s="27"/>
      <c r="E46" s="424"/>
      <c r="F46" s="27"/>
      <c r="G46" s="27"/>
      <c r="H46" s="27"/>
      <c r="I46" s="27"/>
      <c r="J46" s="27"/>
      <c r="K46" s="27"/>
      <c r="L46" s="27"/>
      <c r="M46" s="27"/>
      <c r="N46" s="27"/>
      <c r="O46" s="27"/>
      <c r="P46" s="27"/>
      <c r="Q46" s="27"/>
      <c r="R46" s="27"/>
      <c r="S46" s="27"/>
      <c r="T46" s="27"/>
      <c r="U46" s="27"/>
      <c r="V46" s="27"/>
    </row>
    <row r="47" spans="1:22" ht="18.75" customHeight="1" x14ac:dyDescent="0.25">
      <c r="A47" s="425"/>
      <c r="B47" s="425"/>
      <c r="C47" s="425"/>
      <c r="D47" s="27"/>
      <c r="E47" s="424"/>
      <c r="F47" s="27"/>
      <c r="G47" s="27"/>
      <c r="H47" s="27"/>
      <c r="I47" s="27"/>
      <c r="J47" s="27"/>
      <c r="K47" s="27"/>
      <c r="L47" s="27"/>
      <c r="M47" s="27"/>
      <c r="N47" s="27"/>
      <c r="O47" s="27"/>
      <c r="P47" s="27"/>
      <c r="Q47" s="27"/>
      <c r="R47" s="27"/>
      <c r="S47" s="27"/>
      <c r="T47" s="27"/>
      <c r="U47" s="27"/>
      <c r="V47" s="27"/>
    </row>
    <row r="48" spans="1:22" ht="75.75" customHeight="1" x14ac:dyDescent="0.25">
      <c r="A48" s="323" t="s">
        <v>520</v>
      </c>
      <c r="B48" s="324" t="s">
        <v>534</v>
      </c>
      <c r="C48" s="326">
        <f>'6.2. Паспорт фин осв ввод факт'!AB24</f>
        <v>2568.5237605556276</v>
      </c>
      <c r="D48" s="27" t="s">
        <v>618</v>
      </c>
      <c r="E48" s="341"/>
      <c r="F48" s="27"/>
      <c r="G48" s="27"/>
      <c r="H48" s="27"/>
      <c r="I48" s="27"/>
      <c r="J48" s="27"/>
      <c r="K48" s="27"/>
      <c r="L48" s="27"/>
      <c r="M48" s="27"/>
      <c r="N48" s="27"/>
      <c r="O48" s="27"/>
      <c r="P48" s="27"/>
      <c r="Q48" s="27"/>
      <c r="R48" s="27"/>
      <c r="S48" s="27"/>
      <c r="T48" s="27"/>
      <c r="U48" s="27"/>
      <c r="V48" s="27"/>
    </row>
    <row r="49" spans="1:22" ht="71.25" customHeight="1" x14ac:dyDescent="0.25">
      <c r="A49" s="323" t="s">
        <v>486</v>
      </c>
      <c r="B49" s="324" t="s">
        <v>535</v>
      </c>
      <c r="C49" s="326">
        <f>'6.2. Паспорт фин осв ввод факт'!AB30</f>
        <v>2073.8626294235519</v>
      </c>
      <c r="D49" s="27" t="s">
        <v>618</v>
      </c>
      <c r="E49" s="341"/>
      <c r="F49" s="27"/>
      <c r="G49" s="27"/>
      <c r="H49" s="27"/>
      <c r="I49" s="27"/>
      <c r="J49" s="27"/>
      <c r="K49" s="27"/>
      <c r="L49" s="27"/>
      <c r="M49" s="27"/>
      <c r="N49" s="27"/>
      <c r="O49" s="27"/>
      <c r="P49" s="27"/>
      <c r="Q49" s="27"/>
      <c r="R49" s="27"/>
      <c r="S49" s="27"/>
      <c r="T49" s="27"/>
      <c r="U49" s="27"/>
      <c r="V49" s="27"/>
    </row>
    <row r="50" spans="1:22" ht="75.75" hidden="1" customHeight="1" x14ac:dyDescent="0.25">
      <c r="A50" s="323" t="s">
        <v>520</v>
      </c>
      <c r="B50" s="324" t="s">
        <v>534</v>
      </c>
      <c r="C50" s="326">
        <f>'6.2. Паспорт фин осв ввод'!AG24</f>
        <v>1530.2431367493321</v>
      </c>
      <c r="D50" s="27" t="s">
        <v>1035</v>
      </c>
      <c r="E50" s="341"/>
      <c r="F50" s="27"/>
      <c r="G50" s="27"/>
      <c r="H50" s="27"/>
      <c r="I50" s="27"/>
      <c r="J50" s="27"/>
      <c r="K50" s="27"/>
      <c r="L50" s="27"/>
      <c r="M50" s="27"/>
      <c r="N50" s="27"/>
      <c r="O50" s="27"/>
      <c r="P50" s="27"/>
      <c r="Q50" s="27"/>
      <c r="R50" s="27"/>
      <c r="S50" s="27"/>
      <c r="T50" s="27"/>
      <c r="U50" s="27"/>
      <c r="V50" s="27"/>
    </row>
    <row r="51" spans="1:22" ht="71.25" hidden="1" customHeight="1" x14ac:dyDescent="0.25">
      <c r="A51" s="323" t="s">
        <v>486</v>
      </c>
      <c r="B51" s="324" t="s">
        <v>535</v>
      </c>
      <c r="C51" s="326">
        <f>'6.2. Паспорт фин осв ввод'!AG30</f>
        <v>1299.1203616950838</v>
      </c>
      <c r="D51" s="27" t="s">
        <v>1035</v>
      </c>
      <c r="E51" s="341"/>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35">
      <formula1>список5</formula1>
    </dataValidation>
    <dataValidation type="list" allowBlank="1" showInputMessage="1" showErrorMessage="1" sqref="C33:C34">
      <formula1>список7</formula1>
    </dataValidation>
    <dataValidation type="list" allowBlank="1" showInputMessage="1" showErrorMessage="1" sqref="C28:C30 C36 C38">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E42" sqref="E42"/>
      <selection pane="topRight" activeCell="E42" sqref="E42"/>
      <selection pane="bottomLeft" activeCell="E42" sqref="E42"/>
      <selection pane="bottomRight" activeCell="V29" sqref="V29"/>
    </sheetView>
  </sheetViews>
  <sheetFormatPr defaultColWidth="9.140625" defaultRowHeight="15.75" x14ac:dyDescent="0.25"/>
  <cols>
    <col min="1" max="1" width="9.140625" style="65"/>
    <col min="2" max="2" width="57.85546875" style="65" customWidth="1"/>
    <col min="3" max="3" width="13" style="65" customWidth="1"/>
    <col min="4" max="4" width="17.85546875" style="311" customWidth="1"/>
    <col min="5" max="5" width="20.42578125" style="65" customWidth="1"/>
    <col min="6" max="6" width="18.7109375" style="65" customWidth="1"/>
    <col min="7" max="7" width="12.85546875" style="66" customWidth="1"/>
    <col min="8" max="11" width="9" style="66" customWidth="1"/>
    <col min="12" max="13" width="9" style="65" customWidth="1"/>
    <col min="14" max="14" width="10.42578125" style="65" customWidth="1"/>
    <col min="15" max="15" width="10.85546875" style="65" customWidth="1"/>
    <col min="16" max="16" width="10.140625" style="65" customWidth="1"/>
    <col min="17" max="17" width="9" style="65" customWidth="1"/>
    <col min="18" max="18" width="10.140625" style="65" customWidth="1"/>
    <col min="19" max="27" width="9" style="65" customWidth="1"/>
    <col min="28" max="28" width="13.140625" style="65" customWidth="1"/>
    <col min="29" max="29" width="24.85546875" style="311" customWidth="1"/>
    <col min="30" max="37" width="9.140625" style="65" customWidth="1"/>
    <col min="38" max="16384" width="9.140625" style="65"/>
  </cols>
  <sheetData>
    <row r="1" spans="1:29" ht="18.75" x14ac:dyDescent="0.25">
      <c r="A1" s="66"/>
      <c r="B1" s="66"/>
      <c r="C1" s="66"/>
      <c r="D1" s="312"/>
      <c r="E1" s="66"/>
      <c r="F1" s="66"/>
      <c r="L1" s="66"/>
      <c r="M1" s="66"/>
      <c r="AC1" s="317" t="s">
        <v>68</v>
      </c>
    </row>
    <row r="2" spans="1:29" ht="18.75" x14ac:dyDescent="0.3">
      <c r="A2" s="66"/>
      <c r="B2" s="66"/>
      <c r="C2" s="66"/>
      <c r="D2" s="312"/>
      <c r="E2" s="66"/>
      <c r="F2" s="66"/>
      <c r="L2" s="66"/>
      <c r="M2" s="66"/>
      <c r="AC2" s="318" t="s">
        <v>10</v>
      </c>
    </row>
    <row r="3" spans="1:29" ht="18.75" x14ac:dyDescent="0.3">
      <c r="A3" s="66"/>
      <c r="B3" s="66"/>
      <c r="C3" s="66"/>
      <c r="D3" s="312"/>
      <c r="E3" s="66"/>
      <c r="F3" s="66"/>
      <c r="L3" s="66"/>
      <c r="M3" s="66"/>
      <c r="AC3" s="318" t="s">
        <v>67</v>
      </c>
    </row>
    <row r="4" spans="1:29" ht="18.75" customHeight="1" x14ac:dyDescent="0.25">
      <c r="A4" s="498" t="str">
        <f>'[4]1. паспорт местоположение'!A5:C5</f>
        <v>Год раскрытия информации: 2016 год</v>
      </c>
      <c r="B4" s="498"/>
      <c r="C4" s="498"/>
      <c r="D4" s="498"/>
      <c r="E4" s="498"/>
      <c r="F4" s="498"/>
      <c r="G4" s="498"/>
      <c r="H4" s="498"/>
      <c r="I4" s="498"/>
      <c r="J4" s="498"/>
      <c r="K4" s="498"/>
      <c r="L4" s="498"/>
      <c r="M4" s="498"/>
      <c r="N4" s="498"/>
      <c r="O4" s="498"/>
      <c r="P4" s="498"/>
      <c r="Q4" s="498"/>
      <c r="R4" s="498"/>
      <c r="S4" s="498"/>
      <c r="T4" s="498"/>
      <c r="U4" s="498"/>
      <c r="V4" s="498"/>
      <c r="W4" s="498"/>
      <c r="X4" s="498"/>
      <c r="Y4" s="498"/>
      <c r="Z4" s="498"/>
      <c r="AA4" s="498"/>
      <c r="AB4" s="498"/>
      <c r="AC4" s="498"/>
    </row>
    <row r="5" spans="1:29" ht="18.75" x14ac:dyDescent="0.3">
      <c r="A5" s="66"/>
      <c r="B5" s="66"/>
      <c r="C5" s="66"/>
      <c r="D5" s="312"/>
      <c r="E5" s="66"/>
      <c r="F5" s="66"/>
      <c r="L5" s="66"/>
      <c r="M5" s="66"/>
      <c r="AC5" s="318"/>
    </row>
    <row r="6" spans="1:29" ht="18.75" x14ac:dyDescent="0.25">
      <c r="A6" s="430" t="s">
        <v>9</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row>
    <row r="7" spans="1:29" ht="18.75" x14ac:dyDescent="0.25">
      <c r="A7" s="145"/>
      <c r="B7" s="145"/>
      <c r="C7" s="145"/>
      <c r="D7" s="145"/>
      <c r="E7" s="145"/>
      <c r="F7" s="145"/>
      <c r="G7" s="145"/>
      <c r="H7" s="145"/>
      <c r="I7" s="145"/>
      <c r="J7" s="83"/>
      <c r="K7" s="83"/>
      <c r="L7" s="83"/>
      <c r="M7" s="83"/>
      <c r="N7" s="83"/>
      <c r="O7" s="83"/>
      <c r="P7" s="83"/>
      <c r="Q7" s="83"/>
      <c r="R7" s="83"/>
      <c r="S7" s="83"/>
      <c r="T7" s="83"/>
      <c r="U7" s="83"/>
      <c r="V7" s="83"/>
      <c r="W7" s="83"/>
      <c r="X7" s="83"/>
      <c r="Y7" s="83"/>
      <c r="Z7" s="83"/>
      <c r="AA7" s="83"/>
      <c r="AB7" s="83"/>
      <c r="AC7" s="83"/>
    </row>
    <row r="8" spans="1:29" x14ac:dyDescent="0.25">
      <c r="A8" s="499" t="str">
        <f>'1. паспорт местоположение'!A9:C9</f>
        <v>АО "Янтарьэнерго"</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row>
    <row r="9" spans="1:29" ht="18.75" customHeight="1"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row>
    <row r="10" spans="1:29" ht="18.75" x14ac:dyDescent="0.25">
      <c r="A10" s="145"/>
      <c r="B10" s="145"/>
      <c r="C10" s="145"/>
      <c r="D10" s="145"/>
      <c r="E10" s="145"/>
      <c r="F10" s="145"/>
      <c r="G10" s="145"/>
      <c r="H10" s="145"/>
      <c r="I10" s="145"/>
      <c r="J10" s="83"/>
      <c r="K10" s="83"/>
      <c r="L10" s="83"/>
      <c r="M10" s="83"/>
      <c r="N10" s="83"/>
      <c r="O10" s="83"/>
      <c r="P10" s="83"/>
      <c r="Q10" s="83"/>
      <c r="R10" s="83"/>
      <c r="S10" s="83"/>
      <c r="T10" s="83"/>
      <c r="U10" s="83"/>
      <c r="V10" s="83"/>
      <c r="W10" s="83"/>
      <c r="X10" s="83"/>
      <c r="Y10" s="83"/>
      <c r="Z10" s="83"/>
      <c r="AA10" s="83"/>
      <c r="AB10" s="83"/>
      <c r="AC10" s="83"/>
    </row>
    <row r="11" spans="1:29" x14ac:dyDescent="0.25">
      <c r="A11" s="499" t="str">
        <f>'1. паспорт местоположение'!A12:C12</f>
        <v>Г</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99"/>
      <c r="AB11" s="499"/>
      <c r="AC11" s="499"/>
    </row>
    <row r="12" spans="1:29" x14ac:dyDescent="0.25">
      <c r="A12" s="427" t="s">
        <v>7</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row>
    <row r="13" spans="1:29" ht="16.5" customHeight="1" x14ac:dyDescent="0.3">
      <c r="A13" s="11"/>
      <c r="B13" s="11"/>
      <c r="C13" s="11"/>
      <c r="D13" s="313"/>
      <c r="E13" s="11"/>
      <c r="F13" s="11"/>
      <c r="G13" s="11"/>
      <c r="H13" s="11"/>
      <c r="I13" s="11"/>
      <c r="J13" s="82"/>
      <c r="K13" s="82"/>
      <c r="L13" s="82"/>
      <c r="M13" s="82"/>
      <c r="N13" s="82"/>
      <c r="O13" s="82"/>
      <c r="P13" s="82"/>
      <c r="Q13" s="82"/>
      <c r="R13" s="82"/>
      <c r="S13" s="82"/>
      <c r="T13" s="82"/>
      <c r="U13" s="82"/>
      <c r="V13" s="82"/>
      <c r="W13" s="82"/>
      <c r="X13" s="82"/>
      <c r="Y13" s="82"/>
      <c r="Z13" s="82"/>
      <c r="AA13" s="82"/>
      <c r="AB13" s="82"/>
      <c r="AC13" s="84"/>
    </row>
    <row r="14" spans="1:29" x14ac:dyDescent="0.25">
      <c r="A14" s="500"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c r="AC14" s="500"/>
    </row>
    <row r="15" spans="1:29" ht="15.75" customHeight="1" x14ac:dyDescent="0.25">
      <c r="A15" s="427" t="s">
        <v>6</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2" t="s">
        <v>508</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66"/>
      <c r="B19" s="66"/>
      <c r="C19" s="66"/>
      <c r="D19" s="312"/>
      <c r="E19" s="66"/>
      <c r="F19" s="66"/>
      <c r="L19" s="66"/>
      <c r="M19" s="66"/>
      <c r="N19" s="66"/>
      <c r="O19" s="66"/>
      <c r="P19" s="66"/>
      <c r="Q19" s="66"/>
      <c r="R19" s="66"/>
      <c r="S19" s="66"/>
      <c r="T19" s="66"/>
      <c r="U19" s="66"/>
      <c r="V19" s="66"/>
      <c r="W19" s="66"/>
      <c r="X19" s="66"/>
      <c r="Y19" s="66"/>
      <c r="Z19" s="66"/>
      <c r="AA19" s="66"/>
      <c r="AB19" s="66"/>
    </row>
    <row r="20" spans="1:32" ht="33" customHeight="1" x14ac:dyDescent="0.25">
      <c r="A20" s="503" t="s">
        <v>196</v>
      </c>
      <c r="B20" s="503" t="s">
        <v>195</v>
      </c>
      <c r="C20" s="506" t="s">
        <v>194</v>
      </c>
      <c r="D20" s="506"/>
      <c r="E20" s="507" t="s">
        <v>193</v>
      </c>
      <c r="F20" s="507"/>
      <c r="G20" s="508" t="s">
        <v>543</v>
      </c>
      <c r="H20" s="511" t="s">
        <v>544</v>
      </c>
      <c r="I20" s="512"/>
      <c r="J20" s="512"/>
      <c r="K20" s="512"/>
      <c r="L20" s="511" t="s">
        <v>545</v>
      </c>
      <c r="M20" s="512"/>
      <c r="N20" s="512"/>
      <c r="O20" s="512"/>
      <c r="P20" s="511" t="s">
        <v>546</v>
      </c>
      <c r="Q20" s="512"/>
      <c r="R20" s="512"/>
      <c r="S20" s="512"/>
      <c r="T20" s="511" t="s">
        <v>547</v>
      </c>
      <c r="U20" s="512"/>
      <c r="V20" s="512"/>
      <c r="W20" s="512"/>
      <c r="X20" s="511" t="s">
        <v>548</v>
      </c>
      <c r="Y20" s="512"/>
      <c r="Z20" s="512"/>
      <c r="AA20" s="512"/>
      <c r="AB20" s="513" t="s">
        <v>192</v>
      </c>
      <c r="AC20" s="514"/>
      <c r="AD20" s="81"/>
      <c r="AE20" s="81"/>
      <c r="AF20" s="81"/>
    </row>
    <row r="21" spans="1:32" ht="99.75" customHeight="1" x14ac:dyDescent="0.25">
      <c r="A21" s="504"/>
      <c r="B21" s="504"/>
      <c r="C21" s="506"/>
      <c r="D21" s="506"/>
      <c r="E21" s="507"/>
      <c r="F21" s="507"/>
      <c r="G21" s="509"/>
      <c r="H21" s="517" t="s">
        <v>2</v>
      </c>
      <c r="I21" s="517"/>
      <c r="J21" s="517" t="s">
        <v>11</v>
      </c>
      <c r="K21" s="517"/>
      <c r="L21" s="517" t="s">
        <v>2</v>
      </c>
      <c r="M21" s="517"/>
      <c r="N21" s="517" t="s">
        <v>11</v>
      </c>
      <c r="O21" s="517"/>
      <c r="P21" s="517" t="s">
        <v>2</v>
      </c>
      <c r="Q21" s="517"/>
      <c r="R21" s="517" t="s">
        <v>11</v>
      </c>
      <c r="S21" s="517"/>
      <c r="T21" s="517" t="s">
        <v>2</v>
      </c>
      <c r="U21" s="517"/>
      <c r="V21" s="517" t="s">
        <v>11</v>
      </c>
      <c r="W21" s="517"/>
      <c r="X21" s="517" t="s">
        <v>2</v>
      </c>
      <c r="Y21" s="517"/>
      <c r="Z21" s="517" t="s">
        <v>11</v>
      </c>
      <c r="AA21" s="517"/>
      <c r="AB21" s="515"/>
      <c r="AC21" s="516"/>
    </row>
    <row r="22" spans="1:32" ht="89.25" customHeight="1" x14ac:dyDescent="0.25">
      <c r="A22" s="505"/>
      <c r="B22" s="505"/>
      <c r="C22" s="167" t="s">
        <v>2</v>
      </c>
      <c r="D22" s="167" t="s">
        <v>191</v>
      </c>
      <c r="E22" s="172" t="s">
        <v>549</v>
      </c>
      <c r="F22" s="80" t="s">
        <v>613</v>
      </c>
      <c r="G22" s="510"/>
      <c r="H22" s="173" t="s">
        <v>487</v>
      </c>
      <c r="I22" s="173" t="s">
        <v>488</v>
      </c>
      <c r="J22" s="173" t="s">
        <v>487</v>
      </c>
      <c r="K22" s="173" t="s">
        <v>488</v>
      </c>
      <c r="L22" s="173" t="s">
        <v>487</v>
      </c>
      <c r="M22" s="173" t="s">
        <v>488</v>
      </c>
      <c r="N22" s="173" t="s">
        <v>487</v>
      </c>
      <c r="O22" s="173" t="s">
        <v>488</v>
      </c>
      <c r="P22" s="173" t="s">
        <v>487</v>
      </c>
      <c r="Q22" s="173" t="s">
        <v>488</v>
      </c>
      <c r="R22" s="173" t="s">
        <v>487</v>
      </c>
      <c r="S22" s="173" t="s">
        <v>488</v>
      </c>
      <c r="T22" s="173" t="s">
        <v>487</v>
      </c>
      <c r="U22" s="173" t="s">
        <v>488</v>
      </c>
      <c r="V22" s="173" t="s">
        <v>487</v>
      </c>
      <c r="W22" s="173" t="s">
        <v>488</v>
      </c>
      <c r="X22" s="173" t="s">
        <v>487</v>
      </c>
      <c r="Y22" s="173" t="s">
        <v>488</v>
      </c>
      <c r="Z22" s="173" t="s">
        <v>487</v>
      </c>
      <c r="AA22" s="173" t="s">
        <v>488</v>
      </c>
      <c r="AB22" s="167" t="s">
        <v>2</v>
      </c>
      <c r="AC22" s="167" t="s">
        <v>11</v>
      </c>
    </row>
    <row r="23" spans="1:32" ht="19.5" customHeight="1" x14ac:dyDescent="0.25">
      <c r="A23" s="166">
        <v>1</v>
      </c>
      <c r="B23" s="166">
        <f>A23+1</f>
        <v>2</v>
      </c>
      <c r="C23" s="166">
        <f t="shared" ref="C23:AC23" si="0">B23+1</f>
        <v>3</v>
      </c>
      <c r="D23" s="166">
        <f t="shared" si="0"/>
        <v>4</v>
      </c>
      <c r="E23" s="166">
        <f t="shared" si="0"/>
        <v>5</v>
      </c>
      <c r="F23" s="166">
        <f t="shared" si="0"/>
        <v>6</v>
      </c>
      <c r="G23" s="166">
        <f t="shared" si="0"/>
        <v>7</v>
      </c>
      <c r="H23" s="166">
        <f t="shared" si="0"/>
        <v>8</v>
      </c>
      <c r="I23" s="166">
        <f t="shared" si="0"/>
        <v>9</v>
      </c>
      <c r="J23" s="166">
        <f t="shared" si="0"/>
        <v>10</v>
      </c>
      <c r="K23" s="166">
        <f t="shared" si="0"/>
        <v>11</v>
      </c>
      <c r="L23" s="166">
        <f t="shared" si="0"/>
        <v>12</v>
      </c>
      <c r="M23" s="166">
        <f t="shared" si="0"/>
        <v>13</v>
      </c>
      <c r="N23" s="166">
        <f t="shared" si="0"/>
        <v>14</v>
      </c>
      <c r="O23" s="166">
        <f t="shared" si="0"/>
        <v>15</v>
      </c>
      <c r="P23" s="166">
        <f t="shared" si="0"/>
        <v>16</v>
      </c>
      <c r="Q23" s="166">
        <f t="shared" si="0"/>
        <v>17</v>
      </c>
      <c r="R23" s="166">
        <f t="shared" si="0"/>
        <v>18</v>
      </c>
      <c r="S23" s="166">
        <f t="shared" si="0"/>
        <v>19</v>
      </c>
      <c r="T23" s="166">
        <f t="shared" si="0"/>
        <v>20</v>
      </c>
      <c r="U23" s="166">
        <f t="shared" si="0"/>
        <v>21</v>
      </c>
      <c r="V23" s="166">
        <f t="shared" si="0"/>
        <v>22</v>
      </c>
      <c r="W23" s="166">
        <f t="shared" si="0"/>
        <v>23</v>
      </c>
      <c r="X23" s="166">
        <f t="shared" si="0"/>
        <v>24</v>
      </c>
      <c r="Y23" s="166">
        <f t="shared" si="0"/>
        <v>25</v>
      </c>
      <c r="Z23" s="166">
        <f t="shared" si="0"/>
        <v>26</v>
      </c>
      <c r="AA23" s="166">
        <f t="shared" si="0"/>
        <v>27</v>
      </c>
      <c r="AB23" s="166">
        <f>AA23+1</f>
        <v>28</v>
      </c>
      <c r="AC23" s="166">
        <f t="shared" si="0"/>
        <v>29</v>
      </c>
    </row>
    <row r="24" spans="1:32" s="311" customFormat="1" ht="47.25" customHeight="1" x14ac:dyDescent="0.25">
      <c r="A24" s="78">
        <v>1</v>
      </c>
      <c r="B24" s="77" t="s">
        <v>190</v>
      </c>
      <c r="C24" s="310">
        <f>SUM(C25:C29)</f>
        <v>2782.5947665186213</v>
      </c>
      <c r="D24" s="310">
        <v>0</v>
      </c>
      <c r="E24" s="340">
        <f t="shared" ref="E24:G24" si="1">SUM(E25:E29)</f>
        <v>2782.5947665186213</v>
      </c>
      <c r="F24" s="340">
        <f t="shared" si="1"/>
        <v>2370.3207184592875</v>
      </c>
      <c r="G24" s="340">
        <f t="shared" si="1"/>
        <v>214.07100596299384</v>
      </c>
      <c r="H24" s="174">
        <f t="shared" ref="H24:L24" si="2">SUM(H25:H29)</f>
        <v>198.20304209634003</v>
      </c>
      <c r="I24" s="174">
        <f t="shared" si="2"/>
        <v>0</v>
      </c>
      <c r="J24" s="174">
        <f t="shared" si="2"/>
        <v>198.20304209634003</v>
      </c>
      <c r="K24" s="174">
        <f t="shared" si="2"/>
        <v>0</v>
      </c>
      <c r="L24" s="174">
        <f t="shared" si="2"/>
        <v>353.26656402642391</v>
      </c>
      <c r="M24" s="174">
        <v>0</v>
      </c>
      <c r="N24" s="174">
        <v>385.94104976879993</v>
      </c>
      <c r="O24" s="174">
        <v>0</v>
      </c>
      <c r="P24" s="174">
        <f t="shared" ref="P24:U24" si="3">SUM(P25:P29)</f>
        <v>1446.486918066043</v>
      </c>
      <c r="Q24" s="174">
        <v>385.26000000000005</v>
      </c>
      <c r="R24" s="174">
        <f t="shared" si="3"/>
        <v>89.152637308400003</v>
      </c>
      <c r="S24" s="174">
        <f t="shared" si="3"/>
        <v>89.152637308400003</v>
      </c>
      <c r="T24" s="174">
        <f t="shared" si="3"/>
        <v>290.92493636682093</v>
      </c>
      <c r="U24" s="174">
        <f t="shared" si="3"/>
        <v>0</v>
      </c>
      <c r="V24" s="174">
        <v>0</v>
      </c>
      <c r="W24" s="174">
        <f>SUM(W25:W29)</f>
        <v>0</v>
      </c>
      <c r="X24" s="174">
        <f>SUM(X25:X29)</f>
        <v>279.64229999999935</v>
      </c>
      <c r="Y24" s="174">
        <f>SUM(Y25:Y29)</f>
        <v>0</v>
      </c>
      <c r="Z24" s="174">
        <v>0</v>
      </c>
      <c r="AA24" s="174">
        <v>0</v>
      </c>
      <c r="AB24" s="174">
        <f t="shared" ref="AB24:AB64" si="4">H24+L24+P24+T24+X24</f>
        <v>2568.5237605556276</v>
      </c>
      <c r="AC24" s="174">
        <f>J24+N24+R24+V24+Z24</f>
        <v>673.29672917353992</v>
      </c>
    </row>
    <row r="25" spans="1:32" ht="24" customHeight="1" x14ac:dyDescent="0.25">
      <c r="A25" s="75" t="s">
        <v>189</v>
      </c>
      <c r="B25" s="51" t="s">
        <v>188</v>
      </c>
      <c r="C25" s="174">
        <v>0</v>
      </c>
      <c r="D25" s="174">
        <v>0</v>
      </c>
      <c r="E25" s="340">
        <f t="shared" ref="E25:E64" si="5">C25</f>
        <v>0</v>
      </c>
      <c r="F25" s="340">
        <f>E25-G25-H25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4">
        <f t="shared" si="4"/>
        <v>0</v>
      </c>
      <c r="AC25" s="174">
        <f t="shared" ref="AC25:AC64" si="6">J25+N25+R25+V25+Z25</f>
        <v>0</v>
      </c>
    </row>
    <row r="26" spans="1:32" x14ac:dyDescent="0.25">
      <c r="A26" s="75" t="s">
        <v>187</v>
      </c>
      <c r="B26" s="51" t="s">
        <v>186</v>
      </c>
      <c r="C26" s="174">
        <v>0</v>
      </c>
      <c r="D26" s="174">
        <v>0</v>
      </c>
      <c r="E26" s="340">
        <f t="shared" si="5"/>
        <v>0</v>
      </c>
      <c r="F26" s="340">
        <f>E26-G26-H26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4">
        <f t="shared" si="4"/>
        <v>0</v>
      </c>
      <c r="AC26" s="174">
        <f t="shared" si="6"/>
        <v>0</v>
      </c>
    </row>
    <row r="27" spans="1:32" ht="31.5" x14ac:dyDescent="0.25">
      <c r="A27" s="75" t="s">
        <v>185</v>
      </c>
      <c r="B27" s="51" t="s">
        <v>445</v>
      </c>
      <c r="C27" s="174">
        <f>AB27+G27</f>
        <v>1101.5854849331768</v>
      </c>
      <c r="D27" s="174">
        <v>0</v>
      </c>
      <c r="E27" s="340">
        <f t="shared" si="5"/>
        <v>1101.5854849331768</v>
      </c>
      <c r="F27" s="340">
        <f>E27-G27-H27</f>
        <v>735.57608688184291</v>
      </c>
      <c r="G27" s="175">
        <v>182.18138782499383</v>
      </c>
      <c r="H27" s="175">
        <v>183.82801022634001</v>
      </c>
      <c r="I27" s="175">
        <v>0</v>
      </c>
      <c r="J27" s="175">
        <v>183.82801022634001</v>
      </c>
      <c r="K27" s="175">
        <v>0</v>
      </c>
      <c r="L27" s="175">
        <v>59.621932448979479</v>
      </c>
      <c r="M27" s="175">
        <v>0</v>
      </c>
      <c r="N27" s="175">
        <v>128.36133335879993</v>
      </c>
      <c r="O27" s="175">
        <v>0</v>
      </c>
      <c r="P27" s="175">
        <v>105.38691806604314</v>
      </c>
      <c r="Q27" s="175">
        <v>41.29</v>
      </c>
      <c r="R27" s="175">
        <v>12.5141648084</v>
      </c>
      <c r="S27" s="175">
        <v>12.5141648084</v>
      </c>
      <c r="T27" s="175">
        <v>290.92493636682093</v>
      </c>
      <c r="U27" s="175">
        <v>0</v>
      </c>
      <c r="V27" s="175">
        <v>0</v>
      </c>
      <c r="W27" s="175">
        <v>0</v>
      </c>
      <c r="X27" s="175">
        <v>279.64229999999935</v>
      </c>
      <c r="Y27" s="175">
        <v>0</v>
      </c>
      <c r="Z27" s="175">
        <v>0</v>
      </c>
      <c r="AA27" s="175">
        <v>0</v>
      </c>
      <c r="AB27" s="174">
        <f t="shared" si="4"/>
        <v>919.4040971081829</v>
      </c>
      <c r="AC27" s="174">
        <f t="shared" si="6"/>
        <v>324.70350839353989</v>
      </c>
    </row>
    <row r="28" spans="1:32" x14ac:dyDescent="0.25">
      <c r="A28" s="75" t="s">
        <v>184</v>
      </c>
      <c r="B28" s="51" t="s">
        <v>550</v>
      </c>
      <c r="C28" s="174">
        <f>AB28+G28</f>
        <v>31.889618137999992</v>
      </c>
      <c r="D28" s="174">
        <v>0</v>
      </c>
      <c r="E28" s="340">
        <f t="shared" si="5"/>
        <v>31.889618137999992</v>
      </c>
      <c r="F28" s="340">
        <f>E28-G28-H28</f>
        <v>0</v>
      </c>
      <c r="G28" s="175">
        <v>31.889618137999992</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4">
        <f t="shared" si="4"/>
        <v>0</v>
      </c>
      <c r="AC28" s="174">
        <f t="shared" si="6"/>
        <v>0</v>
      </c>
    </row>
    <row r="29" spans="1:32" x14ac:dyDescent="0.25">
      <c r="A29" s="75" t="s">
        <v>183</v>
      </c>
      <c r="B29" s="79" t="s">
        <v>182</v>
      </c>
      <c r="C29" s="174">
        <v>1649.1196634474443</v>
      </c>
      <c r="D29" s="174">
        <v>0</v>
      </c>
      <c r="E29" s="340">
        <f t="shared" si="5"/>
        <v>1649.1196634474443</v>
      </c>
      <c r="F29" s="340">
        <f>E29-G29-H29</f>
        <v>1634.7446315774444</v>
      </c>
      <c r="G29" s="175">
        <v>0</v>
      </c>
      <c r="H29" s="175">
        <v>14.375031870000001</v>
      </c>
      <c r="I29" s="175">
        <v>0</v>
      </c>
      <c r="J29" s="175">
        <v>14.375031870000001</v>
      </c>
      <c r="K29" s="175">
        <v>0</v>
      </c>
      <c r="L29" s="175">
        <v>293.64463157744444</v>
      </c>
      <c r="M29" s="175">
        <v>0</v>
      </c>
      <c r="N29" s="175">
        <v>257.57971641</v>
      </c>
      <c r="O29" s="175">
        <v>0</v>
      </c>
      <c r="P29" s="175">
        <v>1341.1</v>
      </c>
      <c r="Q29" s="175">
        <f>Q24-Q27</f>
        <v>343.97</v>
      </c>
      <c r="R29" s="175">
        <v>76.638472500000006</v>
      </c>
      <c r="S29" s="175">
        <v>76.638472500000006</v>
      </c>
      <c r="T29" s="175">
        <v>0</v>
      </c>
      <c r="U29" s="175">
        <v>0</v>
      </c>
      <c r="V29" s="175">
        <v>0</v>
      </c>
      <c r="W29" s="175">
        <v>0</v>
      </c>
      <c r="X29" s="175">
        <v>0</v>
      </c>
      <c r="Y29" s="175">
        <v>0</v>
      </c>
      <c r="Z29" s="175">
        <v>0</v>
      </c>
      <c r="AA29" s="175">
        <v>0</v>
      </c>
      <c r="AB29" s="174">
        <f t="shared" si="4"/>
        <v>1649.1196634474443</v>
      </c>
      <c r="AC29" s="174">
        <f t="shared" si="6"/>
        <v>348.59322078000002</v>
      </c>
    </row>
    <row r="30" spans="1:32" s="311" customFormat="1" ht="47.25" x14ac:dyDescent="0.25">
      <c r="A30" s="78" t="s">
        <v>63</v>
      </c>
      <c r="B30" s="77" t="s">
        <v>181</v>
      </c>
      <c r="C30" s="310">
        <v>2341.4176138048479</v>
      </c>
      <c r="D30" s="310">
        <v>0</v>
      </c>
      <c r="E30" s="340">
        <f t="shared" si="5"/>
        <v>2341.4176138048479</v>
      </c>
      <c r="F30" s="340">
        <f t="shared" ref="F30:F38" si="7">AB30-H30</f>
        <v>1929.3611217780099</v>
      </c>
      <c r="G30" s="174">
        <v>272.77510098135599</v>
      </c>
      <c r="H30" s="174">
        <v>144.50150764554201</v>
      </c>
      <c r="I30" s="174">
        <v>0</v>
      </c>
      <c r="J30" s="174">
        <v>144.50150764554201</v>
      </c>
      <c r="K30" s="174">
        <v>0</v>
      </c>
      <c r="L30" s="174">
        <v>180.85839803502881</v>
      </c>
      <c r="M30" s="174">
        <v>0</v>
      </c>
      <c r="N30" s="174">
        <v>124.250739212203</v>
      </c>
      <c r="O30" s="174">
        <v>0</v>
      </c>
      <c r="P30" s="174">
        <v>1311.6844203372682</v>
      </c>
      <c r="Q30" s="174">
        <v>389.42</v>
      </c>
      <c r="R30" s="174">
        <f>SUM(R31:R34)</f>
        <v>47.746606299322032</v>
      </c>
      <c r="S30" s="174">
        <f>SUM(S31:S34)</f>
        <v>47.746606299322032</v>
      </c>
      <c r="T30" s="174">
        <v>191.81830340571278</v>
      </c>
      <c r="U30" s="174">
        <v>0</v>
      </c>
      <c r="V30" s="174">
        <v>0</v>
      </c>
      <c r="W30" s="174">
        <v>0</v>
      </c>
      <c r="X30" s="174">
        <v>245</v>
      </c>
      <c r="Y30" s="174">
        <v>0</v>
      </c>
      <c r="Z30" s="174">
        <v>0</v>
      </c>
      <c r="AA30" s="174">
        <v>0</v>
      </c>
      <c r="AB30" s="174">
        <f t="shared" si="4"/>
        <v>2073.8626294235519</v>
      </c>
      <c r="AC30" s="174">
        <f t="shared" si="6"/>
        <v>316.49885315706706</v>
      </c>
    </row>
    <row r="31" spans="1:32" x14ac:dyDescent="0.25">
      <c r="A31" s="78" t="s">
        <v>180</v>
      </c>
      <c r="B31" s="51" t="s">
        <v>179</v>
      </c>
      <c r="C31" s="174">
        <v>234.14176138048481</v>
      </c>
      <c r="D31" s="174">
        <v>0</v>
      </c>
      <c r="E31" s="340">
        <f t="shared" si="5"/>
        <v>234.14176138048481</v>
      </c>
      <c r="F31" s="340">
        <f t="shared" si="7"/>
        <v>192.93611217780099</v>
      </c>
      <c r="G31" s="175">
        <v>25.779768191355899</v>
      </c>
      <c r="H31" s="175">
        <f t="shared" ref="H31:L31" si="8">H30*0.1</f>
        <v>14.450150764554202</v>
      </c>
      <c r="I31" s="175">
        <f t="shared" si="8"/>
        <v>0</v>
      </c>
      <c r="J31" s="175">
        <f t="shared" si="8"/>
        <v>14.450150764554202</v>
      </c>
      <c r="K31" s="175">
        <f t="shared" si="8"/>
        <v>0</v>
      </c>
      <c r="L31" s="175">
        <f t="shared" si="8"/>
        <v>18.085839803502882</v>
      </c>
      <c r="M31" s="175">
        <v>0</v>
      </c>
      <c r="N31" s="175">
        <v>2.0802485169491525</v>
      </c>
      <c r="O31" s="175">
        <v>0</v>
      </c>
      <c r="P31" s="175">
        <f>P30*0.1</f>
        <v>131.16844203372682</v>
      </c>
      <c r="Q31" s="175">
        <f>Q30*0.1</f>
        <v>38.942000000000007</v>
      </c>
      <c r="R31" s="175">
        <v>5.6744227071186399</v>
      </c>
      <c r="S31" s="175">
        <v>5.6744227071186399</v>
      </c>
      <c r="T31" s="175">
        <f>T30*0.1</f>
        <v>19.181830340571278</v>
      </c>
      <c r="U31" s="175">
        <f>U30*0.1</f>
        <v>0</v>
      </c>
      <c r="V31" s="175">
        <v>0</v>
      </c>
      <c r="W31" s="175">
        <f>W30*0.1</f>
        <v>0</v>
      </c>
      <c r="X31" s="175">
        <f>X30*0.1</f>
        <v>24.5</v>
      </c>
      <c r="Y31" s="175">
        <f>Y30*0.1</f>
        <v>0</v>
      </c>
      <c r="Z31" s="175">
        <v>0</v>
      </c>
      <c r="AA31" s="175">
        <v>0</v>
      </c>
      <c r="AB31" s="174">
        <f t="shared" si="4"/>
        <v>207.38626294235519</v>
      </c>
      <c r="AC31" s="174">
        <f t="shared" si="6"/>
        <v>22.204821988621994</v>
      </c>
    </row>
    <row r="32" spans="1:32" ht="31.5" x14ac:dyDescent="0.25">
      <c r="A32" s="78" t="s">
        <v>178</v>
      </c>
      <c r="B32" s="51" t="s">
        <v>177</v>
      </c>
      <c r="C32" s="174">
        <v>1475.0930966970541</v>
      </c>
      <c r="D32" s="174">
        <v>0</v>
      </c>
      <c r="E32" s="340">
        <f t="shared" si="5"/>
        <v>1475.0930966970541</v>
      </c>
      <c r="F32" s="340">
        <f t="shared" si="7"/>
        <v>1215.497506720146</v>
      </c>
      <c r="G32" s="175">
        <v>212.14420385</v>
      </c>
      <c r="H32" s="175">
        <f t="shared" ref="H32:L32" si="9">H30*0.63</f>
        <v>91.03594981669147</v>
      </c>
      <c r="I32" s="175">
        <f t="shared" si="9"/>
        <v>0</v>
      </c>
      <c r="J32" s="175">
        <f t="shared" si="9"/>
        <v>91.03594981669147</v>
      </c>
      <c r="K32" s="175">
        <f t="shared" si="9"/>
        <v>0</v>
      </c>
      <c r="L32" s="175">
        <f t="shared" si="9"/>
        <v>113.94079076206815</v>
      </c>
      <c r="M32" s="175">
        <v>0</v>
      </c>
      <c r="N32" s="175">
        <v>105.06707216000001</v>
      </c>
      <c r="O32" s="175">
        <v>0</v>
      </c>
      <c r="P32" s="175">
        <f>P30*0.63</f>
        <v>826.361184812479</v>
      </c>
      <c r="Q32" s="175">
        <f>Q30*0.63</f>
        <v>245.33460000000002</v>
      </c>
      <c r="R32" s="175">
        <v>36.107446680000002</v>
      </c>
      <c r="S32" s="175">
        <v>36.107446680000002</v>
      </c>
      <c r="T32" s="175">
        <f>T30*0.63</f>
        <v>120.84553114559905</v>
      </c>
      <c r="U32" s="175">
        <f>U30*0.63</f>
        <v>0</v>
      </c>
      <c r="V32" s="175">
        <v>0</v>
      </c>
      <c r="W32" s="175">
        <f>W30*0.63</f>
        <v>0</v>
      </c>
      <c r="X32" s="175">
        <f>X30*0.63</f>
        <v>154.35</v>
      </c>
      <c r="Y32" s="175">
        <f>Y30*0.63</f>
        <v>0</v>
      </c>
      <c r="Z32" s="175">
        <v>0</v>
      </c>
      <c r="AA32" s="175">
        <v>0</v>
      </c>
      <c r="AB32" s="174">
        <f t="shared" si="4"/>
        <v>1306.5334565368375</v>
      </c>
      <c r="AC32" s="174">
        <f t="shared" si="6"/>
        <v>232.21046865669149</v>
      </c>
    </row>
    <row r="33" spans="1:29" x14ac:dyDescent="0.25">
      <c r="A33" s="78" t="s">
        <v>176</v>
      </c>
      <c r="B33" s="51" t="s">
        <v>175</v>
      </c>
      <c r="C33" s="174">
        <v>117.0708806902424</v>
      </c>
      <c r="D33" s="174">
        <v>0</v>
      </c>
      <c r="E33" s="340">
        <f t="shared" si="5"/>
        <v>117.0708806902424</v>
      </c>
      <c r="F33" s="340">
        <f t="shared" si="7"/>
        <v>96.468056088900497</v>
      </c>
      <c r="G33" s="175">
        <v>25.44293266</v>
      </c>
      <c r="H33" s="175">
        <f t="shared" ref="H33:L33" si="10">H30*0.05</f>
        <v>7.225075382277101</v>
      </c>
      <c r="I33" s="175">
        <f t="shared" si="10"/>
        <v>0</v>
      </c>
      <c r="J33" s="175">
        <f t="shared" si="10"/>
        <v>7.225075382277101</v>
      </c>
      <c r="K33" s="175">
        <f t="shared" si="10"/>
        <v>0</v>
      </c>
      <c r="L33" s="175">
        <f t="shared" si="10"/>
        <v>9.042919901751441</v>
      </c>
      <c r="M33" s="175">
        <v>0</v>
      </c>
      <c r="N33" s="175">
        <v>13.022344239999999</v>
      </c>
      <c r="O33" s="175">
        <v>0</v>
      </c>
      <c r="P33" s="175">
        <f>P30*0.05</f>
        <v>65.58422101686341</v>
      </c>
      <c r="Q33" s="175">
        <f>Q30*0.05</f>
        <v>19.471000000000004</v>
      </c>
      <c r="R33" s="175">
        <v>2.59937694</v>
      </c>
      <c r="S33" s="175">
        <v>2.59937694</v>
      </c>
      <c r="T33" s="175">
        <f>T30*0.05</f>
        <v>9.5909151702856388</v>
      </c>
      <c r="U33" s="175">
        <f>U30*0.05</f>
        <v>0</v>
      </c>
      <c r="V33" s="175">
        <v>0</v>
      </c>
      <c r="W33" s="175">
        <f>W30*0.05</f>
        <v>0</v>
      </c>
      <c r="X33" s="175">
        <f>X30*0.05</f>
        <v>12.25</v>
      </c>
      <c r="Y33" s="175">
        <f>Y30*0.05</f>
        <v>0</v>
      </c>
      <c r="Z33" s="175">
        <v>0</v>
      </c>
      <c r="AA33" s="175">
        <v>0</v>
      </c>
      <c r="AB33" s="174">
        <f t="shared" si="4"/>
        <v>103.69313147117759</v>
      </c>
      <c r="AC33" s="174">
        <f t="shared" si="6"/>
        <v>22.846796562277099</v>
      </c>
    </row>
    <row r="34" spans="1:29" x14ac:dyDescent="0.25">
      <c r="A34" s="78" t="s">
        <v>174</v>
      </c>
      <c r="B34" s="51" t="s">
        <v>173</v>
      </c>
      <c r="C34" s="174">
        <v>515.11187503706651</v>
      </c>
      <c r="D34" s="174">
        <v>0</v>
      </c>
      <c r="E34" s="340">
        <f t="shared" si="5"/>
        <v>515.11187503706651</v>
      </c>
      <c r="F34" s="340">
        <f t="shared" si="7"/>
        <v>424.45944679116218</v>
      </c>
      <c r="G34" s="175">
        <v>9.4081962800000003</v>
      </c>
      <c r="H34" s="175">
        <f t="shared" ref="H34:L34" si="11">H30*0.22</f>
        <v>31.790331682019243</v>
      </c>
      <c r="I34" s="175">
        <f t="shared" si="11"/>
        <v>0</v>
      </c>
      <c r="J34" s="175">
        <f t="shared" si="11"/>
        <v>31.790331682019243</v>
      </c>
      <c r="K34" s="175">
        <f t="shared" si="11"/>
        <v>0</v>
      </c>
      <c r="L34" s="175">
        <f t="shared" si="11"/>
        <v>39.788847567706341</v>
      </c>
      <c r="M34" s="175">
        <v>0</v>
      </c>
      <c r="N34" s="175">
        <v>4.0810742952542371</v>
      </c>
      <c r="O34" s="175">
        <v>0</v>
      </c>
      <c r="P34" s="175">
        <f>P30*0.22</f>
        <v>288.57057247419903</v>
      </c>
      <c r="Q34" s="175">
        <f>Q30*0.22</f>
        <v>85.67240000000001</v>
      </c>
      <c r="R34" s="175">
        <v>3.36535997220339</v>
      </c>
      <c r="S34" s="175">
        <v>3.36535997220339</v>
      </c>
      <c r="T34" s="175">
        <f>T30*0.22</f>
        <v>42.200026749256814</v>
      </c>
      <c r="U34" s="175">
        <f>U30*0.22</f>
        <v>0</v>
      </c>
      <c r="V34" s="175">
        <v>0</v>
      </c>
      <c r="W34" s="175">
        <f>W30*0.22</f>
        <v>0</v>
      </c>
      <c r="X34" s="175">
        <f>X30*0.22</f>
        <v>53.9</v>
      </c>
      <c r="Y34" s="175">
        <f>Y30*0.22</f>
        <v>0</v>
      </c>
      <c r="Z34" s="175">
        <v>0</v>
      </c>
      <c r="AA34" s="175">
        <v>0</v>
      </c>
      <c r="AB34" s="174">
        <f t="shared" si="4"/>
        <v>456.24977847318144</v>
      </c>
      <c r="AC34" s="174">
        <f t="shared" si="6"/>
        <v>39.236765949476876</v>
      </c>
    </row>
    <row r="35" spans="1:29" s="311" customFormat="1" ht="31.5" x14ac:dyDescent="0.25">
      <c r="A35" s="78" t="s">
        <v>62</v>
      </c>
      <c r="B35" s="77" t="s">
        <v>172</v>
      </c>
      <c r="C35" s="174">
        <v>0</v>
      </c>
      <c r="D35" s="174">
        <v>0</v>
      </c>
      <c r="E35" s="340">
        <f t="shared" si="5"/>
        <v>0</v>
      </c>
      <c r="F35" s="340">
        <f t="shared" si="7"/>
        <v>0</v>
      </c>
      <c r="G35" s="174">
        <v>0</v>
      </c>
      <c r="H35" s="174">
        <v>0</v>
      </c>
      <c r="I35" s="174">
        <v>0</v>
      </c>
      <c r="J35" s="174">
        <v>0</v>
      </c>
      <c r="K35" s="174">
        <v>0</v>
      </c>
      <c r="L35" s="174">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4">
        <f t="shared" si="4"/>
        <v>0</v>
      </c>
      <c r="AC35" s="174">
        <f t="shared" si="6"/>
        <v>0</v>
      </c>
    </row>
    <row r="36" spans="1:29" ht="31.5" x14ac:dyDescent="0.25">
      <c r="A36" s="75" t="s">
        <v>171</v>
      </c>
      <c r="B36" s="74" t="s">
        <v>170</v>
      </c>
      <c r="C36" s="174">
        <v>0</v>
      </c>
      <c r="D36" s="174">
        <v>0</v>
      </c>
      <c r="E36" s="340">
        <f t="shared" si="5"/>
        <v>0</v>
      </c>
      <c r="F36" s="340">
        <f t="shared" si="7"/>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4">
        <f t="shared" si="4"/>
        <v>0</v>
      </c>
      <c r="AC36" s="174">
        <f t="shared" si="6"/>
        <v>0</v>
      </c>
    </row>
    <row r="37" spans="1:29" x14ac:dyDescent="0.25">
      <c r="A37" s="75" t="s">
        <v>169</v>
      </c>
      <c r="B37" s="74" t="s">
        <v>159</v>
      </c>
      <c r="C37" s="174">
        <v>111.4346508939647</v>
      </c>
      <c r="D37" s="174">
        <v>0</v>
      </c>
      <c r="E37" s="340">
        <f t="shared" si="5"/>
        <v>111.4346508939647</v>
      </c>
      <c r="F37" s="340">
        <f t="shared" si="7"/>
        <v>90.861241712541471</v>
      </c>
      <c r="G37" s="175">
        <v>6.9479999999999986</v>
      </c>
      <c r="H37" s="175">
        <v>3.4610000000000007</v>
      </c>
      <c r="I37" s="175">
        <v>0</v>
      </c>
      <c r="J37" s="175">
        <v>3.4610000000000007</v>
      </c>
      <c r="K37" s="175">
        <v>0</v>
      </c>
      <c r="L37" s="175">
        <v>43.851273668850396</v>
      </c>
      <c r="M37" s="175">
        <v>0</v>
      </c>
      <c r="N37" s="175">
        <f t="shared" ref="N37" si="12">N54</f>
        <v>5.84</v>
      </c>
      <c r="O37" s="175">
        <v>0</v>
      </c>
      <c r="P37" s="175">
        <v>20.373547647507614</v>
      </c>
      <c r="Q37" s="175">
        <f>Q45</f>
        <v>5</v>
      </c>
      <c r="R37" s="175">
        <v>0.58300000000000007</v>
      </c>
      <c r="S37" s="175">
        <v>0.58300000000000007</v>
      </c>
      <c r="T37" s="175">
        <v>12.987603453327395</v>
      </c>
      <c r="U37" s="175">
        <v>0</v>
      </c>
      <c r="V37" s="175">
        <v>0</v>
      </c>
      <c r="W37" s="175">
        <v>0</v>
      </c>
      <c r="X37" s="175">
        <v>13.64881694285606</v>
      </c>
      <c r="Y37" s="175">
        <v>0</v>
      </c>
      <c r="Z37" s="175">
        <v>0</v>
      </c>
      <c r="AA37" s="175">
        <v>0</v>
      </c>
      <c r="AB37" s="174">
        <f t="shared" si="4"/>
        <v>94.322241712541469</v>
      </c>
      <c r="AC37" s="174">
        <f t="shared" si="6"/>
        <v>9.8840000000000003</v>
      </c>
    </row>
    <row r="38" spans="1:29" x14ac:dyDescent="0.25">
      <c r="A38" s="75" t="s">
        <v>168</v>
      </c>
      <c r="B38" s="74" t="s">
        <v>157</v>
      </c>
      <c r="C38" s="174">
        <v>0</v>
      </c>
      <c r="D38" s="174">
        <v>0</v>
      </c>
      <c r="E38" s="340">
        <f t="shared" si="5"/>
        <v>0</v>
      </c>
      <c r="F38" s="340">
        <f t="shared" si="7"/>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4">
        <f t="shared" si="4"/>
        <v>0</v>
      </c>
      <c r="AC38" s="174">
        <f t="shared" si="6"/>
        <v>0</v>
      </c>
    </row>
    <row r="39" spans="1:29" ht="31.5" x14ac:dyDescent="0.25">
      <c r="A39" s="75" t="s">
        <v>167</v>
      </c>
      <c r="B39" s="51" t="s">
        <v>155</v>
      </c>
      <c r="C39" s="174">
        <f>C56*0.6*0.8</f>
        <v>442.98777231566805</v>
      </c>
      <c r="D39" s="174">
        <v>0</v>
      </c>
      <c r="E39" s="340">
        <f t="shared" si="5"/>
        <v>442.98777231566805</v>
      </c>
      <c r="F39" s="340">
        <f t="shared" ref="F39:G39" si="13">F56*0.6*0.8</f>
        <v>378.52868565725169</v>
      </c>
      <c r="G39" s="175">
        <f t="shared" si="13"/>
        <v>64.300320000000013</v>
      </c>
      <c r="H39" s="175">
        <f t="shared" ref="H39:L39" si="14">H56*0.6*0.8</f>
        <v>43.102800000000009</v>
      </c>
      <c r="I39" s="175">
        <f t="shared" si="14"/>
        <v>0</v>
      </c>
      <c r="J39" s="175">
        <f t="shared" si="14"/>
        <v>43.102800000000009</v>
      </c>
      <c r="K39" s="175">
        <f t="shared" si="14"/>
        <v>0</v>
      </c>
      <c r="L39" s="175">
        <f t="shared" si="14"/>
        <v>8.8304146479001986</v>
      </c>
      <c r="M39" s="175">
        <v>0</v>
      </c>
      <c r="N39" s="175">
        <f>N47</f>
        <v>89.982000000000014</v>
      </c>
      <c r="O39" s="175">
        <v>0</v>
      </c>
      <c r="P39" s="175">
        <f>P56*0.6*0.8</f>
        <v>336.45601835491459</v>
      </c>
      <c r="Q39" s="175">
        <f>Q56*0.6*0.8</f>
        <v>60.393599999999992</v>
      </c>
      <c r="R39" s="175">
        <v>9.1492000000000004</v>
      </c>
      <c r="S39" s="175">
        <v>9.1492000000000004</v>
      </c>
      <c r="T39" s="175">
        <f>T56*0.6*0.8</f>
        <v>16.208529109752586</v>
      </c>
      <c r="U39" s="175">
        <f>U56*0.6*0.8</f>
        <v>0</v>
      </c>
      <c r="V39" s="175">
        <v>0</v>
      </c>
      <c r="W39" s="175">
        <f>W56*0.6*0.8</f>
        <v>0</v>
      </c>
      <c r="X39" s="175">
        <f>X56*0.6*0.8</f>
        <v>17.033723544684364</v>
      </c>
      <c r="Y39" s="175">
        <f>Y56*0.6*0.8</f>
        <v>0</v>
      </c>
      <c r="Z39" s="175">
        <v>0</v>
      </c>
      <c r="AA39" s="175">
        <v>0</v>
      </c>
      <c r="AB39" s="174">
        <f t="shared" si="4"/>
        <v>421.6314856572518</v>
      </c>
      <c r="AC39" s="174">
        <f t="shared" si="6"/>
        <v>142.23400000000004</v>
      </c>
    </row>
    <row r="40" spans="1:29" ht="31.5" x14ac:dyDescent="0.25">
      <c r="A40" s="75" t="s">
        <v>166</v>
      </c>
      <c r="B40" s="51" t="s">
        <v>153</v>
      </c>
      <c r="C40" s="174">
        <f>C56*0.6*0.2</f>
        <v>110.74694307891701</v>
      </c>
      <c r="D40" s="174">
        <v>0</v>
      </c>
      <c r="E40" s="340">
        <f t="shared" si="5"/>
        <v>110.74694307891701</v>
      </c>
      <c r="F40" s="340">
        <f t="shared" ref="F40:G40" si="15">F56*0.6*0.2</f>
        <v>94.632171414312921</v>
      </c>
      <c r="G40" s="175">
        <f t="shared" si="15"/>
        <v>16.075080000000003</v>
      </c>
      <c r="H40" s="175">
        <f t="shared" ref="H40:L40" si="16">H56*0.6*0.2</f>
        <v>10.775700000000002</v>
      </c>
      <c r="I40" s="175">
        <f t="shared" si="16"/>
        <v>0</v>
      </c>
      <c r="J40" s="175">
        <f t="shared" si="16"/>
        <v>10.775700000000002</v>
      </c>
      <c r="K40" s="175">
        <f t="shared" si="16"/>
        <v>0</v>
      </c>
      <c r="L40" s="175">
        <f t="shared" si="16"/>
        <v>2.2076036619750496</v>
      </c>
      <c r="M40" s="175">
        <v>0</v>
      </c>
      <c r="N40" s="175">
        <f t="shared" ref="N40:N41" si="17">N48</f>
        <v>0</v>
      </c>
      <c r="O40" s="175">
        <v>0</v>
      </c>
      <c r="P40" s="175">
        <f>P56*0.6*0.2</f>
        <v>84.114004588728648</v>
      </c>
      <c r="Q40" s="175">
        <f>Q56*0.6*0.2</f>
        <v>15.098399999999998</v>
      </c>
      <c r="R40" s="175">
        <v>2.2873000000000001</v>
      </c>
      <c r="S40" s="175">
        <v>2.2873000000000001</v>
      </c>
      <c r="T40" s="175">
        <f>T56*0.6*0.2</f>
        <v>4.0521322774381465</v>
      </c>
      <c r="U40" s="175">
        <f>U56*0.6*0.2</f>
        <v>0</v>
      </c>
      <c r="V40" s="175">
        <v>0</v>
      </c>
      <c r="W40" s="175">
        <f>W56*0.6*0.2</f>
        <v>0</v>
      </c>
      <c r="X40" s="175">
        <f>X56*0.6*0.2</f>
        <v>4.2584308861710909</v>
      </c>
      <c r="Y40" s="175">
        <f>Y56*0.6*0.2</f>
        <v>0</v>
      </c>
      <c r="Z40" s="175">
        <v>0</v>
      </c>
      <c r="AA40" s="175">
        <v>0</v>
      </c>
      <c r="AB40" s="174">
        <f t="shared" si="4"/>
        <v>105.40787141431295</v>
      </c>
      <c r="AC40" s="174">
        <f t="shared" si="6"/>
        <v>13.063000000000002</v>
      </c>
    </row>
    <row r="41" spans="1:29" x14ac:dyDescent="0.25">
      <c r="A41" s="75" t="s">
        <v>165</v>
      </c>
      <c r="B41" s="51" t="s">
        <v>151</v>
      </c>
      <c r="C41" s="174">
        <f>C56*0.4</f>
        <v>369.15647692972334</v>
      </c>
      <c r="D41" s="174">
        <v>0</v>
      </c>
      <c r="E41" s="340">
        <f t="shared" si="5"/>
        <v>369.15647692972334</v>
      </c>
      <c r="F41" s="340">
        <f t="shared" ref="F41:G41" si="18">F56*0.4</f>
        <v>315.44057138104313</v>
      </c>
      <c r="G41" s="175">
        <f t="shared" si="18"/>
        <v>53.583600000000018</v>
      </c>
      <c r="H41" s="175">
        <f t="shared" ref="H41:L41" si="19">H56*0.4</f>
        <v>35.919000000000004</v>
      </c>
      <c r="I41" s="175">
        <f t="shared" si="19"/>
        <v>0</v>
      </c>
      <c r="J41" s="175">
        <f t="shared" si="19"/>
        <v>35.919000000000004</v>
      </c>
      <c r="K41" s="175">
        <f t="shared" si="19"/>
        <v>0</v>
      </c>
      <c r="L41" s="175">
        <f t="shared" si="19"/>
        <v>7.3586788732501667</v>
      </c>
      <c r="M41" s="175">
        <v>0</v>
      </c>
      <c r="N41" s="175">
        <f t="shared" si="17"/>
        <v>9.375</v>
      </c>
      <c r="O41" s="175">
        <v>0</v>
      </c>
      <c r="P41" s="175">
        <f>P56*0.4</f>
        <v>280.38001529576212</v>
      </c>
      <c r="Q41" s="175">
        <f>Q56*0.4</f>
        <v>50.328000000000003</v>
      </c>
      <c r="R41" s="175">
        <v>3.1280000000000001</v>
      </c>
      <c r="S41" s="175">
        <v>3.1280000000000001</v>
      </c>
      <c r="T41" s="175">
        <f>T56*0.4</f>
        <v>13.507107591460491</v>
      </c>
      <c r="U41" s="175">
        <f>U56*0.4</f>
        <v>0</v>
      </c>
      <c r="V41" s="175">
        <v>0</v>
      </c>
      <c r="W41" s="175">
        <f>W56*0.4</f>
        <v>0</v>
      </c>
      <c r="X41" s="175">
        <f>X56*0.4</f>
        <v>14.194769620570305</v>
      </c>
      <c r="Y41" s="175">
        <f>Y56*0.4</f>
        <v>0</v>
      </c>
      <c r="Z41" s="175">
        <v>0</v>
      </c>
      <c r="AA41" s="175">
        <v>0</v>
      </c>
      <c r="AB41" s="174">
        <f t="shared" si="4"/>
        <v>351.35957138104311</v>
      </c>
      <c r="AC41" s="174">
        <f t="shared" si="6"/>
        <v>48.422000000000004</v>
      </c>
    </row>
    <row r="42" spans="1:29" ht="18.75" x14ac:dyDescent="0.25">
      <c r="A42" s="75" t="s">
        <v>164</v>
      </c>
      <c r="B42" s="74" t="s">
        <v>149</v>
      </c>
      <c r="C42" s="174">
        <v>0</v>
      </c>
      <c r="D42" s="174">
        <v>0</v>
      </c>
      <c r="E42" s="340">
        <f t="shared" si="5"/>
        <v>0</v>
      </c>
      <c r="F42" s="340">
        <f>AB42-H42</f>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4">
        <f t="shared" si="4"/>
        <v>0</v>
      </c>
      <c r="AC42" s="174">
        <f t="shared" si="6"/>
        <v>0</v>
      </c>
    </row>
    <row r="43" spans="1:29" s="311" customFormat="1" x14ac:dyDescent="0.25">
      <c r="A43" s="78" t="s">
        <v>61</v>
      </c>
      <c r="B43" s="77" t="s">
        <v>163</v>
      </c>
      <c r="C43" s="174">
        <v>0</v>
      </c>
      <c r="D43" s="174">
        <v>0</v>
      </c>
      <c r="E43" s="340">
        <f t="shared" si="5"/>
        <v>0</v>
      </c>
      <c r="F43" s="340">
        <f>AB43-H43</f>
        <v>0</v>
      </c>
      <c r="G43" s="174">
        <v>0</v>
      </c>
      <c r="H43" s="174">
        <v>0</v>
      </c>
      <c r="I43" s="174">
        <v>0</v>
      </c>
      <c r="J43" s="174">
        <v>0</v>
      </c>
      <c r="K43" s="174">
        <v>0</v>
      </c>
      <c r="L43" s="174">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4">
        <f t="shared" si="4"/>
        <v>0</v>
      </c>
      <c r="AC43" s="174">
        <f t="shared" si="6"/>
        <v>0</v>
      </c>
    </row>
    <row r="44" spans="1:29" x14ac:dyDescent="0.25">
      <c r="A44" s="75" t="s">
        <v>162</v>
      </c>
      <c r="B44" s="51" t="s">
        <v>161</v>
      </c>
      <c r="C44" s="174">
        <v>0</v>
      </c>
      <c r="D44" s="174">
        <v>0</v>
      </c>
      <c r="E44" s="340">
        <f t="shared" si="5"/>
        <v>0</v>
      </c>
      <c r="F44" s="340">
        <f>AB44-H44</f>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4">
        <f t="shared" si="4"/>
        <v>0</v>
      </c>
      <c r="AC44" s="174">
        <f t="shared" si="6"/>
        <v>0</v>
      </c>
    </row>
    <row r="45" spans="1:29" x14ac:dyDescent="0.25">
      <c r="A45" s="75" t="s">
        <v>160</v>
      </c>
      <c r="B45" s="51" t="s">
        <v>159</v>
      </c>
      <c r="C45" s="174">
        <f>C37</f>
        <v>111.4346508939647</v>
      </c>
      <c r="D45" s="174">
        <v>0</v>
      </c>
      <c r="E45" s="340">
        <f t="shared" si="5"/>
        <v>111.4346508939647</v>
      </c>
      <c r="F45" s="174">
        <f t="shared" ref="F45" si="20">F37</f>
        <v>90.861241712541471</v>
      </c>
      <c r="G45" s="175">
        <v>6.9479999999999986</v>
      </c>
      <c r="H45" s="175">
        <v>3.4610000000000007</v>
      </c>
      <c r="I45" s="175">
        <v>0</v>
      </c>
      <c r="J45" s="175">
        <v>3.4610000000000007</v>
      </c>
      <c r="K45" s="175">
        <v>0</v>
      </c>
      <c r="L45" s="175">
        <v>43.85</v>
      </c>
      <c r="M45" s="175">
        <v>0</v>
      </c>
      <c r="N45" s="175">
        <f t="shared" ref="N45" si="21">N54</f>
        <v>5.84</v>
      </c>
      <c r="O45" s="175">
        <v>0</v>
      </c>
      <c r="P45" s="175">
        <v>20.373547647507614</v>
      </c>
      <c r="Q45" s="175">
        <f>Q54</f>
        <v>5</v>
      </c>
      <c r="R45" s="175">
        <v>0.58300000000000007</v>
      </c>
      <c r="S45" s="175">
        <v>0.58300000000000007</v>
      </c>
      <c r="T45" s="175">
        <v>12.987603453327395</v>
      </c>
      <c r="U45" s="175">
        <v>0</v>
      </c>
      <c r="V45" s="175">
        <v>0</v>
      </c>
      <c r="W45" s="175">
        <v>0</v>
      </c>
      <c r="X45" s="175">
        <v>13.64881694285606</v>
      </c>
      <c r="Y45" s="175">
        <v>0</v>
      </c>
      <c r="Z45" s="175">
        <v>0</v>
      </c>
      <c r="AA45" s="175">
        <v>0</v>
      </c>
      <c r="AB45" s="174">
        <f t="shared" si="4"/>
        <v>94.320968043691067</v>
      </c>
      <c r="AC45" s="174">
        <f t="shared" si="6"/>
        <v>9.8840000000000003</v>
      </c>
    </row>
    <row r="46" spans="1:29" x14ac:dyDescent="0.25">
      <c r="A46" s="75" t="s">
        <v>158</v>
      </c>
      <c r="B46" s="51" t="s">
        <v>157</v>
      </c>
      <c r="C46" s="174">
        <v>0</v>
      </c>
      <c r="D46" s="174">
        <v>0</v>
      </c>
      <c r="E46" s="340">
        <f t="shared" si="5"/>
        <v>0</v>
      </c>
      <c r="F46" s="340">
        <f>AB46-H46</f>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4">
        <f t="shared" si="4"/>
        <v>0</v>
      </c>
      <c r="AC46" s="174">
        <f t="shared" si="6"/>
        <v>0</v>
      </c>
    </row>
    <row r="47" spans="1:29" ht="31.5" x14ac:dyDescent="0.25">
      <c r="A47" s="75" t="s">
        <v>156</v>
      </c>
      <c r="B47" s="51" t="s">
        <v>155</v>
      </c>
      <c r="C47" s="174">
        <f>C39</f>
        <v>442.98777231566805</v>
      </c>
      <c r="D47" s="174">
        <v>0</v>
      </c>
      <c r="E47" s="340">
        <f t="shared" si="5"/>
        <v>442.98777231566805</v>
      </c>
      <c r="F47" s="174">
        <f t="shared" ref="F47:G47" si="22">F39</f>
        <v>378.52868565725169</v>
      </c>
      <c r="G47" s="175">
        <f t="shared" si="22"/>
        <v>64.300320000000013</v>
      </c>
      <c r="H47" s="175">
        <f t="shared" ref="H47:L49" si="23">H39</f>
        <v>43.102800000000009</v>
      </c>
      <c r="I47" s="175">
        <f t="shared" si="23"/>
        <v>0</v>
      </c>
      <c r="J47" s="175">
        <f t="shared" si="23"/>
        <v>43.102800000000009</v>
      </c>
      <c r="K47" s="175">
        <f t="shared" si="23"/>
        <v>0</v>
      </c>
      <c r="L47" s="175">
        <f t="shared" si="23"/>
        <v>8.8304146479001986</v>
      </c>
      <c r="M47" s="175">
        <v>0</v>
      </c>
      <c r="N47" s="175">
        <v>89.982000000000014</v>
      </c>
      <c r="O47" s="175">
        <v>0</v>
      </c>
      <c r="P47" s="175">
        <f t="shared" ref="P47:Q49" si="24">P39</f>
        <v>336.45601835491459</v>
      </c>
      <c r="Q47" s="175">
        <f t="shared" si="24"/>
        <v>60.393599999999992</v>
      </c>
      <c r="R47" s="175">
        <f>(R56-R49)*0.8</f>
        <v>9.1492000000000004</v>
      </c>
      <c r="S47" s="175">
        <v>9.1492000000000004</v>
      </c>
      <c r="T47" s="175">
        <f t="shared" ref="T47:U49" si="25">T39</f>
        <v>16.208529109752586</v>
      </c>
      <c r="U47" s="175">
        <f t="shared" si="25"/>
        <v>0</v>
      </c>
      <c r="V47" s="175">
        <v>0</v>
      </c>
      <c r="W47" s="175">
        <f t="shared" ref="W47:Y49" si="26">W39</f>
        <v>0</v>
      </c>
      <c r="X47" s="175">
        <f t="shared" si="26"/>
        <v>17.033723544684364</v>
      </c>
      <c r="Y47" s="175">
        <f t="shared" si="26"/>
        <v>0</v>
      </c>
      <c r="Z47" s="175">
        <v>0</v>
      </c>
      <c r="AA47" s="175">
        <v>0</v>
      </c>
      <c r="AB47" s="174">
        <f t="shared" si="4"/>
        <v>421.6314856572518</v>
      </c>
      <c r="AC47" s="174">
        <f t="shared" si="6"/>
        <v>142.23400000000004</v>
      </c>
    </row>
    <row r="48" spans="1:29" ht="31.5" x14ac:dyDescent="0.25">
      <c r="A48" s="75" t="s">
        <v>154</v>
      </c>
      <c r="B48" s="51" t="s">
        <v>153</v>
      </c>
      <c r="C48" s="174">
        <f>C40</f>
        <v>110.74694307891701</v>
      </c>
      <c r="D48" s="174">
        <v>0</v>
      </c>
      <c r="E48" s="340">
        <f t="shared" si="5"/>
        <v>110.74694307891701</v>
      </c>
      <c r="F48" s="174">
        <f t="shared" ref="F48:G48" si="27">F40</f>
        <v>94.632171414312921</v>
      </c>
      <c r="G48" s="175">
        <f t="shared" si="27"/>
        <v>16.075080000000003</v>
      </c>
      <c r="H48" s="175">
        <f t="shared" si="23"/>
        <v>10.775700000000002</v>
      </c>
      <c r="I48" s="175">
        <f t="shared" si="23"/>
        <v>0</v>
      </c>
      <c r="J48" s="175">
        <f t="shared" si="23"/>
        <v>10.775700000000002</v>
      </c>
      <c r="K48" s="175">
        <f t="shared" si="23"/>
        <v>0</v>
      </c>
      <c r="L48" s="175">
        <f t="shared" si="23"/>
        <v>2.2076036619750496</v>
      </c>
      <c r="M48" s="175">
        <v>0</v>
      </c>
      <c r="N48" s="175">
        <v>0</v>
      </c>
      <c r="O48" s="175">
        <v>0</v>
      </c>
      <c r="P48" s="175">
        <f t="shared" si="24"/>
        <v>84.114004588728648</v>
      </c>
      <c r="Q48" s="175">
        <f t="shared" si="24"/>
        <v>15.098399999999998</v>
      </c>
      <c r="R48" s="175">
        <f>(R56-R49)*0.2</f>
        <v>2.2873000000000001</v>
      </c>
      <c r="S48" s="175">
        <v>2.2873000000000001</v>
      </c>
      <c r="T48" s="175">
        <f t="shared" si="25"/>
        <v>4.0521322774381465</v>
      </c>
      <c r="U48" s="175">
        <f t="shared" si="25"/>
        <v>0</v>
      </c>
      <c r="V48" s="175">
        <v>0</v>
      </c>
      <c r="W48" s="175">
        <f t="shared" si="26"/>
        <v>0</v>
      </c>
      <c r="X48" s="175">
        <f t="shared" si="26"/>
        <v>4.2584308861710909</v>
      </c>
      <c r="Y48" s="175">
        <f t="shared" si="26"/>
        <v>0</v>
      </c>
      <c r="Z48" s="175">
        <v>0</v>
      </c>
      <c r="AA48" s="175">
        <v>0</v>
      </c>
      <c r="AB48" s="174">
        <f t="shared" si="4"/>
        <v>105.40787141431295</v>
      </c>
      <c r="AC48" s="174">
        <f t="shared" si="6"/>
        <v>13.063000000000002</v>
      </c>
    </row>
    <row r="49" spans="1:30" x14ac:dyDescent="0.25">
      <c r="A49" s="75" t="s">
        <v>152</v>
      </c>
      <c r="B49" s="51" t="s">
        <v>151</v>
      </c>
      <c r="C49" s="174">
        <f>C41</f>
        <v>369.15647692972334</v>
      </c>
      <c r="D49" s="174">
        <v>0</v>
      </c>
      <c r="E49" s="340">
        <f t="shared" si="5"/>
        <v>369.15647692972334</v>
      </c>
      <c r="F49" s="174">
        <f t="shared" ref="F49:G49" si="28">F41</f>
        <v>315.44057138104313</v>
      </c>
      <c r="G49" s="175">
        <f t="shared" si="28"/>
        <v>53.583600000000018</v>
      </c>
      <c r="H49" s="175">
        <f t="shared" si="23"/>
        <v>35.919000000000004</v>
      </c>
      <c r="I49" s="175">
        <f t="shared" si="23"/>
        <v>0</v>
      </c>
      <c r="J49" s="175">
        <f t="shared" si="23"/>
        <v>35.919000000000004</v>
      </c>
      <c r="K49" s="175">
        <f t="shared" si="23"/>
        <v>0</v>
      </c>
      <c r="L49" s="175">
        <f t="shared" si="23"/>
        <v>7.3586788732501667</v>
      </c>
      <c r="M49" s="175">
        <v>0</v>
      </c>
      <c r="N49" s="175">
        <v>9.375</v>
      </c>
      <c r="O49" s="175">
        <v>0</v>
      </c>
      <c r="P49" s="175">
        <f t="shared" si="24"/>
        <v>280.38001529576212</v>
      </c>
      <c r="Q49" s="175">
        <f t="shared" si="24"/>
        <v>50.328000000000003</v>
      </c>
      <c r="R49" s="423">
        <v>3.1280000000000001</v>
      </c>
      <c r="S49" s="175">
        <v>3.1280000000000001</v>
      </c>
      <c r="T49" s="175">
        <f t="shared" si="25"/>
        <v>13.507107591460491</v>
      </c>
      <c r="U49" s="175">
        <f t="shared" si="25"/>
        <v>0</v>
      </c>
      <c r="V49" s="175">
        <v>0</v>
      </c>
      <c r="W49" s="175">
        <f t="shared" si="26"/>
        <v>0</v>
      </c>
      <c r="X49" s="175">
        <f t="shared" si="26"/>
        <v>14.194769620570305</v>
      </c>
      <c r="Y49" s="175">
        <f t="shared" si="26"/>
        <v>0</v>
      </c>
      <c r="Z49" s="175">
        <v>0</v>
      </c>
      <c r="AA49" s="175">
        <v>0</v>
      </c>
      <c r="AB49" s="174">
        <f t="shared" si="4"/>
        <v>351.35957138104311</v>
      </c>
      <c r="AC49" s="174">
        <f t="shared" si="6"/>
        <v>48.422000000000004</v>
      </c>
    </row>
    <row r="50" spans="1:30" ht="18.75" x14ac:dyDescent="0.25">
      <c r="A50" s="75" t="s">
        <v>150</v>
      </c>
      <c r="B50" s="74" t="s">
        <v>149</v>
      </c>
      <c r="C50" s="174">
        <v>0</v>
      </c>
      <c r="D50" s="174">
        <v>0</v>
      </c>
      <c r="E50" s="340">
        <f t="shared" si="5"/>
        <v>0</v>
      </c>
      <c r="F50" s="340">
        <f>AB50-H50</f>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4">
        <f t="shared" si="4"/>
        <v>0</v>
      </c>
      <c r="AC50" s="174">
        <f t="shared" si="6"/>
        <v>0</v>
      </c>
    </row>
    <row r="51" spans="1:30" s="311" customFormat="1" ht="35.25" customHeight="1" x14ac:dyDescent="0.25">
      <c r="A51" s="78" t="s">
        <v>59</v>
      </c>
      <c r="B51" s="77" t="s">
        <v>148</v>
      </c>
      <c r="C51" s="174">
        <v>0</v>
      </c>
      <c r="D51" s="174">
        <v>0</v>
      </c>
      <c r="E51" s="340">
        <f t="shared" si="5"/>
        <v>0</v>
      </c>
      <c r="F51" s="340">
        <f>AB51-H51</f>
        <v>0</v>
      </c>
      <c r="G51" s="174">
        <v>0</v>
      </c>
      <c r="H51" s="174">
        <v>0</v>
      </c>
      <c r="I51" s="174">
        <v>0</v>
      </c>
      <c r="J51" s="174">
        <v>0</v>
      </c>
      <c r="K51" s="174">
        <v>0</v>
      </c>
      <c r="L51" s="174">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4">
        <f t="shared" si="4"/>
        <v>0</v>
      </c>
      <c r="AC51" s="174">
        <f t="shared" si="6"/>
        <v>0</v>
      </c>
    </row>
    <row r="52" spans="1:30" x14ac:dyDescent="0.25">
      <c r="A52" s="75" t="s">
        <v>147</v>
      </c>
      <c r="B52" s="51" t="s">
        <v>146</v>
      </c>
      <c r="C52" s="174">
        <f>C30</f>
        <v>2341.4176138048479</v>
      </c>
      <c r="D52" s="174">
        <v>0</v>
      </c>
      <c r="E52" s="340">
        <f t="shared" si="5"/>
        <v>2341.4176138048479</v>
      </c>
      <c r="F52" s="340">
        <f>AB52-H52</f>
        <v>2059.6767014407419</v>
      </c>
      <c r="G52" s="175">
        <v>210.10277857</v>
      </c>
      <c r="H52" s="175">
        <v>131.06434546</v>
      </c>
      <c r="I52" s="175">
        <v>0</v>
      </c>
      <c r="J52" s="175">
        <v>131.06434546</v>
      </c>
      <c r="K52" s="175">
        <v>0</v>
      </c>
      <c r="L52" s="175">
        <v>60.9983980350246</v>
      </c>
      <c r="M52" s="175">
        <v>0</v>
      </c>
      <c r="N52" s="175">
        <v>160.13425945999998</v>
      </c>
      <c r="O52" s="175">
        <v>0</v>
      </c>
      <c r="P52" s="175">
        <v>1531.8600000000042</v>
      </c>
      <c r="Q52" s="175">
        <v>275</v>
      </c>
      <c r="R52" s="175">
        <v>22.073260139999999</v>
      </c>
      <c r="S52" s="175">
        <v>22.073260139999999</v>
      </c>
      <c r="T52" s="175">
        <v>221.81830340571278</v>
      </c>
      <c r="U52" s="175">
        <v>0</v>
      </c>
      <c r="V52" s="175">
        <v>0</v>
      </c>
      <c r="W52" s="175">
        <v>0</v>
      </c>
      <c r="X52" s="175">
        <v>245</v>
      </c>
      <c r="Y52" s="175">
        <v>0</v>
      </c>
      <c r="Z52" s="175">
        <v>0</v>
      </c>
      <c r="AA52" s="175">
        <v>0</v>
      </c>
      <c r="AB52" s="174">
        <f t="shared" si="4"/>
        <v>2190.7410469007418</v>
      </c>
      <c r="AC52" s="174">
        <f t="shared" si="6"/>
        <v>313.27186505999998</v>
      </c>
      <c r="AD52" s="65">
        <v>321.91670529525169</v>
      </c>
    </row>
    <row r="53" spans="1:30" x14ac:dyDescent="0.25">
      <c r="A53" s="75" t="s">
        <v>145</v>
      </c>
      <c r="B53" s="51" t="s">
        <v>139</v>
      </c>
      <c r="C53" s="174">
        <v>0</v>
      </c>
      <c r="D53" s="174">
        <v>0</v>
      </c>
      <c r="E53" s="340">
        <f t="shared" si="5"/>
        <v>0</v>
      </c>
      <c r="F53" s="340">
        <f>AB53-H53</f>
        <v>0</v>
      </c>
      <c r="G53" s="175">
        <v>0</v>
      </c>
      <c r="H53" s="175">
        <v>0</v>
      </c>
      <c r="I53" s="175">
        <v>0</v>
      </c>
      <c r="J53" s="175">
        <v>0</v>
      </c>
      <c r="K53" s="175">
        <v>0</v>
      </c>
      <c r="L53" s="175">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4">
        <f t="shared" si="4"/>
        <v>0</v>
      </c>
      <c r="AC53" s="174">
        <f t="shared" si="6"/>
        <v>0</v>
      </c>
    </row>
    <row r="54" spans="1:30" x14ac:dyDescent="0.25">
      <c r="A54" s="75" t="s">
        <v>144</v>
      </c>
      <c r="B54" s="74" t="s">
        <v>138</v>
      </c>
      <c r="C54" s="174">
        <f>C37</f>
        <v>111.4346508939647</v>
      </c>
      <c r="D54" s="174">
        <v>0</v>
      </c>
      <c r="E54" s="340">
        <f t="shared" si="5"/>
        <v>111.4346508939647</v>
      </c>
      <c r="F54" s="340">
        <f t="shared" ref="F54:G54" si="29">F37</f>
        <v>90.861241712541471</v>
      </c>
      <c r="G54" s="175">
        <f t="shared" si="29"/>
        <v>6.9479999999999986</v>
      </c>
      <c r="H54" s="175">
        <v>3.4610000000000007</v>
      </c>
      <c r="I54" s="175">
        <v>0</v>
      </c>
      <c r="J54" s="175">
        <v>3.4610000000000007</v>
      </c>
      <c r="K54" s="175">
        <v>0</v>
      </c>
      <c r="L54" s="175">
        <v>3.3160099351010692</v>
      </c>
      <c r="M54" s="175">
        <v>0</v>
      </c>
      <c r="N54" s="175">
        <v>5.84</v>
      </c>
      <c r="O54" s="175">
        <v>0</v>
      </c>
      <c r="P54" s="175">
        <v>60.908811381256939</v>
      </c>
      <c r="Q54" s="175">
        <v>5</v>
      </c>
      <c r="R54" s="175">
        <v>0.58300000000000007</v>
      </c>
      <c r="S54" s="175">
        <v>0.58300000000000007</v>
      </c>
      <c r="T54" s="175">
        <v>12.987603453327395</v>
      </c>
      <c r="U54" s="175">
        <v>0</v>
      </c>
      <c r="V54" s="175">
        <v>0</v>
      </c>
      <c r="W54" s="175">
        <v>0</v>
      </c>
      <c r="X54" s="175">
        <v>13.64881694285606</v>
      </c>
      <c r="Y54" s="175">
        <v>0</v>
      </c>
      <c r="Z54" s="175">
        <v>0</v>
      </c>
      <c r="AA54" s="175">
        <v>0</v>
      </c>
      <c r="AB54" s="174">
        <f t="shared" si="4"/>
        <v>94.322241712541469</v>
      </c>
      <c r="AC54" s="174">
        <f t="shared" si="6"/>
        <v>9.8840000000000003</v>
      </c>
      <c r="AD54" s="65">
        <v>17.112409181423246</v>
      </c>
    </row>
    <row r="55" spans="1:30" x14ac:dyDescent="0.25">
      <c r="A55" s="75" t="s">
        <v>143</v>
      </c>
      <c r="B55" s="74" t="s">
        <v>137</v>
      </c>
      <c r="C55" s="174">
        <v>0</v>
      </c>
      <c r="D55" s="174">
        <v>0</v>
      </c>
      <c r="E55" s="340">
        <f t="shared" si="5"/>
        <v>0</v>
      </c>
      <c r="F55" s="340">
        <f t="shared" ref="F55:F64" si="30">AB55-H55</f>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4">
        <f t="shared" si="4"/>
        <v>0</v>
      </c>
      <c r="AC55" s="174">
        <f t="shared" si="6"/>
        <v>0</v>
      </c>
    </row>
    <row r="56" spans="1:30" x14ac:dyDescent="0.25">
      <c r="A56" s="75" t="s">
        <v>142</v>
      </c>
      <c r="B56" s="74" t="s">
        <v>136</v>
      </c>
      <c r="C56" s="174">
        <v>922.89119232430835</v>
      </c>
      <c r="D56" s="174">
        <v>0</v>
      </c>
      <c r="E56" s="340">
        <f t="shared" si="5"/>
        <v>922.89119232430835</v>
      </c>
      <c r="F56" s="340">
        <f t="shared" si="30"/>
        <v>788.60142845260771</v>
      </c>
      <c r="G56" s="175">
        <v>133.95900000000003</v>
      </c>
      <c r="H56" s="175">
        <v>89.797500000000014</v>
      </c>
      <c r="I56" s="175">
        <v>0</v>
      </c>
      <c r="J56" s="175">
        <v>89.797500000000014</v>
      </c>
      <c r="K56" s="175">
        <v>0</v>
      </c>
      <c r="L56" s="175">
        <v>18.396697183125415</v>
      </c>
      <c r="M56" s="175">
        <v>0</v>
      </c>
      <c r="N56" s="175">
        <v>56.161999999999999</v>
      </c>
      <c r="O56" s="175">
        <v>0</v>
      </c>
      <c r="P56" s="175">
        <v>700.95003823940533</v>
      </c>
      <c r="Q56" s="175">
        <v>125.82</v>
      </c>
      <c r="R56" s="175">
        <v>14.564500000000001</v>
      </c>
      <c r="S56" s="175">
        <v>14.564500000000001</v>
      </c>
      <c r="T56" s="175">
        <v>33.767768978651226</v>
      </c>
      <c r="U56" s="175">
        <v>0</v>
      </c>
      <c r="V56" s="175">
        <v>0</v>
      </c>
      <c r="W56" s="175">
        <v>0</v>
      </c>
      <c r="X56" s="175">
        <v>35.48692405142576</v>
      </c>
      <c r="Y56" s="175">
        <v>0</v>
      </c>
      <c r="Z56" s="175">
        <v>0</v>
      </c>
      <c r="AA56" s="175">
        <v>0</v>
      </c>
      <c r="AB56" s="174">
        <f t="shared" si="4"/>
        <v>878.39892845260772</v>
      </c>
      <c r="AC56" s="174">
        <f t="shared" si="6"/>
        <v>160.52400000000003</v>
      </c>
      <c r="AD56" s="65">
        <v>44.492263871700438</v>
      </c>
    </row>
    <row r="57" spans="1:30" ht="18.75" x14ac:dyDescent="0.25">
      <c r="A57" s="75" t="s">
        <v>141</v>
      </c>
      <c r="B57" s="74" t="s">
        <v>135</v>
      </c>
      <c r="C57" s="174">
        <v>0</v>
      </c>
      <c r="D57" s="174">
        <v>0</v>
      </c>
      <c r="E57" s="340">
        <f t="shared" si="5"/>
        <v>0</v>
      </c>
      <c r="F57" s="340">
        <f t="shared" si="30"/>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4">
        <f t="shared" si="4"/>
        <v>0</v>
      </c>
      <c r="AC57" s="174">
        <f t="shared" si="6"/>
        <v>0</v>
      </c>
    </row>
    <row r="58" spans="1:30" s="311" customFormat="1" ht="36.75" customHeight="1" x14ac:dyDescent="0.25">
      <c r="A58" s="78" t="s">
        <v>58</v>
      </c>
      <c r="B58" s="88" t="s">
        <v>236</v>
      </c>
      <c r="C58" s="174">
        <v>0</v>
      </c>
      <c r="D58" s="174">
        <v>0</v>
      </c>
      <c r="E58" s="340">
        <f t="shared" si="5"/>
        <v>0</v>
      </c>
      <c r="F58" s="340">
        <f t="shared" si="30"/>
        <v>0</v>
      </c>
      <c r="G58" s="174">
        <v>0</v>
      </c>
      <c r="H58" s="174">
        <v>0</v>
      </c>
      <c r="I58" s="174">
        <v>0</v>
      </c>
      <c r="J58" s="174">
        <v>0</v>
      </c>
      <c r="K58" s="174">
        <v>0</v>
      </c>
      <c r="L58" s="174">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4">
        <f t="shared" si="4"/>
        <v>0</v>
      </c>
      <c r="AC58" s="174">
        <f t="shared" si="6"/>
        <v>0</v>
      </c>
    </row>
    <row r="59" spans="1:30" s="311" customFormat="1" x14ac:dyDescent="0.25">
      <c r="A59" s="78" t="s">
        <v>56</v>
      </c>
      <c r="B59" s="77" t="s">
        <v>140</v>
      </c>
      <c r="C59" s="174">
        <v>0</v>
      </c>
      <c r="D59" s="174">
        <v>0</v>
      </c>
      <c r="E59" s="340">
        <f t="shared" si="5"/>
        <v>0</v>
      </c>
      <c r="F59" s="340">
        <f t="shared" si="30"/>
        <v>0</v>
      </c>
      <c r="G59" s="174">
        <v>0</v>
      </c>
      <c r="H59" s="174">
        <v>0</v>
      </c>
      <c r="I59" s="174">
        <v>0</v>
      </c>
      <c r="J59" s="174">
        <v>0</v>
      </c>
      <c r="K59" s="174">
        <v>0</v>
      </c>
      <c r="L59" s="174">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4">
        <f t="shared" si="4"/>
        <v>0</v>
      </c>
      <c r="AC59" s="174">
        <f t="shared" si="6"/>
        <v>0</v>
      </c>
    </row>
    <row r="60" spans="1:30" x14ac:dyDescent="0.25">
      <c r="A60" s="75" t="s">
        <v>230</v>
      </c>
      <c r="B60" s="76" t="s">
        <v>161</v>
      </c>
      <c r="C60" s="174">
        <v>0</v>
      </c>
      <c r="D60" s="174">
        <v>0</v>
      </c>
      <c r="E60" s="340">
        <f t="shared" si="5"/>
        <v>0</v>
      </c>
      <c r="F60" s="340">
        <f t="shared" si="30"/>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4">
        <f t="shared" si="4"/>
        <v>0</v>
      </c>
      <c r="AC60" s="174">
        <f t="shared" si="6"/>
        <v>0</v>
      </c>
    </row>
    <row r="61" spans="1:30" x14ac:dyDescent="0.25">
      <c r="A61" s="75" t="s">
        <v>231</v>
      </c>
      <c r="B61" s="76" t="s">
        <v>159</v>
      </c>
      <c r="C61" s="174">
        <v>0</v>
      </c>
      <c r="D61" s="174">
        <v>0</v>
      </c>
      <c r="E61" s="340">
        <f t="shared" si="5"/>
        <v>0</v>
      </c>
      <c r="F61" s="340">
        <f t="shared" si="30"/>
        <v>0</v>
      </c>
      <c r="G61" s="175">
        <v>0</v>
      </c>
      <c r="H61" s="175">
        <v>0</v>
      </c>
      <c r="I61" s="175">
        <v>0</v>
      </c>
      <c r="J61" s="175">
        <v>0</v>
      </c>
      <c r="K61" s="175">
        <v>0</v>
      </c>
      <c r="L61" s="175">
        <v>0</v>
      </c>
      <c r="M61" s="175">
        <v>0</v>
      </c>
      <c r="N61" s="175">
        <v>0.59999999999999964</v>
      </c>
      <c r="O61" s="175">
        <v>0</v>
      </c>
      <c r="P61" s="175">
        <v>0</v>
      </c>
      <c r="Q61" s="175">
        <v>0</v>
      </c>
      <c r="R61" s="175">
        <v>5.0000000000000044E-2</v>
      </c>
      <c r="S61" s="175">
        <v>5.0000000000000044E-2</v>
      </c>
      <c r="T61" s="175">
        <v>0</v>
      </c>
      <c r="U61" s="175">
        <v>0</v>
      </c>
      <c r="V61" s="175">
        <v>0</v>
      </c>
      <c r="W61" s="175">
        <v>0</v>
      </c>
      <c r="X61" s="175">
        <v>0</v>
      </c>
      <c r="Y61" s="175">
        <v>0</v>
      </c>
      <c r="Z61" s="175">
        <v>0</v>
      </c>
      <c r="AA61" s="175">
        <v>0</v>
      </c>
      <c r="AB61" s="174">
        <f t="shared" si="4"/>
        <v>0</v>
      </c>
      <c r="AC61" s="174">
        <f t="shared" si="6"/>
        <v>0.64999999999999969</v>
      </c>
    </row>
    <row r="62" spans="1:30" x14ac:dyDescent="0.25">
      <c r="A62" s="75" t="s">
        <v>232</v>
      </c>
      <c r="B62" s="76" t="s">
        <v>157</v>
      </c>
      <c r="C62" s="174">
        <v>0</v>
      </c>
      <c r="D62" s="174">
        <v>0</v>
      </c>
      <c r="E62" s="340">
        <f t="shared" si="5"/>
        <v>0</v>
      </c>
      <c r="F62" s="340">
        <f t="shared" si="30"/>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4">
        <f t="shared" si="4"/>
        <v>0</v>
      </c>
      <c r="AC62" s="174">
        <f t="shared" si="6"/>
        <v>0</v>
      </c>
    </row>
    <row r="63" spans="1:30" x14ac:dyDescent="0.25">
      <c r="A63" s="75" t="s">
        <v>233</v>
      </c>
      <c r="B63" s="76" t="s">
        <v>235</v>
      </c>
      <c r="C63" s="174">
        <v>0</v>
      </c>
      <c r="D63" s="174">
        <v>0</v>
      </c>
      <c r="E63" s="340">
        <f t="shared" si="5"/>
        <v>0</v>
      </c>
      <c r="F63" s="340">
        <f t="shared" si="30"/>
        <v>0</v>
      </c>
      <c r="G63" s="175">
        <v>0</v>
      </c>
      <c r="H63" s="175">
        <v>0</v>
      </c>
      <c r="I63" s="175">
        <v>0</v>
      </c>
      <c r="J63" s="175">
        <v>0</v>
      </c>
      <c r="K63" s="175">
        <v>0</v>
      </c>
      <c r="L63" s="175">
        <v>0</v>
      </c>
      <c r="M63" s="175">
        <v>0</v>
      </c>
      <c r="N63" s="175">
        <v>17.886000000000024</v>
      </c>
      <c r="O63" s="175">
        <v>0</v>
      </c>
      <c r="P63" s="175">
        <v>0</v>
      </c>
      <c r="Q63" s="175">
        <v>0</v>
      </c>
      <c r="R63" s="175">
        <v>1.1030000000000015</v>
      </c>
      <c r="S63" s="175">
        <v>1.1030000000000015</v>
      </c>
      <c r="T63" s="175">
        <v>0</v>
      </c>
      <c r="U63" s="175">
        <v>0</v>
      </c>
      <c r="V63" s="175">
        <v>0</v>
      </c>
      <c r="W63" s="175">
        <v>0</v>
      </c>
      <c r="X63" s="175">
        <v>0</v>
      </c>
      <c r="Y63" s="175">
        <v>0</v>
      </c>
      <c r="Z63" s="175">
        <v>0</v>
      </c>
      <c r="AA63" s="175">
        <v>0</v>
      </c>
      <c r="AB63" s="174">
        <f t="shared" si="4"/>
        <v>0</v>
      </c>
      <c r="AC63" s="174">
        <f t="shared" si="6"/>
        <v>18.989000000000026</v>
      </c>
    </row>
    <row r="64" spans="1:30" ht="18.75" x14ac:dyDescent="0.25">
      <c r="A64" s="75" t="s">
        <v>234</v>
      </c>
      <c r="B64" s="74" t="s">
        <v>135</v>
      </c>
      <c r="C64" s="174">
        <v>0</v>
      </c>
      <c r="D64" s="174">
        <v>0</v>
      </c>
      <c r="E64" s="340">
        <f t="shared" si="5"/>
        <v>0</v>
      </c>
      <c r="F64" s="340">
        <f t="shared" si="30"/>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4">
        <f t="shared" si="4"/>
        <v>0</v>
      </c>
      <c r="AC64" s="174">
        <f t="shared" si="6"/>
        <v>0</v>
      </c>
    </row>
    <row r="65" spans="1:28" x14ac:dyDescent="0.25">
      <c r="A65" s="72"/>
      <c r="B65" s="73"/>
      <c r="C65" s="73"/>
      <c r="D65" s="314"/>
      <c r="E65" s="73"/>
      <c r="F65" s="73"/>
      <c r="G65" s="73"/>
      <c r="H65" s="73"/>
      <c r="I65" s="73"/>
      <c r="J65" s="73"/>
      <c r="K65" s="73"/>
      <c r="L65" s="72"/>
      <c r="M65" s="72"/>
      <c r="N65" s="66"/>
      <c r="O65" s="66"/>
      <c r="P65" s="66"/>
      <c r="Q65" s="66"/>
      <c r="R65" s="66"/>
      <c r="S65" s="66"/>
      <c r="T65" s="66"/>
      <c r="U65" s="66"/>
      <c r="V65" s="66"/>
      <c r="W65" s="66"/>
      <c r="X65" s="66"/>
      <c r="Y65" s="66"/>
      <c r="Z65" s="66"/>
      <c r="AA65" s="66"/>
      <c r="AB65" s="66"/>
    </row>
    <row r="66" spans="1:28" ht="54" customHeight="1" x14ac:dyDescent="0.25">
      <c r="A66" s="66"/>
      <c r="B66" s="518"/>
      <c r="C66" s="518"/>
      <c r="D66" s="518"/>
      <c r="E66" s="518"/>
      <c r="F66" s="518"/>
      <c r="G66" s="518"/>
      <c r="H66" s="518"/>
      <c r="I66" s="518"/>
      <c r="J66" s="170"/>
      <c r="K66" s="170"/>
      <c r="L66" s="71"/>
      <c r="M66" s="71"/>
      <c r="N66" s="71"/>
      <c r="O66" s="71"/>
      <c r="P66" s="71"/>
      <c r="Q66" s="71"/>
      <c r="R66" s="71"/>
      <c r="S66" s="71"/>
      <c r="T66" s="71"/>
      <c r="U66" s="71"/>
      <c r="V66" s="71"/>
      <c r="W66" s="71"/>
      <c r="X66" s="71"/>
      <c r="Y66" s="71"/>
      <c r="Z66" s="71"/>
      <c r="AA66" s="71"/>
      <c r="AB66" s="71"/>
    </row>
    <row r="67" spans="1:28" x14ac:dyDescent="0.25">
      <c r="A67" s="66"/>
      <c r="B67" s="66"/>
      <c r="C67" s="66"/>
      <c r="D67" s="312"/>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20"/>
      <c r="C68" s="520"/>
      <c r="D68" s="520"/>
      <c r="E68" s="520"/>
      <c r="F68" s="520"/>
      <c r="G68" s="520"/>
      <c r="H68" s="520"/>
      <c r="I68" s="520"/>
      <c r="J68" s="171"/>
      <c r="K68" s="171"/>
      <c r="L68" s="66"/>
      <c r="M68" s="66"/>
      <c r="N68" s="66"/>
      <c r="O68" s="66"/>
      <c r="P68" s="66"/>
      <c r="Q68" s="66"/>
      <c r="R68" s="66"/>
      <c r="S68" s="66"/>
      <c r="T68" s="66"/>
      <c r="U68" s="66"/>
      <c r="V68" s="66"/>
      <c r="W68" s="66"/>
      <c r="X68" s="66"/>
      <c r="Y68" s="66"/>
      <c r="Z68" s="66"/>
      <c r="AA68" s="66"/>
      <c r="AB68" s="66"/>
    </row>
    <row r="69" spans="1:28" x14ac:dyDescent="0.25">
      <c r="A69" s="66"/>
      <c r="B69" s="66"/>
      <c r="C69" s="66"/>
      <c r="D69" s="312"/>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18"/>
      <c r="C70" s="518"/>
      <c r="D70" s="518"/>
      <c r="E70" s="518"/>
      <c r="F70" s="518"/>
      <c r="G70" s="518"/>
      <c r="H70" s="518"/>
      <c r="I70" s="518"/>
      <c r="J70" s="170"/>
      <c r="K70" s="170"/>
      <c r="L70" s="66"/>
      <c r="M70" s="66"/>
      <c r="N70" s="66"/>
      <c r="O70" s="66"/>
      <c r="P70" s="66"/>
      <c r="Q70" s="66"/>
      <c r="R70" s="66"/>
      <c r="S70" s="66"/>
      <c r="T70" s="66"/>
      <c r="U70" s="66"/>
      <c r="V70" s="66"/>
      <c r="W70" s="66"/>
      <c r="X70" s="66"/>
      <c r="Y70" s="66"/>
      <c r="Z70" s="66"/>
      <c r="AA70" s="66"/>
      <c r="AB70" s="66"/>
    </row>
    <row r="71" spans="1:28" x14ac:dyDescent="0.25">
      <c r="A71" s="66"/>
      <c r="B71" s="70"/>
      <c r="C71" s="70"/>
      <c r="D71" s="315"/>
      <c r="E71" s="70"/>
      <c r="F71" s="70"/>
      <c r="L71" s="66"/>
      <c r="M71" s="66"/>
      <c r="N71" s="69"/>
      <c r="O71" s="66"/>
      <c r="P71" s="66"/>
      <c r="Q71" s="66"/>
      <c r="R71" s="66"/>
      <c r="S71" s="66"/>
      <c r="T71" s="66"/>
      <c r="U71" s="66"/>
      <c r="V71" s="66"/>
      <c r="W71" s="66"/>
      <c r="X71" s="66"/>
      <c r="Y71" s="66"/>
      <c r="Z71" s="66"/>
      <c r="AA71" s="66"/>
      <c r="AB71" s="66"/>
    </row>
    <row r="72" spans="1:28" ht="51" customHeight="1" x14ac:dyDescent="0.25">
      <c r="A72" s="66"/>
      <c r="B72" s="518"/>
      <c r="C72" s="518"/>
      <c r="D72" s="518"/>
      <c r="E72" s="518"/>
      <c r="F72" s="518"/>
      <c r="G72" s="518"/>
      <c r="H72" s="518"/>
      <c r="I72" s="518"/>
      <c r="J72" s="170"/>
      <c r="K72" s="170"/>
      <c r="L72" s="66"/>
      <c r="M72" s="66"/>
      <c r="N72" s="69"/>
      <c r="O72" s="66"/>
      <c r="P72" s="66"/>
      <c r="Q72" s="66"/>
      <c r="R72" s="66"/>
      <c r="S72" s="66"/>
      <c r="T72" s="66"/>
      <c r="U72" s="66"/>
      <c r="V72" s="66"/>
      <c r="W72" s="66"/>
      <c r="X72" s="66"/>
      <c r="Y72" s="66"/>
      <c r="Z72" s="66"/>
      <c r="AA72" s="66"/>
      <c r="AB72" s="66"/>
    </row>
    <row r="73" spans="1:28" ht="32.25" customHeight="1" x14ac:dyDescent="0.25">
      <c r="A73" s="66"/>
      <c r="B73" s="520"/>
      <c r="C73" s="520"/>
      <c r="D73" s="520"/>
      <c r="E73" s="520"/>
      <c r="F73" s="520"/>
      <c r="G73" s="520"/>
      <c r="H73" s="520"/>
      <c r="I73" s="520"/>
      <c r="J73" s="171"/>
      <c r="K73" s="171"/>
      <c r="L73" s="66"/>
      <c r="M73" s="66"/>
      <c r="N73" s="66"/>
      <c r="O73" s="66"/>
      <c r="P73" s="66"/>
      <c r="Q73" s="66"/>
      <c r="R73" s="66"/>
      <c r="S73" s="66"/>
      <c r="T73" s="66"/>
      <c r="U73" s="66"/>
      <c r="V73" s="66"/>
      <c r="W73" s="66"/>
      <c r="X73" s="66"/>
      <c r="Y73" s="66"/>
      <c r="Z73" s="66"/>
      <c r="AA73" s="66"/>
      <c r="AB73" s="66"/>
    </row>
    <row r="74" spans="1:28" ht="51.75" customHeight="1" x14ac:dyDescent="0.25">
      <c r="A74" s="66"/>
      <c r="B74" s="518"/>
      <c r="C74" s="518"/>
      <c r="D74" s="518"/>
      <c r="E74" s="518"/>
      <c r="F74" s="518"/>
      <c r="G74" s="518"/>
      <c r="H74" s="518"/>
      <c r="I74" s="518"/>
      <c r="J74" s="170"/>
      <c r="K74" s="170"/>
      <c r="L74" s="66"/>
      <c r="M74" s="66"/>
      <c r="N74" s="66"/>
      <c r="O74" s="66"/>
      <c r="P74" s="66"/>
      <c r="Q74" s="66"/>
      <c r="R74" s="66"/>
      <c r="S74" s="66"/>
      <c r="T74" s="66"/>
      <c r="U74" s="66"/>
      <c r="V74" s="66"/>
      <c r="W74" s="66"/>
      <c r="X74" s="66"/>
      <c r="Y74" s="66"/>
      <c r="Z74" s="66"/>
      <c r="AA74" s="66"/>
      <c r="AB74" s="66"/>
    </row>
    <row r="75" spans="1:28" ht="21.75" customHeight="1" x14ac:dyDescent="0.25">
      <c r="A75" s="66"/>
      <c r="B75" s="521"/>
      <c r="C75" s="521"/>
      <c r="D75" s="521"/>
      <c r="E75" s="521"/>
      <c r="F75" s="521"/>
      <c r="G75" s="521"/>
      <c r="H75" s="521"/>
      <c r="I75" s="521"/>
      <c r="J75" s="168"/>
      <c r="K75" s="168"/>
      <c r="L75" s="67"/>
      <c r="M75" s="67"/>
      <c r="N75" s="66"/>
      <c r="O75" s="66"/>
      <c r="P75" s="66"/>
      <c r="Q75" s="66"/>
      <c r="R75" s="66"/>
      <c r="S75" s="66"/>
      <c r="T75" s="66"/>
      <c r="U75" s="66"/>
      <c r="V75" s="66"/>
      <c r="W75" s="66"/>
      <c r="X75" s="66"/>
      <c r="Y75" s="66"/>
      <c r="Z75" s="66"/>
      <c r="AA75" s="66"/>
      <c r="AB75" s="66"/>
    </row>
    <row r="76" spans="1:28" ht="23.25" customHeight="1" x14ac:dyDescent="0.25">
      <c r="A76" s="66"/>
      <c r="B76" s="67"/>
      <c r="C76" s="67"/>
      <c r="D76" s="316"/>
      <c r="E76" s="67"/>
      <c r="F76" s="67"/>
      <c r="L76" s="66"/>
      <c r="M76" s="66"/>
      <c r="N76" s="66"/>
      <c r="O76" s="66"/>
      <c r="P76" s="66"/>
      <c r="Q76" s="66"/>
      <c r="R76" s="66"/>
      <c r="S76" s="66"/>
      <c r="T76" s="66"/>
      <c r="U76" s="66"/>
      <c r="V76" s="66"/>
      <c r="W76" s="66"/>
      <c r="X76" s="66"/>
      <c r="Y76" s="66"/>
      <c r="Z76" s="66"/>
      <c r="AA76" s="66"/>
      <c r="AB76" s="66"/>
    </row>
    <row r="77" spans="1:28" ht="18.75" customHeight="1" x14ac:dyDescent="0.25">
      <c r="A77" s="66"/>
      <c r="B77" s="519"/>
      <c r="C77" s="519"/>
      <c r="D77" s="519"/>
      <c r="E77" s="519"/>
      <c r="F77" s="519"/>
      <c r="G77" s="519"/>
      <c r="H77" s="519"/>
      <c r="I77" s="519"/>
      <c r="J77" s="169"/>
      <c r="K77" s="169"/>
      <c r="L77" s="66"/>
      <c r="M77" s="66"/>
      <c r="N77" s="66"/>
      <c r="O77" s="66"/>
      <c r="P77" s="66"/>
      <c r="Q77" s="66"/>
      <c r="R77" s="66"/>
      <c r="S77" s="66"/>
      <c r="T77" s="66"/>
      <c r="U77" s="66"/>
      <c r="V77" s="66"/>
      <c r="W77" s="66"/>
      <c r="X77" s="66"/>
      <c r="Y77" s="66"/>
      <c r="Z77" s="66"/>
      <c r="AA77" s="66"/>
      <c r="AB77" s="66"/>
    </row>
    <row r="78" spans="1:28" x14ac:dyDescent="0.25">
      <c r="A78" s="66"/>
      <c r="B78" s="66"/>
      <c r="C78" s="66"/>
      <c r="D78" s="312"/>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312"/>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50:C64 G46 F45:G45 G25:G26 G30:G44 C25:C46 G50:I64 AB24:AB64 H24:I46 K24:M46 K50:M64 S24:U26 W24:Y46 W50:Y64 O50:Q64 O24:Q36 O46:Q46 P45:Q45 O38:Q44 P37:Q37 S50:U64 S46:U46 T45:U45 S28:U44 T27:U27 R24 Q30:R30">
    <cfRule type="cellIs" dxfId="81" priority="29" operator="greaterThan">
      <formula>0</formula>
    </cfRule>
  </conditionalFormatting>
  <conditionalFormatting sqref="E35:E64">
    <cfRule type="cellIs" dxfId="80" priority="27" operator="notEqual">
      <formula>0</formula>
    </cfRule>
  </conditionalFormatting>
  <conditionalFormatting sqref="E25:E34 E24:G24">
    <cfRule type="cellIs" dxfId="79" priority="25" operator="notEqual">
      <formula>0</formula>
    </cfRule>
  </conditionalFormatting>
  <conditionalFormatting sqref="F46 F50:F64 F25:F44">
    <cfRule type="cellIs" dxfId="78" priority="24" operator="notEqual">
      <formula>0</formula>
    </cfRule>
  </conditionalFormatting>
  <conditionalFormatting sqref="C47:C49 F47:I49 K47:M49 S47:U49 W47:Y49 O47:Q49">
    <cfRule type="cellIs" dxfId="77" priority="22" operator="greaterThan">
      <formula>0</formula>
    </cfRule>
  </conditionalFormatting>
  <conditionalFormatting sqref="G27:G29">
    <cfRule type="cellIs" dxfId="76" priority="21" operator="greaterThan">
      <formula>0</formula>
    </cfRule>
  </conditionalFormatting>
  <conditionalFormatting sqref="C24">
    <cfRule type="cellIs" dxfId="75" priority="20" operator="greaterThan">
      <formula>0</formula>
    </cfRule>
  </conditionalFormatting>
  <conditionalFormatting sqref="D50:D64 D25:D46">
    <cfRule type="cellIs" dxfId="74" priority="19" operator="greaterThan">
      <formula>0</formula>
    </cfRule>
  </conditionalFormatting>
  <conditionalFormatting sqref="D47:D49">
    <cfRule type="cellIs" dxfId="73" priority="18" operator="greaterThan">
      <formula>0</formula>
    </cfRule>
  </conditionalFormatting>
  <conditionalFormatting sqref="D24">
    <cfRule type="cellIs" dxfId="72" priority="17" operator="greaterThan">
      <formula>0</formula>
    </cfRule>
  </conditionalFormatting>
  <conditionalFormatting sqref="J50:J64 J24:J46">
    <cfRule type="cellIs" dxfId="71" priority="16" operator="greaterThan">
      <formula>0</formula>
    </cfRule>
  </conditionalFormatting>
  <conditionalFormatting sqref="J47:J49">
    <cfRule type="cellIs" dxfId="70" priority="15" operator="greaterThan">
      <formula>0</formula>
    </cfRule>
  </conditionalFormatting>
  <conditionalFormatting sqref="R25:R29 R50:R60 R31:R40 R62 R64 R46 R42:R44">
    <cfRule type="cellIs" dxfId="69" priority="14" operator="greaterThan">
      <formula>0</formula>
    </cfRule>
  </conditionalFormatting>
  <conditionalFormatting sqref="R47:R49">
    <cfRule type="cellIs" dxfId="68" priority="13" operator="greaterThan">
      <formula>0</formula>
    </cfRule>
  </conditionalFormatting>
  <conditionalFormatting sqref="V24:V46 V50:V64">
    <cfRule type="cellIs" dxfId="67" priority="12" operator="greaterThan">
      <formula>0</formula>
    </cfRule>
  </conditionalFormatting>
  <conditionalFormatting sqref="V47:V49">
    <cfRule type="cellIs" dxfId="66" priority="11" operator="greaterThan">
      <formula>0</formula>
    </cfRule>
  </conditionalFormatting>
  <conditionalFormatting sqref="Z24:AA46 Z50:AA64">
    <cfRule type="cellIs" dxfId="65" priority="10" operator="greaterThan">
      <formula>0</formula>
    </cfRule>
  </conditionalFormatting>
  <conditionalFormatting sqref="Z47:AA49">
    <cfRule type="cellIs" dxfId="64" priority="9" operator="greaterThan">
      <formula>0</formula>
    </cfRule>
  </conditionalFormatting>
  <conditionalFormatting sqref="AC24:AC64">
    <cfRule type="cellIs" dxfId="63" priority="8" operator="greaterThan">
      <formula>0</formula>
    </cfRule>
  </conditionalFormatting>
  <conditionalFormatting sqref="N50:N64 N24:N46 O45 O37">
    <cfRule type="cellIs" dxfId="62" priority="7" operator="greaterThan">
      <formula>0</formula>
    </cfRule>
  </conditionalFormatting>
  <conditionalFormatting sqref="N47:N49">
    <cfRule type="cellIs" dxfId="61" priority="6" operator="greaterThan">
      <formula>0</formula>
    </cfRule>
  </conditionalFormatting>
  <conditionalFormatting sqref="R61">
    <cfRule type="cellIs" dxfId="60" priority="5" operator="greaterThan">
      <formula>0</formula>
    </cfRule>
  </conditionalFormatting>
  <conditionalFormatting sqref="R63">
    <cfRule type="cellIs" dxfId="59" priority="4" operator="greaterThan">
      <formula>0</formula>
    </cfRule>
  </conditionalFormatting>
  <conditionalFormatting sqref="R45:S45">
    <cfRule type="cellIs" dxfId="58" priority="3" operator="greaterThan">
      <formula>0</formula>
    </cfRule>
  </conditionalFormatting>
  <conditionalFormatting sqref="R41">
    <cfRule type="cellIs" dxfId="57" priority="2" operator="greaterThan">
      <formula>0</formula>
    </cfRule>
  </conditionalFormatting>
  <conditionalFormatting sqref="S27">
    <cfRule type="cellIs" dxfId="56"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68" sqref="D68:D7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6" width="19" style="65" customWidth="1"/>
    <col min="7" max="10" width="12" style="66" hidden="1" customWidth="1"/>
    <col min="11" max="11" width="12" style="66" customWidth="1"/>
    <col min="12" max="19" width="9.28515625" style="65" customWidth="1"/>
    <col min="20" max="20" width="10.85546875" style="65" customWidth="1"/>
    <col min="21" max="21" width="8" style="65" customWidth="1"/>
    <col min="22" max="23" width="8.5703125" style="65" customWidth="1"/>
    <col min="24" max="24" width="10.28515625" style="65" customWidth="1"/>
    <col min="25" max="25" width="8" style="65" customWidth="1"/>
    <col min="26" max="27" width="8.5703125" style="65" customWidth="1"/>
    <col min="28" max="28" width="11.7109375" style="65" customWidth="1"/>
    <col min="29" max="29" width="8" style="65" customWidth="1"/>
    <col min="30" max="31" width="8.5703125" style="65" customWidth="1"/>
    <col min="32" max="32" width="13.140625" style="65" customWidth="1"/>
    <col min="33" max="33" width="24.85546875" style="65" customWidth="1"/>
    <col min="34" max="16384" width="9.140625" style="65"/>
  </cols>
  <sheetData>
    <row r="1" spans="1:33" ht="18.75" x14ac:dyDescent="0.25">
      <c r="A1" s="66"/>
      <c r="B1" s="66"/>
      <c r="C1" s="66"/>
      <c r="D1" s="66"/>
      <c r="E1" s="66"/>
      <c r="F1" s="66"/>
      <c r="AG1" s="41" t="s">
        <v>68</v>
      </c>
    </row>
    <row r="2" spans="1:33" ht="18.75" x14ac:dyDescent="0.3">
      <c r="A2" s="66"/>
      <c r="B2" s="66"/>
      <c r="C2" s="66"/>
      <c r="D2" s="66"/>
      <c r="E2" s="66"/>
      <c r="F2" s="66"/>
      <c r="AG2" s="15" t="s">
        <v>10</v>
      </c>
    </row>
    <row r="3" spans="1:33" ht="18.75" x14ac:dyDescent="0.3">
      <c r="A3" s="66"/>
      <c r="B3" s="66"/>
      <c r="C3" s="66"/>
      <c r="D3" s="66"/>
      <c r="E3" s="66"/>
      <c r="F3" s="66"/>
      <c r="AG3" s="15" t="s">
        <v>67</v>
      </c>
    </row>
    <row r="4" spans="1:33" ht="18.75" customHeight="1" x14ac:dyDescent="0.25">
      <c r="A4" s="426" t="str">
        <f>'6.1. Паспорт сетевой график'!A5:K5</f>
        <v>Год раскрытия информации: 2018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row>
    <row r="5" spans="1:33" ht="18.75" x14ac:dyDescent="0.3">
      <c r="A5" s="66"/>
      <c r="B5" s="66"/>
      <c r="C5" s="66"/>
      <c r="D5" s="66"/>
      <c r="E5" s="66"/>
      <c r="F5" s="66"/>
      <c r="AG5" s="15"/>
    </row>
    <row r="6" spans="1:33" ht="18.75" x14ac:dyDescent="0.25">
      <c r="A6" s="434" t="s">
        <v>9</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c r="AD6" s="434"/>
      <c r="AE6" s="434"/>
      <c r="AF6" s="434"/>
      <c r="AG6" s="434"/>
    </row>
    <row r="7" spans="1:33" ht="18.75" x14ac:dyDescent="0.25">
      <c r="A7" s="335"/>
      <c r="B7" s="335"/>
      <c r="C7" s="335"/>
      <c r="D7" s="335"/>
      <c r="E7" s="335"/>
      <c r="F7" s="335"/>
      <c r="G7" s="335"/>
      <c r="H7" s="335"/>
      <c r="I7" s="335"/>
      <c r="J7" s="335"/>
      <c r="K7" s="335"/>
      <c r="L7" s="391"/>
      <c r="M7" s="391"/>
      <c r="N7" s="391"/>
      <c r="O7" s="391"/>
      <c r="P7" s="391"/>
      <c r="Q7" s="391"/>
      <c r="R7" s="391"/>
      <c r="S7" s="391"/>
      <c r="T7" s="391"/>
      <c r="U7" s="391"/>
      <c r="V7" s="391"/>
      <c r="W7" s="391"/>
      <c r="X7" s="391"/>
      <c r="Y7" s="391"/>
      <c r="Z7" s="391"/>
      <c r="AA7" s="391"/>
      <c r="AB7" s="391"/>
      <c r="AC7" s="391"/>
      <c r="AD7" s="391"/>
      <c r="AE7" s="391"/>
      <c r="AF7" s="391"/>
      <c r="AG7" s="391"/>
    </row>
    <row r="8" spans="1:33" x14ac:dyDescent="0.25">
      <c r="A8" s="435" t="str">
        <f>'6.1. Паспорт сетевой график'!A9</f>
        <v>АО "Янтарьэнерго"</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row>
    <row r="9" spans="1:33"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row>
    <row r="10" spans="1:33" ht="18.75" x14ac:dyDescent="0.25">
      <c r="A10" s="335"/>
      <c r="B10" s="335"/>
      <c r="C10" s="335"/>
      <c r="D10" s="335"/>
      <c r="E10" s="335"/>
      <c r="F10" s="335"/>
      <c r="G10" s="335"/>
      <c r="H10" s="335"/>
      <c r="I10" s="335"/>
      <c r="J10" s="335"/>
      <c r="K10" s="335"/>
      <c r="L10" s="391"/>
      <c r="M10" s="391"/>
      <c r="N10" s="391"/>
      <c r="O10" s="391"/>
      <c r="P10" s="391"/>
      <c r="Q10" s="391"/>
      <c r="R10" s="391"/>
      <c r="S10" s="391"/>
      <c r="T10" s="391"/>
      <c r="U10" s="391"/>
      <c r="V10" s="391"/>
      <c r="W10" s="391"/>
      <c r="X10" s="391"/>
      <c r="Y10" s="391"/>
      <c r="Z10" s="391"/>
      <c r="AA10" s="391"/>
      <c r="AB10" s="391"/>
      <c r="AC10" s="391"/>
      <c r="AD10" s="391"/>
      <c r="AE10" s="391"/>
      <c r="AF10" s="391"/>
      <c r="AG10" s="391"/>
    </row>
    <row r="11" spans="1:33" x14ac:dyDescent="0.25">
      <c r="A11" s="435" t="str">
        <f>'6.1. Паспорт сетевой график'!A12</f>
        <v>Г</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row>
    <row r="12" spans="1:33"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row>
    <row r="13" spans="1:33" ht="16.5" customHeight="1" x14ac:dyDescent="0.3">
      <c r="A13" s="392"/>
      <c r="B13" s="392"/>
      <c r="C13" s="392"/>
      <c r="D13" s="392"/>
      <c r="E13" s="392"/>
      <c r="F13" s="392"/>
      <c r="G13" s="392"/>
      <c r="H13" s="392"/>
      <c r="I13" s="392"/>
      <c r="J13" s="392"/>
      <c r="K13" s="392"/>
      <c r="L13" s="82"/>
      <c r="M13" s="82"/>
      <c r="N13" s="82"/>
      <c r="O13" s="82"/>
      <c r="P13" s="82"/>
      <c r="Q13" s="82"/>
      <c r="R13" s="82"/>
      <c r="S13" s="82"/>
      <c r="T13" s="82"/>
      <c r="U13" s="82"/>
      <c r="V13" s="82"/>
      <c r="W13" s="82"/>
      <c r="X13" s="82"/>
      <c r="Y13" s="82"/>
      <c r="Z13" s="82"/>
      <c r="AA13" s="82"/>
      <c r="AB13" s="82"/>
      <c r="AC13" s="82"/>
      <c r="AD13" s="82"/>
      <c r="AE13" s="82"/>
      <c r="AF13" s="82"/>
      <c r="AG13" s="82"/>
    </row>
    <row r="14" spans="1:33" ht="36" customHeight="1" x14ac:dyDescent="0.25">
      <c r="A14" s="522" t="str">
        <f>'6.1. Паспорт сетевой график'!A15</f>
        <v>Технологическое присоединение энергопринимающих устройств потребителей максимальной мощностью до 15 кВт включительно</v>
      </c>
      <c r="B14" s="522"/>
      <c r="C14" s="522"/>
      <c r="D14" s="522"/>
      <c r="E14" s="522"/>
      <c r="F14" s="522"/>
      <c r="G14" s="522"/>
      <c r="H14" s="522"/>
      <c r="I14" s="522"/>
      <c r="J14" s="522"/>
      <c r="K14" s="522"/>
      <c r="L14" s="522"/>
      <c r="M14" s="522"/>
      <c r="N14" s="522"/>
      <c r="O14" s="522"/>
      <c r="P14" s="522"/>
      <c r="Q14" s="522"/>
      <c r="R14" s="522"/>
      <c r="S14" s="522"/>
      <c r="T14" s="522"/>
      <c r="U14" s="522"/>
      <c r="V14" s="522"/>
      <c r="W14" s="522"/>
      <c r="X14" s="522"/>
      <c r="Y14" s="522"/>
      <c r="Z14" s="522"/>
      <c r="AA14" s="522"/>
      <c r="AB14" s="522"/>
      <c r="AC14" s="522"/>
      <c r="AD14" s="522"/>
      <c r="AE14" s="522"/>
      <c r="AF14" s="522"/>
      <c r="AG14" s="522"/>
    </row>
    <row r="15" spans="1:33" ht="15.75" customHeight="1"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row>
    <row r="16" spans="1:33"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502" t="s">
        <v>508</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c r="AE18" s="502"/>
      <c r="AF18" s="502"/>
      <c r="AG18" s="502"/>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503" t="s">
        <v>196</v>
      </c>
      <c r="B20" s="503" t="s">
        <v>195</v>
      </c>
      <c r="C20" s="523" t="s">
        <v>194</v>
      </c>
      <c r="D20" s="523"/>
      <c r="E20" s="524" t="s">
        <v>193</v>
      </c>
      <c r="F20" s="524"/>
      <c r="G20" s="503" t="s">
        <v>1022</v>
      </c>
      <c r="H20" s="503" t="s">
        <v>1023</v>
      </c>
      <c r="I20" s="503" t="s">
        <v>1024</v>
      </c>
      <c r="J20" s="503" t="s">
        <v>1025</v>
      </c>
      <c r="K20" s="503" t="s">
        <v>1026</v>
      </c>
      <c r="L20" s="525">
        <v>2019</v>
      </c>
      <c r="M20" s="526"/>
      <c r="N20" s="526"/>
      <c r="O20" s="526"/>
      <c r="P20" s="525">
        <v>2020</v>
      </c>
      <c r="Q20" s="526"/>
      <c r="R20" s="526"/>
      <c r="S20" s="526"/>
      <c r="T20" s="525">
        <v>2021</v>
      </c>
      <c r="U20" s="526"/>
      <c r="V20" s="526"/>
      <c r="W20" s="526"/>
      <c r="X20" s="525">
        <v>2022</v>
      </c>
      <c r="Y20" s="526"/>
      <c r="Z20" s="526"/>
      <c r="AA20" s="526"/>
      <c r="AB20" s="525">
        <v>2023</v>
      </c>
      <c r="AC20" s="526"/>
      <c r="AD20" s="526"/>
      <c r="AE20" s="526"/>
      <c r="AF20" s="527" t="s">
        <v>192</v>
      </c>
      <c r="AG20" s="527"/>
      <c r="AH20" s="81"/>
      <c r="AI20" s="81"/>
      <c r="AJ20" s="81"/>
    </row>
    <row r="21" spans="1:36" ht="99.75" customHeight="1" x14ac:dyDescent="0.25">
      <c r="A21" s="504"/>
      <c r="B21" s="504"/>
      <c r="C21" s="523"/>
      <c r="D21" s="523"/>
      <c r="E21" s="524"/>
      <c r="F21" s="524"/>
      <c r="G21" s="504"/>
      <c r="H21" s="504"/>
      <c r="I21" s="504"/>
      <c r="J21" s="504"/>
      <c r="K21" s="504"/>
      <c r="L21" s="523" t="s">
        <v>1027</v>
      </c>
      <c r="M21" s="523"/>
      <c r="N21" s="523" t="s">
        <v>1028</v>
      </c>
      <c r="O21" s="523"/>
      <c r="P21" s="523" t="s">
        <v>1027</v>
      </c>
      <c r="Q21" s="523"/>
      <c r="R21" s="523" t="s">
        <v>1028</v>
      </c>
      <c r="S21" s="523"/>
      <c r="T21" s="523" t="s">
        <v>2</v>
      </c>
      <c r="U21" s="523"/>
      <c r="V21" s="523" t="s">
        <v>191</v>
      </c>
      <c r="W21" s="523"/>
      <c r="X21" s="523" t="s">
        <v>2</v>
      </c>
      <c r="Y21" s="523"/>
      <c r="Z21" s="523" t="s">
        <v>191</v>
      </c>
      <c r="AA21" s="523"/>
      <c r="AB21" s="523" t="s">
        <v>2</v>
      </c>
      <c r="AC21" s="523"/>
      <c r="AD21" s="523" t="s">
        <v>191</v>
      </c>
      <c r="AE21" s="523"/>
      <c r="AF21" s="527"/>
      <c r="AG21" s="527"/>
    </row>
    <row r="22" spans="1:36" ht="89.25" customHeight="1" x14ac:dyDescent="0.25">
      <c r="A22" s="505"/>
      <c r="B22" s="505"/>
      <c r="C22" s="390" t="s">
        <v>2</v>
      </c>
      <c r="D22" s="390" t="s">
        <v>191</v>
      </c>
      <c r="E22" s="80" t="s">
        <v>1029</v>
      </c>
      <c r="F22" s="80" t="s">
        <v>1029</v>
      </c>
      <c r="G22" s="505"/>
      <c r="H22" s="505"/>
      <c r="I22" s="505"/>
      <c r="J22" s="505"/>
      <c r="K22" s="505"/>
      <c r="L22" s="393" t="s">
        <v>487</v>
      </c>
      <c r="M22" s="393" t="s">
        <v>488</v>
      </c>
      <c r="N22" s="393" t="s">
        <v>487</v>
      </c>
      <c r="O22" s="393" t="s">
        <v>488</v>
      </c>
      <c r="P22" s="393" t="s">
        <v>487</v>
      </c>
      <c r="Q22" s="393" t="s">
        <v>488</v>
      </c>
      <c r="R22" s="393" t="s">
        <v>487</v>
      </c>
      <c r="S22" s="393" t="s">
        <v>488</v>
      </c>
      <c r="T22" s="393" t="s">
        <v>487</v>
      </c>
      <c r="U22" s="393" t="s">
        <v>488</v>
      </c>
      <c r="V22" s="393" t="s">
        <v>487</v>
      </c>
      <c r="W22" s="393" t="s">
        <v>488</v>
      </c>
      <c r="X22" s="393" t="s">
        <v>487</v>
      </c>
      <c r="Y22" s="393" t="s">
        <v>488</v>
      </c>
      <c r="Z22" s="393" t="s">
        <v>487</v>
      </c>
      <c r="AA22" s="393" t="s">
        <v>488</v>
      </c>
      <c r="AB22" s="393" t="s">
        <v>487</v>
      </c>
      <c r="AC22" s="393" t="s">
        <v>488</v>
      </c>
      <c r="AD22" s="393" t="s">
        <v>487</v>
      </c>
      <c r="AE22" s="393" t="s">
        <v>488</v>
      </c>
      <c r="AF22" s="390" t="s">
        <v>1027</v>
      </c>
      <c r="AG22" s="390" t="s">
        <v>1030</v>
      </c>
    </row>
    <row r="23" spans="1:36" ht="19.5" customHeight="1" x14ac:dyDescent="0.25">
      <c r="A23" s="394">
        <v>1</v>
      </c>
      <c r="B23" s="394">
        <v>2</v>
      </c>
      <c r="C23" s="394">
        <v>3</v>
      </c>
      <c r="D23" s="394">
        <v>4</v>
      </c>
      <c r="E23" s="394">
        <v>5</v>
      </c>
      <c r="F23" s="394">
        <v>6</v>
      </c>
      <c r="G23" s="394"/>
      <c r="H23" s="394"/>
      <c r="I23" s="394"/>
      <c r="J23" s="394">
        <v>16</v>
      </c>
      <c r="K23" s="394">
        <v>7</v>
      </c>
      <c r="L23" s="394">
        <v>8</v>
      </c>
      <c r="M23" s="394">
        <v>9</v>
      </c>
      <c r="N23" s="394">
        <v>10</v>
      </c>
      <c r="O23" s="394">
        <v>11</v>
      </c>
      <c r="P23" s="394">
        <v>12</v>
      </c>
      <c r="Q23" s="394">
        <v>13</v>
      </c>
      <c r="R23" s="394">
        <v>14</v>
      </c>
      <c r="S23" s="394">
        <v>15</v>
      </c>
      <c r="T23" s="394">
        <v>16</v>
      </c>
      <c r="U23" s="394">
        <v>17</v>
      </c>
      <c r="V23" s="394">
        <v>18</v>
      </c>
      <c r="W23" s="394">
        <v>19</v>
      </c>
      <c r="X23" s="394">
        <v>20</v>
      </c>
      <c r="Y23" s="394">
        <v>21</v>
      </c>
      <c r="Z23" s="394">
        <v>22</v>
      </c>
      <c r="AA23" s="394">
        <v>23</v>
      </c>
      <c r="AB23" s="394">
        <v>24</v>
      </c>
      <c r="AC23" s="394">
        <v>25</v>
      </c>
      <c r="AD23" s="394">
        <v>26</v>
      </c>
      <c r="AE23" s="394">
        <v>27</v>
      </c>
      <c r="AF23" s="394">
        <v>28</v>
      </c>
      <c r="AG23" s="394">
        <v>29</v>
      </c>
    </row>
    <row r="24" spans="1:36" ht="47.25" customHeight="1" x14ac:dyDescent="0.25">
      <c r="A24" s="395">
        <v>1</v>
      </c>
      <c r="B24" s="396" t="s">
        <v>190</v>
      </c>
      <c r="C24" s="397">
        <f>'6.2. Паспорт фин осв ввод факт'!C24</f>
        <v>2782.5947665186213</v>
      </c>
      <c r="D24" s="397">
        <f t="shared" ref="D24:K24" si="0">SUM(D25:D29)</f>
        <v>3261.6711119678193</v>
      </c>
      <c r="E24" s="397">
        <f t="shared" si="0"/>
        <v>3004.0913955578194</v>
      </c>
      <c r="F24" s="397">
        <f t="shared" si="0"/>
        <v>3004.0913955578194</v>
      </c>
      <c r="G24" s="397">
        <f t="shared" si="0"/>
        <v>214.07100596299384</v>
      </c>
      <c r="H24" s="397">
        <f t="shared" si="0"/>
        <v>198.20304209634003</v>
      </c>
      <c r="I24" s="397">
        <f t="shared" si="0"/>
        <v>385.94104976879993</v>
      </c>
      <c r="J24" s="397">
        <f t="shared" si="0"/>
        <v>1446.486918066043</v>
      </c>
      <c r="K24" s="397">
        <f t="shared" si="0"/>
        <v>1473.8482588084873</v>
      </c>
      <c r="L24" s="397">
        <f>'6.2. Паспорт фин осв ввод факт'!T24</f>
        <v>290.92493636682093</v>
      </c>
      <c r="M24" s="397">
        <f t="shared" ref="M24:AC24" si="1">SUM(M25:M29)</f>
        <v>0</v>
      </c>
      <c r="N24" s="397">
        <f t="shared" si="1"/>
        <v>331.23377596787441</v>
      </c>
      <c r="O24" s="397">
        <f t="shared" si="1"/>
        <v>0</v>
      </c>
      <c r="P24" s="397">
        <f>'6.2. Паспорт фин осв ввод факт'!X24</f>
        <v>279.64229999999935</v>
      </c>
      <c r="Q24" s="397">
        <f t="shared" si="1"/>
        <v>0</v>
      </c>
      <c r="R24" s="397">
        <f t="shared" si="1"/>
        <v>373.05</v>
      </c>
      <c r="S24" s="397">
        <f t="shared" si="1"/>
        <v>0</v>
      </c>
      <c r="T24" s="397">
        <f t="shared" si="1"/>
        <v>221.12055685572045</v>
      </c>
      <c r="U24" s="397">
        <f t="shared" si="1"/>
        <v>0</v>
      </c>
      <c r="V24" s="397" t="s">
        <v>605</v>
      </c>
      <c r="W24" s="397" t="s">
        <v>605</v>
      </c>
      <c r="X24" s="397">
        <f t="shared" si="1"/>
        <v>236</v>
      </c>
      <c r="Y24" s="397">
        <f t="shared" si="1"/>
        <v>0</v>
      </c>
      <c r="Z24" s="397" t="s">
        <v>605</v>
      </c>
      <c r="AA24" s="397" t="s">
        <v>605</v>
      </c>
      <c r="AB24" s="397">
        <f t="shared" si="1"/>
        <v>368.83880392573718</v>
      </c>
      <c r="AC24" s="397">
        <f t="shared" si="1"/>
        <v>0</v>
      </c>
      <c r="AD24" s="397" t="s">
        <v>605</v>
      </c>
      <c r="AE24" s="397" t="s">
        <v>605</v>
      </c>
      <c r="AF24" s="397">
        <f t="shared" ref="AF24:AF64" si="2">J24+L24+P24</f>
        <v>2017.0541544328632</v>
      </c>
      <c r="AG24" s="397">
        <f>N24+R24+T24+X24+AB24</f>
        <v>1530.2431367493321</v>
      </c>
      <c r="AI24" s="408"/>
    </row>
    <row r="25" spans="1:36" ht="24" customHeight="1" x14ac:dyDescent="0.25">
      <c r="A25" s="398" t="s">
        <v>189</v>
      </c>
      <c r="B25" s="399" t="s">
        <v>188</v>
      </c>
      <c r="C25" s="397">
        <f>'6.2. Паспорт фин осв ввод факт'!C25</f>
        <v>0</v>
      </c>
      <c r="D25" s="397">
        <f t="shared" ref="D25:D64" si="3">C25</f>
        <v>0</v>
      </c>
      <c r="E25" s="397">
        <v>0</v>
      </c>
      <c r="F25" s="397">
        <f t="shared" ref="F25:F64" si="4">E25</f>
        <v>0</v>
      </c>
      <c r="G25" s="400">
        <f>'6.2. Паспорт фин осв ввод факт'!G25</f>
        <v>0</v>
      </c>
      <c r="H25" s="400">
        <f>'6.2. Паспорт фин осв ввод факт'!J25</f>
        <v>0</v>
      </c>
      <c r="I25" s="400">
        <f>'6.2. Паспорт фин осв ввод факт'!N25</f>
        <v>0</v>
      </c>
      <c r="J25" s="400">
        <f>'6.2. Паспорт фин осв ввод факт'!P25</f>
        <v>0</v>
      </c>
      <c r="K25" s="400">
        <f t="shared" ref="K25:K64" si="5">J25</f>
        <v>0</v>
      </c>
      <c r="L25" s="400">
        <f>'6.2. Паспорт фин осв ввод факт'!T25</f>
        <v>0</v>
      </c>
      <c r="M25" s="400">
        <v>0</v>
      </c>
      <c r="N25" s="400">
        <v>0</v>
      </c>
      <c r="O25" s="400">
        <v>0</v>
      </c>
      <c r="P25" s="400">
        <f>'6.2. Паспорт фин осв ввод факт'!X25</f>
        <v>0</v>
      </c>
      <c r="Q25" s="400">
        <v>0</v>
      </c>
      <c r="R25" s="400">
        <v>0</v>
      </c>
      <c r="S25" s="400">
        <v>0</v>
      </c>
      <c r="T25" s="400">
        <v>0</v>
      </c>
      <c r="U25" s="400">
        <v>0</v>
      </c>
      <c r="V25" s="397" t="s">
        <v>605</v>
      </c>
      <c r="W25" s="397" t="s">
        <v>605</v>
      </c>
      <c r="X25" s="400">
        <v>0</v>
      </c>
      <c r="Y25" s="400">
        <v>0</v>
      </c>
      <c r="Z25" s="397" t="s">
        <v>605</v>
      </c>
      <c r="AA25" s="397" t="s">
        <v>605</v>
      </c>
      <c r="AB25" s="400">
        <v>0</v>
      </c>
      <c r="AC25" s="400">
        <v>0</v>
      </c>
      <c r="AD25" s="397" t="s">
        <v>605</v>
      </c>
      <c r="AE25" s="397" t="s">
        <v>605</v>
      </c>
      <c r="AF25" s="397">
        <f t="shared" si="2"/>
        <v>0</v>
      </c>
      <c r="AG25" s="397">
        <f t="shared" ref="AG25:AG64" si="6">N25+R25+T25+X25+AB25</f>
        <v>0</v>
      </c>
    </row>
    <row r="26" spans="1:36" x14ac:dyDescent="0.25">
      <c r="A26" s="398" t="s">
        <v>187</v>
      </c>
      <c r="B26" s="399" t="s">
        <v>186</v>
      </c>
      <c r="C26" s="397">
        <f>'6.2. Паспорт фин осв ввод факт'!C26</f>
        <v>0</v>
      </c>
      <c r="D26" s="397">
        <f t="shared" si="3"/>
        <v>0</v>
      </c>
      <c r="E26" s="397">
        <v>0</v>
      </c>
      <c r="F26" s="397">
        <f t="shared" si="4"/>
        <v>0</v>
      </c>
      <c r="G26" s="400">
        <f>'6.2. Паспорт фин осв ввод факт'!G26</f>
        <v>0</v>
      </c>
      <c r="H26" s="400">
        <f>'6.2. Паспорт фин осв ввод факт'!J26</f>
        <v>0</v>
      </c>
      <c r="I26" s="400">
        <f>'6.2. Паспорт фин осв ввод факт'!N26</f>
        <v>0</v>
      </c>
      <c r="J26" s="400">
        <f>'6.2. Паспорт фин осв ввод факт'!P26</f>
        <v>0</v>
      </c>
      <c r="K26" s="400">
        <f t="shared" si="5"/>
        <v>0</v>
      </c>
      <c r="L26" s="400">
        <f>'6.2. Паспорт фин осв ввод факт'!T26</f>
        <v>0</v>
      </c>
      <c r="M26" s="400">
        <v>0</v>
      </c>
      <c r="N26" s="400">
        <v>0</v>
      </c>
      <c r="O26" s="400">
        <v>0</v>
      </c>
      <c r="P26" s="400">
        <f>'6.2. Паспорт фин осв ввод факт'!X26</f>
        <v>0</v>
      </c>
      <c r="Q26" s="400">
        <v>0</v>
      </c>
      <c r="R26" s="400">
        <v>0</v>
      </c>
      <c r="S26" s="400">
        <v>0</v>
      </c>
      <c r="T26" s="400">
        <v>0</v>
      </c>
      <c r="U26" s="400">
        <v>0</v>
      </c>
      <c r="V26" s="397" t="s">
        <v>605</v>
      </c>
      <c r="W26" s="397" t="s">
        <v>605</v>
      </c>
      <c r="X26" s="400">
        <v>0</v>
      </c>
      <c r="Y26" s="400">
        <v>0</v>
      </c>
      <c r="Z26" s="397" t="s">
        <v>605</v>
      </c>
      <c r="AA26" s="397" t="s">
        <v>605</v>
      </c>
      <c r="AB26" s="400">
        <v>0</v>
      </c>
      <c r="AC26" s="400">
        <v>0</v>
      </c>
      <c r="AD26" s="397" t="s">
        <v>605</v>
      </c>
      <c r="AE26" s="397" t="s">
        <v>605</v>
      </c>
      <c r="AF26" s="397">
        <f t="shared" si="2"/>
        <v>0</v>
      </c>
      <c r="AG26" s="397">
        <f t="shared" si="6"/>
        <v>0</v>
      </c>
    </row>
    <row r="27" spans="1:36" ht="31.5" x14ac:dyDescent="0.25">
      <c r="A27" s="398" t="s">
        <v>185</v>
      </c>
      <c r="B27" s="399" t="s">
        <v>445</v>
      </c>
      <c r="C27" s="397">
        <f>'6.2. Паспорт фин осв ввод факт'!C27</f>
        <v>1101.5854849331768</v>
      </c>
      <c r="D27" s="397">
        <v>1635.6300548153752</v>
      </c>
      <c r="E27" s="397">
        <v>1635.6300548153752</v>
      </c>
      <c r="F27" s="397">
        <f t="shared" si="4"/>
        <v>1635.6300548153752</v>
      </c>
      <c r="G27" s="400">
        <f>'6.2. Паспорт фин осв ввод факт'!G27</f>
        <v>182.18138782499383</v>
      </c>
      <c r="H27" s="400">
        <f>'6.2. Паспорт фин осв ввод факт'!J27</f>
        <v>183.82801022634001</v>
      </c>
      <c r="I27" s="400">
        <f>'6.2. Паспорт фин осв ввод факт'!N27</f>
        <v>128.36133335879993</v>
      </c>
      <c r="J27" s="400">
        <f>'6.2. Паспорт фин осв ввод факт'!P27</f>
        <v>105.38691806604314</v>
      </c>
      <c r="K27" s="400">
        <v>105.38691806604312</v>
      </c>
      <c r="L27" s="400">
        <f>'6.2. Паспорт фин осв ввод факт'!T27</f>
        <v>290.92493636682093</v>
      </c>
      <c r="M27" s="400">
        <v>0</v>
      </c>
      <c r="N27" s="400">
        <v>331.23377596787441</v>
      </c>
      <c r="O27" s="400">
        <v>0</v>
      </c>
      <c r="P27" s="400">
        <f>'6.2. Паспорт фин осв ввод факт'!X27</f>
        <v>279.64229999999935</v>
      </c>
      <c r="Q27" s="400">
        <v>0</v>
      </c>
      <c r="R27" s="400">
        <v>373.05</v>
      </c>
      <c r="S27" s="400">
        <v>0</v>
      </c>
      <c r="T27" s="400">
        <v>221.12055685572045</v>
      </c>
      <c r="U27" s="400">
        <v>0</v>
      </c>
      <c r="V27" s="397" t="s">
        <v>605</v>
      </c>
      <c r="W27" s="397" t="s">
        <v>605</v>
      </c>
      <c r="X27" s="400">
        <v>236</v>
      </c>
      <c r="Y27" s="400">
        <v>0</v>
      </c>
      <c r="Z27" s="397" t="s">
        <v>605</v>
      </c>
      <c r="AA27" s="397" t="s">
        <v>605</v>
      </c>
      <c r="AB27" s="400">
        <v>368.83880392573718</v>
      </c>
      <c r="AC27" s="400">
        <v>0</v>
      </c>
      <c r="AD27" s="397" t="s">
        <v>605</v>
      </c>
      <c r="AE27" s="397" t="s">
        <v>605</v>
      </c>
      <c r="AF27" s="397">
        <f t="shared" si="2"/>
        <v>675.95415443286333</v>
      </c>
      <c r="AG27" s="397">
        <f t="shared" si="6"/>
        <v>1530.2431367493321</v>
      </c>
    </row>
    <row r="28" spans="1:36" x14ac:dyDescent="0.25">
      <c r="A28" s="398" t="s">
        <v>184</v>
      </c>
      <c r="B28" s="399" t="s">
        <v>550</v>
      </c>
      <c r="C28" s="397">
        <f>'6.2. Паспорт фин осв ввод факт'!C28</f>
        <v>31.889618137999992</v>
      </c>
      <c r="D28" s="397">
        <v>0</v>
      </c>
      <c r="E28" s="397">
        <v>0</v>
      </c>
      <c r="F28" s="397">
        <f t="shared" si="4"/>
        <v>0</v>
      </c>
      <c r="G28" s="400">
        <f>'6.2. Паспорт фин осв ввод факт'!G28</f>
        <v>31.889618137999992</v>
      </c>
      <c r="H28" s="400">
        <f>'6.2. Паспорт фин осв ввод факт'!J28</f>
        <v>0</v>
      </c>
      <c r="I28" s="400">
        <f>'6.2. Паспорт фин осв ввод факт'!N28</f>
        <v>0</v>
      </c>
      <c r="J28" s="400">
        <f>'6.2. Паспорт фин осв ввод факт'!P28</f>
        <v>0</v>
      </c>
      <c r="K28" s="400">
        <f t="shared" si="5"/>
        <v>0</v>
      </c>
      <c r="L28" s="400">
        <f>'6.2. Паспорт фин осв ввод факт'!T28</f>
        <v>0</v>
      </c>
      <c r="M28" s="400">
        <v>0</v>
      </c>
      <c r="N28" s="400">
        <v>0</v>
      </c>
      <c r="O28" s="400">
        <v>0</v>
      </c>
      <c r="P28" s="400">
        <f>'6.2. Паспорт фин осв ввод факт'!X28</f>
        <v>0</v>
      </c>
      <c r="Q28" s="400">
        <v>0</v>
      </c>
      <c r="R28" s="400">
        <v>0</v>
      </c>
      <c r="S28" s="400">
        <v>0</v>
      </c>
      <c r="T28" s="400">
        <v>0</v>
      </c>
      <c r="U28" s="400">
        <v>0</v>
      </c>
      <c r="V28" s="397" t="s">
        <v>605</v>
      </c>
      <c r="W28" s="397" t="s">
        <v>605</v>
      </c>
      <c r="X28" s="400">
        <v>0</v>
      </c>
      <c r="Y28" s="400">
        <v>0</v>
      </c>
      <c r="Z28" s="397" t="s">
        <v>605</v>
      </c>
      <c r="AA28" s="397" t="s">
        <v>605</v>
      </c>
      <c r="AB28" s="400">
        <v>0</v>
      </c>
      <c r="AC28" s="400">
        <v>0</v>
      </c>
      <c r="AD28" s="397" t="s">
        <v>605</v>
      </c>
      <c r="AE28" s="397" t="s">
        <v>605</v>
      </c>
      <c r="AF28" s="397">
        <f t="shared" si="2"/>
        <v>0</v>
      </c>
      <c r="AG28" s="397">
        <f t="shared" si="6"/>
        <v>0</v>
      </c>
    </row>
    <row r="29" spans="1:36" x14ac:dyDescent="0.25">
      <c r="A29" s="398" t="s">
        <v>183</v>
      </c>
      <c r="B29" s="79" t="s">
        <v>182</v>
      </c>
      <c r="C29" s="397">
        <f>'6.2. Паспорт фин осв ввод факт'!C29</f>
        <v>1649.1196634474443</v>
      </c>
      <c r="D29" s="397">
        <v>1626.0410571524442</v>
      </c>
      <c r="E29" s="397">
        <v>1368.4613407424442</v>
      </c>
      <c r="F29" s="397">
        <f t="shared" si="4"/>
        <v>1368.4613407424442</v>
      </c>
      <c r="G29" s="400">
        <f>'6.2. Паспорт фин осв ввод факт'!G29</f>
        <v>0</v>
      </c>
      <c r="H29" s="400">
        <f>'6.2. Паспорт фин осв ввод факт'!J29</f>
        <v>14.375031870000001</v>
      </c>
      <c r="I29" s="400">
        <f>'6.2. Паспорт фин осв ввод факт'!N29</f>
        <v>257.57971641</v>
      </c>
      <c r="J29" s="400">
        <f>'6.2. Паспорт фин осв ввод факт'!P29</f>
        <v>1341.1</v>
      </c>
      <c r="K29" s="400">
        <v>1368.4613407424442</v>
      </c>
      <c r="L29" s="400">
        <f>'6.2. Паспорт фин осв ввод факт'!T29</f>
        <v>0</v>
      </c>
      <c r="M29" s="400">
        <v>0</v>
      </c>
      <c r="N29" s="401">
        <v>0</v>
      </c>
      <c r="O29" s="400">
        <v>0</v>
      </c>
      <c r="P29" s="400">
        <f>'6.2. Паспорт фин осв ввод факт'!X29</f>
        <v>0</v>
      </c>
      <c r="Q29" s="400">
        <v>0</v>
      </c>
      <c r="R29" s="400">
        <v>0</v>
      </c>
      <c r="S29" s="400">
        <v>0</v>
      </c>
      <c r="T29" s="400">
        <v>0</v>
      </c>
      <c r="U29" s="400">
        <v>0</v>
      </c>
      <c r="V29" s="397" t="s">
        <v>605</v>
      </c>
      <c r="W29" s="397" t="s">
        <v>605</v>
      </c>
      <c r="X29" s="400">
        <v>0</v>
      </c>
      <c r="Y29" s="400">
        <v>0</v>
      </c>
      <c r="Z29" s="397" t="s">
        <v>605</v>
      </c>
      <c r="AA29" s="397" t="s">
        <v>605</v>
      </c>
      <c r="AB29" s="400">
        <v>0</v>
      </c>
      <c r="AC29" s="400">
        <v>0</v>
      </c>
      <c r="AD29" s="397" t="s">
        <v>605</v>
      </c>
      <c r="AE29" s="397" t="s">
        <v>605</v>
      </c>
      <c r="AF29" s="397">
        <f t="shared" si="2"/>
        <v>1341.1</v>
      </c>
      <c r="AG29" s="397">
        <f t="shared" si="6"/>
        <v>0</v>
      </c>
    </row>
    <row r="30" spans="1:36" s="311" customFormat="1" ht="47.25" x14ac:dyDescent="0.25">
      <c r="A30" s="395" t="s">
        <v>63</v>
      </c>
      <c r="B30" s="396" t="s">
        <v>181</v>
      </c>
      <c r="C30" s="397">
        <f>'6.2. Паспорт фин осв ввод факт'!C30</f>
        <v>2341.4176138048479</v>
      </c>
      <c r="D30" s="397">
        <v>2764.1280609896776</v>
      </c>
      <c r="E30" s="397">
        <v>2707.002241568322</v>
      </c>
      <c r="F30" s="397">
        <f t="shared" si="4"/>
        <v>2707.002241568322</v>
      </c>
      <c r="G30" s="397">
        <f>'6.2. Паспорт фин осв ввод факт'!G30</f>
        <v>272.77510098135599</v>
      </c>
      <c r="H30" s="397">
        <f>'6.2. Паспорт фин осв ввод факт'!J30</f>
        <v>144.50150764554201</v>
      </c>
      <c r="I30" s="397">
        <f>'6.2. Паспорт фин осв ввод факт'!N30</f>
        <v>124.250739212203</v>
      </c>
      <c r="J30" s="397">
        <f>'6.2. Паспорт фин осв ввод факт'!P30</f>
        <v>1311.6844203372682</v>
      </c>
      <c r="K30" s="397">
        <v>1407.8818798732379</v>
      </c>
      <c r="L30" s="397">
        <f>'6.2. Паспорт фин осв ввод факт'!T30</f>
        <v>191.81830340571278</v>
      </c>
      <c r="M30" s="397">
        <v>0</v>
      </c>
      <c r="N30" s="397">
        <v>282.70813391418733</v>
      </c>
      <c r="O30" s="397">
        <v>0</v>
      </c>
      <c r="P30" s="397">
        <f>'6.2. Паспорт фин осв ввод факт'!X30</f>
        <v>245</v>
      </c>
      <c r="Q30" s="397">
        <v>0</v>
      </c>
      <c r="R30" s="397">
        <v>323.77118644067798</v>
      </c>
      <c r="S30" s="397">
        <v>0</v>
      </c>
      <c r="T30" s="397">
        <v>180.06578377603432</v>
      </c>
      <c r="U30" s="397">
        <v>0</v>
      </c>
      <c r="V30" s="397" t="s">
        <v>605</v>
      </c>
      <c r="W30" s="397" t="s">
        <v>605</v>
      </c>
      <c r="X30" s="397">
        <v>200</v>
      </c>
      <c r="Y30" s="397">
        <v>0</v>
      </c>
      <c r="Z30" s="397" t="s">
        <v>605</v>
      </c>
      <c r="AA30" s="397" t="s">
        <v>605</v>
      </c>
      <c r="AB30" s="397">
        <v>312.57525756418408</v>
      </c>
      <c r="AC30" s="397">
        <v>0</v>
      </c>
      <c r="AD30" s="397" t="s">
        <v>605</v>
      </c>
      <c r="AE30" s="397" t="s">
        <v>605</v>
      </c>
      <c r="AF30" s="397">
        <f t="shared" si="2"/>
        <v>1748.5027237429811</v>
      </c>
      <c r="AG30" s="397">
        <f t="shared" si="6"/>
        <v>1299.1203616950838</v>
      </c>
    </row>
    <row r="31" spans="1:36" x14ac:dyDescent="0.25">
      <c r="A31" s="395" t="s">
        <v>180</v>
      </c>
      <c r="B31" s="399" t="s">
        <v>179</v>
      </c>
      <c r="C31" s="397">
        <f>'6.2. Паспорт фин осв ввод факт'!C31</f>
        <v>234.14176138048481</v>
      </c>
      <c r="D31" s="397">
        <v>276.41280609896779</v>
      </c>
      <c r="E31" s="397">
        <v>0</v>
      </c>
      <c r="F31" s="397">
        <f t="shared" si="4"/>
        <v>0</v>
      </c>
      <c r="G31" s="400">
        <f>'6.2. Паспорт фин осв ввод факт'!G31</f>
        <v>25.779768191355899</v>
      </c>
      <c r="H31" s="400">
        <f>'6.2. Паспорт фин осв ввод факт'!J31</f>
        <v>14.450150764554202</v>
      </c>
      <c r="I31" s="400">
        <f>'6.2. Паспорт фин осв ввод факт'!N31</f>
        <v>2.0802485169491525</v>
      </c>
      <c r="J31" s="400">
        <f>'6.2. Паспорт фин осв ввод факт'!P31</f>
        <v>131.16844203372682</v>
      </c>
      <c r="K31" s="400">
        <v>0</v>
      </c>
      <c r="L31" s="400">
        <v>0</v>
      </c>
      <c r="M31" s="400">
        <v>0</v>
      </c>
      <c r="N31" s="400">
        <v>0</v>
      </c>
      <c r="O31" s="400">
        <v>0</v>
      </c>
      <c r="P31" s="400">
        <v>0</v>
      </c>
      <c r="Q31" s="400">
        <v>0</v>
      </c>
      <c r="R31" s="400">
        <v>0</v>
      </c>
      <c r="S31" s="400">
        <v>0</v>
      </c>
      <c r="T31" s="400">
        <v>0</v>
      </c>
      <c r="U31" s="400">
        <v>0</v>
      </c>
      <c r="V31" s="397" t="s">
        <v>605</v>
      </c>
      <c r="W31" s="397" t="s">
        <v>605</v>
      </c>
      <c r="X31" s="400">
        <v>0</v>
      </c>
      <c r="Y31" s="400">
        <v>0</v>
      </c>
      <c r="Z31" s="397" t="s">
        <v>605</v>
      </c>
      <c r="AA31" s="397" t="s">
        <v>605</v>
      </c>
      <c r="AB31" s="400">
        <v>0</v>
      </c>
      <c r="AC31" s="400">
        <v>0</v>
      </c>
      <c r="AD31" s="397" t="s">
        <v>605</v>
      </c>
      <c r="AE31" s="397" t="s">
        <v>605</v>
      </c>
      <c r="AF31" s="397">
        <f t="shared" si="2"/>
        <v>131.16844203372682</v>
      </c>
      <c r="AG31" s="397">
        <f t="shared" si="6"/>
        <v>0</v>
      </c>
    </row>
    <row r="32" spans="1:36" ht="31.5" x14ac:dyDescent="0.25">
      <c r="A32" s="395" t="s">
        <v>178</v>
      </c>
      <c r="B32" s="399" t="s">
        <v>177</v>
      </c>
      <c r="C32" s="397">
        <f>'6.2. Паспорт фин осв ввод факт'!C32</f>
        <v>1475.0930966970541</v>
      </c>
      <c r="D32" s="397">
        <v>1741.4006784234969</v>
      </c>
      <c r="E32" s="397">
        <v>0</v>
      </c>
      <c r="F32" s="397">
        <f t="shared" si="4"/>
        <v>0</v>
      </c>
      <c r="G32" s="400">
        <f>'6.2. Паспорт фин осв ввод факт'!G32</f>
        <v>212.14420385</v>
      </c>
      <c r="H32" s="400">
        <f>'6.2. Паспорт фин осв ввод факт'!J32</f>
        <v>91.03594981669147</v>
      </c>
      <c r="I32" s="400">
        <f>'6.2. Паспорт фин осв ввод факт'!N32</f>
        <v>105.06707216000001</v>
      </c>
      <c r="J32" s="400">
        <f>'6.2. Паспорт фин осв ввод факт'!P32</f>
        <v>826.361184812479</v>
      </c>
      <c r="K32" s="400">
        <v>0</v>
      </c>
      <c r="L32" s="400">
        <v>0</v>
      </c>
      <c r="M32" s="400">
        <v>0</v>
      </c>
      <c r="N32" s="400">
        <v>0</v>
      </c>
      <c r="O32" s="400">
        <v>0</v>
      </c>
      <c r="P32" s="400">
        <v>0</v>
      </c>
      <c r="Q32" s="400">
        <v>0</v>
      </c>
      <c r="R32" s="400">
        <v>0</v>
      </c>
      <c r="S32" s="400">
        <v>0</v>
      </c>
      <c r="T32" s="400">
        <v>0</v>
      </c>
      <c r="U32" s="400">
        <v>0</v>
      </c>
      <c r="V32" s="397" t="s">
        <v>605</v>
      </c>
      <c r="W32" s="397" t="s">
        <v>605</v>
      </c>
      <c r="X32" s="400">
        <v>0</v>
      </c>
      <c r="Y32" s="400">
        <v>0</v>
      </c>
      <c r="Z32" s="397" t="s">
        <v>605</v>
      </c>
      <c r="AA32" s="397" t="s">
        <v>605</v>
      </c>
      <c r="AB32" s="400">
        <v>0</v>
      </c>
      <c r="AC32" s="400">
        <v>0</v>
      </c>
      <c r="AD32" s="397" t="s">
        <v>605</v>
      </c>
      <c r="AE32" s="397" t="s">
        <v>605</v>
      </c>
      <c r="AF32" s="397">
        <f t="shared" si="2"/>
        <v>826.361184812479</v>
      </c>
      <c r="AG32" s="397">
        <f t="shared" si="6"/>
        <v>0</v>
      </c>
    </row>
    <row r="33" spans="1:33" x14ac:dyDescent="0.25">
      <c r="A33" s="395" t="s">
        <v>176</v>
      </c>
      <c r="B33" s="399" t="s">
        <v>175</v>
      </c>
      <c r="C33" s="397">
        <f>'6.2. Паспорт фин осв ввод факт'!C33</f>
        <v>117.0708806902424</v>
      </c>
      <c r="D33" s="397">
        <v>138.2064030494839</v>
      </c>
      <c r="E33" s="397">
        <v>0</v>
      </c>
      <c r="F33" s="397">
        <f t="shared" si="4"/>
        <v>0</v>
      </c>
      <c r="G33" s="400">
        <f>'6.2. Паспорт фин осв ввод факт'!G33</f>
        <v>25.44293266</v>
      </c>
      <c r="H33" s="400">
        <f>'6.2. Паспорт фин осв ввод факт'!J33</f>
        <v>7.225075382277101</v>
      </c>
      <c r="I33" s="400">
        <f>'6.2. Паспорт фин осв ввод факт'!N33</f>
        <v>13.022344239999999</v>
      </c>
      <c r="J33" s="400">
        <f>'6.2. Паспорт фин осв ввод факт'!P33</f>
        <v>65.58422101686341</v>
      </c>
      <c r="K33" s="400">
        <v>0</v>
      </c>
      <c r="L33" s="400">
        <v>0</v>
      </c>
      <c r="M33" s="400">
        <v>0</v>
      </c>
      <c r="N33" s="400">
        <v>0</v>
      </c>
      <c r="O33" s="400">
        <v>0</v>
      </c>
      <c r="P33" s="400">
        <v>0</v>
      </c>
      <c r="Q33" s="400">
        <v>0</v>
      </c>
      <c r="R33" s="400">
        <v>0</v>
      </c>
      <c r="S33" s="400">
        <v>0</v>
      </c>
      <c r="T33" s="400">
        <v>0</v>
      </c>
      <c r="U33" s="400">
        <v>0</v>
      </c>
      <c r="V33" s="397" t="s">
        <v>605</v>
      </c>
      <c r="W33" s="397" t="s">
        <v>605</v>
      </c>
      <c r="X33" s="400">
        <v>0</v>
      </c>
      <c r="Y33" s="400">
        <v>0</v>
      </c>
      <c r="Z33" s="397" t="s">
        <v>605</v>
      </c>
      <c r="AA33" s="397" t="s">
        <v>605</v>
      </c>
      <c r="AB33" s="400">
        <v>0</v>
      </c>
      <c r="AC33" s="400">
        <v>0</v>
      </c>
      <c r="AD33" s="397" t="s">
        <v>605</v>
      </c>
      <c r="AE33" s="397" t="s">
        <v>605</v>
      </c>
      <c r="AF33" s="397">
        <f t="shared" si="2"/>
        <v>65.58422101686341</v>
      </c>
      <c r="AG33" s="397">
        <f t="shared" si="6"/>
        <v>0</v>
      </c>
    </row>
    <row r="34" spans="1:33" x14ac:dyDescent="0.25">
      <c r="A34" s="395" t="s">
        <v>174</v>
      </c>
      <c r="B34" s="399" t="s">
        <v>173</v>
      </c>
      <c r="C34" s="397">
        <f>'6.2. Паспорт фин осв ввод факт'!C34</f>
        <v>515.11187503706651</v>
      </c>
      <c r="D34" s="397">
        <v>608.10817341772906</v>
      </c>
      <c r="E34" s="397">
        <v>0</v>
      </c>
      <c r="F34" s="397">
        <f t="shared" si="4"/>
        <v>0</v>
      </c>
      <c r="G34" s="400">
        <f>'6.2. Паспорт фин осв ввод факт'!G34</f>
        <v>9.4081962800000003</v>
      </c>
      <c r="H34" s="400">
        <f>'6.2. Паспорт фин осв ввод факт'!J34</f>
        <v>31.790331682019243</v>
      </c>
      <c r="I34" s="400">
        <f>'6.2. Паспорт фин осв ввод факт'!N34</f>
        <v>4.0810742952542371</v>
      </c>
      <c r="J34" s="400">
        <f>'6.2. Паспорт фин осв ввод факт'!P34</f>
        <v>288.57057247419903</v>
      </c>
      <c r="K34" s="400">
        <v>0</v>
      </c>
      <c r="L34" s="400">
        <v>0</v>
      </c>
      <c r="M34" s="400">
        <v>0</v>
      </c>
      <c r="N34" s="400">
        <v>0</v>
      </c>
      <c r="O34" s="400">
        <v>0</v>
      </c>
      <c r="P34" s="400">
        <v>0</v>
      </c>
      <c r="Q34" s="400">
        <v>0</v>
      </c>
      <c r="R34" s="400">
        <v>0</v>
      </c>
      <c r="S34" s="400">
        <v>0</v>
      </c>
      <c r="T34" s="400">
        <v>0</v>
      </c>
      <c r="U34" s="400">
        <v>0</v>
      </c>
      <c r="V34" s="397" t="s">
        <v>605</v>
      </c>
      <c r="W34" s="397" t="s">
        <v>605</v>
      </c>
      <c r="X34" s="400">
        <v>0</v>
      </c>
      <c r="Y34" s="400">
        <v>0</v>
      </c>
      <c r="Z34" s="397" t="s">
        <v>605</v>
      </c>
      <c r="AA34" s="397" t="s">
        <v>605</v>
      </c>
      <c r="AB34" s="400">
        <v>0</v>
      </c>
      <c r="AC34" s="400">
        <v>0</v>
      </c>
      <c r="AD34" s="397" t="s">
        <v>605</v>
      </c>
      <c r="AE34" s="397" t="s">
        <v>605</v>
      </c>
      <c r="AF34" s="397">
        <f t="shared" si="2"/>
        <v>288.57057247419903</v>
      </c>
      <c r="AG34" s="397">
        <f t="shared" si="6"/>
        <v>0</v>
      </c>
    </row>
    <row r="35" spans="1:33" s="311" customFormat="1" ht="31.5" x14ac:dyDescent="0.25">
      <c r="A35" s="395" t="s">
        <v>62</v>
      </c>
      <c r="B35" s="396" t="s">
        <v>172</v>
      </c>
      <c r="C35" s="397">
        <f>'6.2. Паспорт фин осв ввод факт'!C35</f>
        <v>0</v>
      </c>
      <c r="D35" s="397">
        <f t="shared" si="3"/>
        <v>0</v>
      </c>
      <c r="E35" s="397">
        <f t="shared" ref="E35:E58" si="7">D35-G35-H35-I35</f>
        <v>0</v>
      </c>
      <c r="F35" s="397">
        <f t="shared" si="4"/>
        <v>0</v>
      </c>
      <c r="G35" s="397">
        <f>'6.2. Паспорт фин осв ввод факт'!G35</f>
        <v>0</v>
      </c>
      <c r="H35" s="397">
        <f>'6.2. Паспорт фин осв ввод факт'!J35</f>
        <v>0</v>
      </c>
      <c r="I35" s="397">
        <f>'6.2. Паспорт фин осв ввод факт'!N35</f>
        <v>0</v>
      </c>
      <c r="J35" s="397">
        <f>'6.2. Паспорт фин осв ввод факт'!P35</f>
        <v>0</v>
      </c>
      <c r="K35" s="397">
        <f t="shared" si="5"/>
        <v>0</v>
      </c>
      <c r="L35" s="397">
        <f>'6.2. Паспорт фин осв ввод факт'!T35</f>
        <v>0</v>
      </c>
      <c r="M35" s="397">
        <v>0</v>
      </c>
      <c r="N35" s="397">
        <v>0</v>
      </c>
      <c r="O35" s="397">
        <v>0</v>
      </c>
      <c r="P35" s="397">
        <f>'6.2. Паспорт фин осв ввод факт'!X35</f>
        <v>0</v>
      </c>
      <c r="Q35" s="397">
        <v>0</v>
      </c>
      <c r="R35" s="397">
        <v>0</v>
      </c>
      <c r="S35" s="397">
        <v>0</v>
      </c>
      <c r="T35" s="397">
        <v>0</v>
      </c>
      <c r="U35" s="397">
        <v>0</v>
      </c>
      <c r="V35" s="397" t="s">
        <v>605</v>
      </c>
      <c r="W35" s="397" t="s">
        <v>605</v>
      </c>
      <c r="X35" s="397">
        <v>0</v>
      </c>
      <c r="Y35" s="397">
        <v>0</v>
      </c>
      <c r="Z35" s="397" t="s">
        <v>605</v>
      </c>
      <c r="AA35" s="397" t="s">
        <v>605</v>
      </c>
      <c r="AB35" s="397">
        <v>0</v>
      </c>
      <c r="AC35" s="397">
        <v>0</v>
      </c>
      <c r="AD35" s="397" t="s">
        <v>605</v>
      </c>
      <c r="AE35" s="397" t="s">
        <v>605</v>
      </c>
      <c r="AF35" s="397">
        <f t="shared" si="2"/>
        <v>0</v>
      </c>
      <c r="AG35" s="397">
        <f t="shared" si="6"/>
        <v>0</v>
      </c>
    </row>
    <row r="36" spans="1:33" ht="31.5" x14ac:dyDescent="0.25">
      <c r="A36" s="398" t="s">
        <v>171</v>
      </c>
      <c r="B36" s="402" t="s">
        <v>170</v>
      </c>
      <c r="C36" s="397">
        <f>'6.2. Паспорт фин осв ввод факт'!C36</f>
        <v>0</v>
      </c>
      <c r="D36" s="397">
        <f t="shared" si="3"/>
        <v>0</v>
      </c>
      <c r="E36" s="397">
        <f t="shared" si="7"/>
        <v>0</v>
      </c>
      <c r="F36" s="397">
        <f t="shared" si="4"/>
        <v>0</v>
      </c>
      <c r="G36" s="400">
        <f>'6.2. Паспорт фин осв ввод факт'!G36</f>
        <v>0</v>
      </c>
      <c r="H36" s="400">
        <f>'6.2. Паспорт фин осв ввод факт'!J36</f>
        <v>0</v>
      </c>
      <c r="I36" s="400">
        <f>'6.2. Паспорт фин осв ввод факт'!N36</f>
        <v>0</v>
      </c>
      <c r="J36" s="400">
        <f>'6.2. Паспорт фин осв ввод факт'!P36</f>
        <v>0</v>
      </c>
      <c r="K36" s="400">
        <f t="shared" si="5"/>
        <v>0</v>
      </c>
      <c r="L36" s="400">
        <f>'6.2. Паспорт фин осв ввод факт'!T36</f>
        <v>0</v>
      </c>
      <c r="M36" s="400">
        <v>0</v>
      </c>
      <c r="N36" s="403">
        <v>0</v>
      </c>
      <c r="O36" s="400">
        <v>0</v>
      </c>
      <c r="P36" s="400">
        <f>'6.2. Паспорт фин осв ввод факт'!X36</f>
        <v>0</v>
      </c>
      <c r="Q36" s="400">
        <v>0</v>
      </c>
      <c r="R36" s="400">
        <v>0</v>
      </c>
      <c r="S36" s="400">
        <v>0</v>
      </c>
      <c r="T36" s="400">
        <v>0</v>
      </c>
      <c r="U36" s="400">
        <v>0</v>
      </c>
      <c r="V36" s="397" t="s">
        <v>605</v>
      </c>
      <c r="W36" s="397" t="s">
        <v>605</v>
      </c>
      <c r="X36" s="400">
        <v>0</v>
      </c>
      <c r="Y36" s="400">
        <v>0</v>
      </c>
      <c r="Z36" s="397" t="s">
        <v>605</v>
      </c>
      <c r="AA36" s="397" t="s">
        <v>605</v>
      </c>
      <c r="AB36" s="400">
        <v>0</v>
      </c>
      <c r="AC36" s="400">
        <v>0</v>
      </c>
      <c r="AD36" s="397" t="s">
        <v>605</v>
      </c>
      <c r="AE36" s="397" t="s">
        <v>605</v>
      </c>
      <c r="AF36" s="397">
        <f t="shared" si="2"/>
        <v>0</v>
      </c>
      <c r="AG36" s="397">
        <f t="shared" si="6"/>
        <v>0</v>
      </c>
    </row>
    <row r="37" spans="1:33" x14ac:dyDescent="0.25">
      <c r="A37" s="398" t="s">
        <v>169</v>
      </c>
      <c r="B37" s="402" t="s">
        <v>159</v>
      </c>
      <c r="C37" s="397">
        <f>'6.2. Паспорт фин осв ввод факт'!C37</f>
        <v>111.4346508939647</v>
      </c>
      <c r="D37" s="397">
        <v>122.35461800373261</v>
      </c>
      <c r="E37" s="397">
        <v>121.95461800373259</v>
      </c>
      <c r="F37" s="397">
        <f t="shared" si="4"/>
        <v>121.95461800373259</v>
      </c>
      <c r="G37" s="400">
        <f>'6.2. Паспорт фин осв ввод факт'!G37</f>
        <v>6.9479999999999986</v>
      </c>
      <c r="H37" s="400">
        <f>'6.2. Паспорт фин осв ввод факт'!J37</f>
        <v>3.4610000000000007</v>
      </c>
      <c r="I37" s="400">
        <f>'6.2. Паспорт фин осв ввод факт'!N37</f>
        <v>5.84</v>
      </c>
      <c r="J37" s="400">
        <f>'6.2. Паспорт фин осв ввод факт'!P37</f>
        <v>20.373547647507614</v>
      </c>
      <c r="K37" s="400">
        <v>61.415828067042128</v>
      </c>
      <c r="L37" s="400">
        <f>'6.2. Паспорт фин осв ввод факт'!T37</f>
        <v>12.987603453327395</v>
      </c>
      <c r="M37" s="400">
        <v>0</v>
      </c>
      <c r="N37" s="403">
        <v>12.987603453327395</v>
      </c>
      <c r="O37" s="400">
        <v>0</v>
      </c>
      <c r="P37" s="400">
        <f>'6.2. Паспорт фин осв ввод факт'!X37</f>
        <v>13.64881694285606</v>
      </c>
      <c r="Q37" s="400">
        <v>0</v>
      </c>
      <c r="R37" s="403">
        <f t="shared" ref="R37:R41" si="8">P37</f>
        <v>13.64881694285606</v>
      </c>
      <c r="S37" s="400">
        <v>0</v>
      </c>
      <c r="T37" s="400">
        <v>9.2923109045705896</v>
      </c>
      <c r="U37" s="400">
        <v>0</v>
      </c>
      <c r="V37" s="397" t="s">
        <v>605</v>
      </c>
      <c r="W37" s="397" t="s">
        <v>605</v>
      </c>
      <c r="X37" s="400">
        <v>9.86712994148556</v>
      </c>
      <c r="Y37" s="400">
        <v>0</v>
      </c>
      <c r="Z37" s="397" t="s">
        <v>605</v>
      </c>
      <c r="AA37" s="397" t="s">
        <v>605</v>
      </c>
      <c r="AB37" s="400">
        <v>14.742928694450868</v>
      </c>
      <c r="AC37" s="400">
        <v>0</v>
      </c>
      <c r="AD37" s="397" t="s">
        <v>605</v>
      </c>
      <c r="AE37" s="397" t="s">
        <v>605</v>
      </c>
      <c r="AF37" s="397">
        <f t="shared" si="2"/>
        <v>47.009968043691067</v>
      </c>
      <c r="AG37" s="397">
        <f t="shared" si="6"/>
        <v>60.53878993669047</v>
      </c>
    </row>
    <row r="38" spans="1:33" x14ac:dyDescent="0.25">
      <c r="A38" s="398" t="s">
        <v>168</v>
      </c>
      <c r="B38" s="402" t="s">
        <v>157</v>
      </c>
      <c r="C38" s="397">
        <f>'6.2. Паспорт фин осв ввод факт'!C38</f>
        <v>0</v>
      </c>
      <c r="D38" s="397">
        <v>0</v>
      </c>
      <c r="E38" s="397">
        <v>0</v>
      </c>
      <c r="F38" s="397">
        <f t="shared" si="4"/>
        <v>0</v>
      </c>
      <c r="G38" s="400">
        <f>'6.2. Паспорт фин осв ввод факт'!G38</f>
        <v>0</v>
      </c>
      <c r="H38" s="400">
        <f>'6.2. Паспорт фин осв ввод факт'!J38</f>
        <v>0</v>
      </c>
      <c r="I38" s="400">
        <f>'6.2. Паспорт фин осв ввод факт'!N38</f>
        <v>0</v>
      </c>
      <c r="J38" s="400">
        <f>'6.2. Паспорт фин осв ввод факт'!P38</f>
        <v>0</v>
      </c>
      <c r="K38" s="400">
        <v>0</v>
      </c>
      <c r="L38" s="400">
        <f>'6.2. Паспорт фин осв ввод факт'!T38</f>
        <v>0</v>
      </c>
      <c r="M38" s="400">
        <v>0</v>
      </c>
      <c r="N38" s="403">
        <v>0</v>
      </c>
      <c r="O38" s="400">
        <v>0</v>
      </c>
      <c r="P38" s="400">
        <f>'6.2. Паспорт фин осв ввод факт'!X38</f>
        <v>0</v>
      </c>
      <c r="Q38" s="400">
        <v>0</v>
      </c>
      <c r="R38" s="403">
        <f t="shared" si="8"/>
        <v>0</v>
      </c>
      <c r="S38" s="400">
        <v>0</v>
      </c>
      <c r="T38" s="400">
        <v>0</v>
      </c>
      <c r="U38" s="400">
        <v>0</v>
      </c>
      <c r="V38" s="397" t="s">
        <v>605</v>
      </c>
      <c r="W38" s="397" t="s">
        <v>605</v>
      </c>
      <c r="X38" s="400">
        <v>0</v>
      </c>
      <c r="Y38" s="400">
        <v>0</v>
      </c>
      <c r="Z38" s="397" t="s">
        <v>605</v>
      </c>
      <c r="AA38" s="397" t="s">
        <v>605</v>
      </c>
      <c r="AB38" s="400">
        <v>0</v>
      </c>
      <c r="AC38" s="400">
        <v>0</v>
      </c>
      <c r="AD38" s="397" t="s">
        <v>605</v>
      </c>
      <c r="AE38" s="397" t="s">
        <v>605</v>
      </c>
      <c r="AF38" s="397">
        <f t="shared" si="2"/>
        <v>0</v>
      </c>
      <c r="AG38" s="397">
        <f t="shared" si="6"/>
        <v>0</v>
      </c>
    </row>
    <row r="39" spans="1:33" ht="31.5" x14ac:dyDescent="0.25">
      <c r="A39" s="398" t="s">
        <v>167</v>
      </c>
      <c r="B39" s="399" t="s">
        <v>155</v>
      </c>
      <c r="C39" s="397">
        <f>'6.2. Паспорт фин осв ввод факт'!C39</f>
        <v>442.98777231566805</v>
      </c>
      <c r="D39" s="397">
        <v>417.83241926865827</v>
      </c>
      <c r="E39" s="397">
        <v>415.20441926865823</v>
      </c>
      <c r="F39" s="397">
        <f t="shared" si="4"/>
        <v>415.20441926865823</v>
      </c>
      <c r="G39" s="400">
        <f>'6.2. Паспорт фин осв ввод факт'!G39</f>
        <v>64.300320000000013</v>
      </c>
      <c r="H39" s="400">
        <f>'6.2. Паспорт фин осв ввод факт'!J39</f>
        <v>43.102800000000009</v>
      </c>
      <c r="I39" s="400">
        <f>'6.2. Паспорт фин осв ввод факт'!N39</f>
        <v>89.982000000000014</v>
      </c>
      <c r="J39" s="400">
        <f>'6.2. Паспорт фин осв ввод факт'!P39</f>
        <v>336.45601835491459</v>
      </c>
      <c r="K39" s="400">
        <v>339.65200942766853</v>
      </c>
      <c r="L39" s="400">
        <f>'6.2. Паспорт фин осв ввод факт'!T39</f>
        <v>16.208529109752586</v>
      </c>
      <c r="M39" s="400">
        <v>0</v>
      </c>
      <c r="N39" s="400">
        <v>16.208529109752586</v>
      </c>
      <c r="O39" s="400">
        <v>0</v>
      </c>
      <c r="P39" s="400">
        <f>'6.2. Паспорт фин осв ввод факт'!X39</f>
        <v>17.033723544684364</v>
      </c>
      <c r="Q39" s="400">
        <v>0</v>
      </c>
      <c r="R39" s="403">
        <f t="shared" si="8"/>
        <v>17.033723544684364</v>
      </c>
      <c r="S39" s="400">
        <v>0</v>
      </c>
      <c r="T39" s="400">
        <v>11.596804008904096</v>
      </c>
      <c r="U39" s="400">
        <v>0</v>
      </c>
      <c r="V39" s="397" t="s">
        <v>605</v>
      </c>
      <c r="W39" s="397" t="s">
        <v>605</v>
      </c>
      <c r="X39" s="400">
        <v>12.31417816697398</v>
      </c>
      <c r="Y39" s="400">
        <v>0</v>
      </c>
      <c r="Z39" s="397" t="s">
        <v>605</v>
      </c>
      <c r="AA39" s="397" t="s">
        <v>605</v>
      </c>
      <c r="AB39" s="400">
        <v>18.399175010674686</v>
      </c>
      <c r="AC39" s="400">
        <v>0</v>
      </c>
      <c r="AD39" s="397" t="s">
        <v>605</v>
      </c>
      <c r="AE39" s="397" t="s">
        <v>605</v>
      </c>
      <c r="AF39" s="397">
        <f t="shared" si="2"/>
        <v>369.69827100935152</v>
      </c>
      <c r="AG39" s="397">
        <f t="shared" si="6"/>
        <v>75.552409840989711</v>
      </c>
    </row>
    <row r="40" spans="1:33" ht="31.5" x14ac:dyDescent="0.25">
      <c r="A40" s="398" t="s">
        <v>166</v>
      </c>
      <c r="B40" s="399" t="s">
        <v>153</v>
      </c>
      <c r="C40" s="397">
        <f>'6.2. Паспорт фин осв ввод факт'!C40</f>
        <v>110.74694307891701</v>
      </c>
      <c r="D40" s="397">
        <v>104.45810481716457</v>
      </c>
      <c r="E40" s="397">
        <v>103.80110481716456</v>
      </c>
      <c r="F40" s="397">
        <f t="shared" si="4"/>
        <v>103.80110481716456</v>
      </c>
      <c r="G40" s="400">
        <f>'6.2. Паспорт фин осв ввод факт'!G40</f>
        <v>16.075080000000003</v>
      </c>
      <c r="H40" s="400">
        <f>'6.2. Паспорт фин осв ввод факт'!J40</f>
        <v>10.775700000000002</v>
      </c>
      <c r="I40" s="400">
        <f>'6.2. Паспорт фин осв ввод факт'!N40</f>
        <v>0</v>
      </c>
      <c r="J40" s="400">
        <f>'6.2. Паспорт фин осв ввод факт'!P40</f>
        <v>84.114004588728648</v>
      </c>
      <c r="K40" s="400">
        <v>84.913002356917133</v>
      </c>
      <c r="L40" s="400">
        <f>'6.2. Паспорт фин осв ввод факт'!T40</f>
        <v>4.0521322774381465</v>
      </c>
      <c r="M40" s="400">
        <v>0</v>
      </c>
      <c r="N40" s="400">
        <v>4.0521322774381465</v>
      </c>
      <c r="O40" s="400">
        <v>0</v>
      </c>
      <c r="P40" s="400">
        <f>'6.2. Паспорт фин осв ввод факт'!X40</f>
        <v>4.2584308861710909</v>
      </c>
      <c r="Q40" s="400">
        <v>0</v>
      </c>
      <c r="R40" s="403">
        <f t="shared" si="8"/>
        <v>4.2584308861710909</v>
      </c>
      <c r="S40" s="400">
        <v>0</v>
      </c>
      <c r="T40" s="400">
        <v>2.8992010022260239</v>
      </c>
      <c r="U40" s="400">
        <v>0</v>
      </c>
      <c r="V40" s="397" t="s">
        <v>605</v>
      </c>
      <c r="W40" s="397" t="s">
        <v>605</v>
      </c>
      <c r="X40" s="400">
        <v>3.0785445417434949</v>
      </c>
      <c r="Y40" s="400">
        <v>0</v>
      </c>
      <c r="Z40" s="397" t="s">
        <v>605</v>
      </c>
      <c r="AA40" s="397" t="s">
        <v>605</v>
      </c>
      <c r="AB40" s="400">
        <v>4.5997937526686714</v>
      </c>
      <c r="AC40" s="400">
        <v>0</v>
      </c>
      <c r="AD40" s="397" t="s">
        <v>605</v>
      </c>
      <c r="AE40" s="397" t="s">
        <v>605</v>
      </c>
      <c r="AF40" s="397">
        <f t="shared" si="2"/>
        <v>92.424567752337879</v>
      </c>
      <c r="AG40" s="397">
        <f t="shared" si="6"/>
        <v>18.888102460247428</v>
      </c>
    </row>
    <row r="41" spans="1:33" x14ac:dyDescent="0.25">
      <c r="A41" s="398" t="s">
        <v>165</v>
      </c>
      <c r="B41" s="399" t="s">
        <v>151</v>
      </c>
      <c r="C41" s="397">
        <f>'6.2. Паспорт фин осв ввод факт'!C41</f>
        <v>369.15647692972334</v>
      </c>
      <c r="D41" s="397">
        <v>348.19368272388192</v>
      </c>
      <c r="E41" s="397">
        <v>346.00368272388187</v>
      </c>
      <c r="F41" s="397">
        <f t="shared" si="4"/>
        <v>346.00368272388187</v>
      </c>
      <c r="G41" s="400">
        <f>'6.2. Паспорт фин осв ввод факт'!G41</f>
        <v>53.583600000000018</v>
      </c>
      <c r="H41" s="400">
        <f>'6.2. Паспорт фин осв ввод факт'!J41</f>
        <v>35.919000000000004</v>
      </c>
      <c r="I41" s="400">
        <f>'6.2. Паспорт фин осв ввод факт'!N41</f>
        <v>9.375</v>
      </c>
      <c r="J41" s="400">
        <f>'6.2. Паспорт фин осв ввод факт'!P41</f>
        <v>280.38001529576212</v>
      </c>
      <c r="K41" s="400">
        <v>283.04334118972378</v>
      </c>
      <c r="L41" s="400">
        <f>'6.2. Паспорт фин осв ввод факт'!T41</f>
        <v>13.507107591460491</v>
      </c>
      <c r="M41" s="400">
        <v>0</v>
      </c>
      <c r="N41" s="400">
        <v>13.507107591460489</v>
      </c>
      <c r="O41" s="400">
        <v>0</v>
      </c>
      <c r="P41" s="400">
        <f>'6.2. Паспорт фин осв ввод факт'!X41</f>
        <v>14.194769620570305</v>
      </c>
      <c r="Q41" s="400">
        <v>0</v>
      </c>
      <c r="R41" s="403">
        <f t="shared" si="8"/>
        <v>14.194769620570305</v>
      </c>
      <c r="S41" s="400">
        <v>0</v>
      </c>
      <c r="T41" s="400">
        <v>9.6640033407534141</v>
      </c>
      <c r="U41" s="400">
        <v>0</v>
      </c>
      <c r="V41" s="397" t="s">
        <v>605</v>
      </c>
      <c r="W41" s="397" t="s">
        <v>605</v>
      </c>
      <c r="X41" s="400">
        <v>10.261815139144982</v>
      </c>
      <c r="Y41" s="400">
        <v>0</v>
      </c>
      <c r="Z41" s="397" t="s">
        <v>605</v>
      </c>
      <c r="AA41" s="397" t="s">
        <v>605</v>
      </c>
      <c r="AB41" s="400">
        <v>15.332645842228903</v>
      </c>
      <c r="AC41" s="400">
        <v>0</v>
      </c>
      <c r="AD41" s="397" t="s">
        <v>605</v>
      </c>
      <c r="AE41" s="397" t="s">
        <v>605</v>
      </c>
      <c r="AF41" s="397">
        <f t="shared" si="2"/>
        <v>308.08189250779293</v>
      </c>
      <c r="AG41" s="397">
        <f t="shared" si="6"/>
        <v>62.96034153415809</v>
      </c>
    </row>
    <row r="42" spans="1:33" ht="18.75" x14ac:dyDescent="0.25">
      <c r="A42" s="398" t="s">
        <v>164</v>
      </c>
      <c r="B42" s="402" t="s">
        <v>1031</v>
      </c>
      <c r="C42" s="397">
        <f>'6.2. Паспорт фин осв ввод факт'!C42</f>
        <v>0</v>
      </c>
      <c r="D42" s="397">
        <f t="shared" si="3"/>
        <v>0</v>
      </c>
      <c r="E42" s="397">
        <f t="shared" si="7"/>
        <v>0</v>
      </c>
      <c r="F42" s="397">
        <f t="shared" si="4"/>
        <v>0</v>
      </c>
      <c r="G42" s="400">
        <f>'6.2. Паспорт фин осв ввод факт'!G42</f>
        <v>0</v>
      </c>
      <c r="H42" s="400">
        <f>'6.2. Паспорт фин осв ввод факт'!J42</f>
        <v>0</v>
      </c>
      <c r="I42" s="400">
        <f>'6.2. Паспорт фин осв ввод факт'!N42</f>
        <v>0</v>
      </c>
      <c r="J42" s="400">
        <f>'6.2. Паспорт фин осв ввод факт'!P42</f>
        <v>0</v>
      </c>
      <c r="K42" s="400">
        <v>0</v>
      </c>
      <c r="L42" s="400">
        <f>'6.2. Паспорт фин осв ввод факт'!T42</f>
        <v>0</v>
      </c>
      <c r="M42" s="400">
        <v>0</v>
      </c>
      <c r="N42" s="403">
        <v>0</v>
      </c>
      <c r="O42" s="400">
        <v>0</v>
      </c>
      <c r="P42" s="400">
        <f>'6.2. Паспорт фин осв ввод факт'!X42</f>
        <v>0</v>
      </c>
      <c r="Q42" s="400">
        <v>0</v>
      </c>
      <c r="R42" s="400">
        <v>0</v>
      </c>
      <c r="S42" s="400">
        <v>0</v>
      </c>
      <c r="T42" s="400">
        <v>0</v>
      </c>
      <c r="U42" s="400">
        <v>0</v>
      </c>
      <c r="V42" s="397" t="s">
        <v>605</v>
      </c>
      <c r="W42" s="397" t="s">
        <v>605</v>
      </c>
      <c r="X42" s="400">
        <v>0</v>
      </c>
      <c r="Y42" s="400">
        <v>0</v>
      </c>
      <c r="Z42" s="397" t="s">
        <v>605</v>
      </c>
      <c r="AA42" s="397" t="s">
        <v>605</v>
      </c>
      <c r="AB42" s="400">
        <v>0</v>
      </c>
      <c r="AC42" s="400">
        <v>0</v>
      </c>
      <c r="AD42" s="397" t="s">
        <v>605</v>
      </c>
      <c r="AE42" s="397" t="s">
        <v>605</v>
      </c>
      <c r="AF42" s="397">
        <f t="shared" si="2"/>
        <v>0</v>
      </c>
      <c r="AG42" s="397">
        <f t="shared" si="6"/>
        <v>0</v>
      </c>
    </row>
    <row r="43" spans="1:33" s="311" customFormat="1" x14ac:dyDescent="0.25">
      <c r="A43" s="395" t="s">
        <v>61</v>
      </c>
      <c r="B43" s="396" t="s">
        <v>163</v>
      </c>
      <c r="C43" s="397">
        <f>'6.2. Паспорт фин осв ввод факт'!C43</f>
        <v>0</v>
      </c>
      <c r="D43" s="397">
        <f t="shared" si="3"/>
        <v>0</v>
      </c>
      <c r="E43" s="397">
        <f t="shared" si="7"/>
        <v>0</v>
      </c>
      <c r="F43" s="397">
        <f t="shared" si="4"/>
        <v>0</v>
      </c>
      <c r="G43" s="397">
        <f>'6.2. Паспорт фин осв ввод факт'!G43</f>
        <v>0</v>
      </c>
      <c r="H43" s="397">
        <f>'6.2. Паспорт фин осв ввод факт'!J43</f>
        <v>0</v>
      </c>
      <c r="I43" s="397">
        <f>'6.2. Паспорт фин осв ввод факт'!N43</f>
        <v>0</v>
      </c>
      <c r="J43" s="397">
        <f>'6.2. Паспорт фин осв ввод факт'!P43</f>
        <v>0</v>
      </c>
      <c r="K43" s="397">
        <f t="shared" si="5"/>
        <v>0</v>
      </c>
      <c r="L43" s="397">
        <f>'6.2. Паспорт фин осв ввод факт'!T43</f>
        <v>0</v>
      </c>
      <c r="M43" s="397">
        <v>0</v>
      </c>
      <c r="N43" s="397">
        <v>0</v>
      </c>
      <c r="O43" s="397">
        <v>0</v>
      </c>
      <c r="P43" s="397">
        <f>'6.2. Паспорт фин осв ввод факт'!X43</f>
        <v>0</v>
      </c>
      <c r="Q43" s="397">
        <v>0</v>
      </c>
      <c r="R43" s="397">
        <v>0</v>
      </c>
      <c r="S43" s="397">
        <v>0</v>
      </c>
      <c r="T43" s="397">
        <v>0</v>
      </c>
      <c r="U43" s="397">
        <v>0</v>
      </c>
      <c r="V43" s="397" t="s">
        <v>605</v>
      </c>
      <c r="W43" s="397" t="s">
        <v>605</v>
      </c>
      <c r="X43" s="397">
        <v>0</v>
      </c>
      <c r="Y43" s="397">
        <v>0</v>
      </c>
      <c r="Z43" s="397" t="s">
        <v>605</v>
      </c>
      <c r="AA43" s="397" t="s">
        <v>605</v>
      </c>
      <c r="AB43" s="397">
        <v>0</v>
      </c>
      <c r="AC43" s="397">
        <v>0</v>
      </c>
      <c r="AD43" s="397" t="s">
        <v>605</v>
      </c>
      <c r="AE43" s="397" t="s">
        <v>605</v>
      </c>
      <c r="AF43" s="397">
        <f t="shared" si="2"/>
        <v>0</v>
      </c>
      <c r="AG43" s="397">
        <f t="shared" si="6"/>
        <v>0</v>
      </c>
    </row>
    <row r="44" spans="1:33" x14ac:dyDescent="0.25">
      <c r="A44" s="398" t="s">
        <v>162</v>
      </c>
      <c r="B44" s="399" t="s">
        <v>161</v>
      </c>
      <c r="C44" s="397">
        <f>'6.2. Паспорт фин осв ввод факт'!C44</f>
        <v>0</v>
      </c>
      <c r="D44" s="397">
        <f t="shared" si="3"/>
        <v>0</v>
      </c>
      <c r="E44" s="397">
        <f t="shared" si="7"/>
        <v>0</v>
      </c>
      <c r="F44" s="397">
        <f t="shared" si="4"/>
        <v>0</v>
      </c>
      <c r="G44" s="400">
        <f>'6.2. Паспорт фин осв ввод факт'!G44</f>
        <v>0</v>
      </c>
      <c r="H44" s="400">
        <f>'6.2. Паспорт фин осв ввод факт'!J44</f>
        <v>0</v>
      </c>
      <c r="I44" s="400">
        <f>'6.2. Паспорт фин осв ввод факт'!N44</f>
        <v>0</v>
      </c>
      <c r="J44" s="400">
        <f>'6.2. Паспорт фин осв ввод факт'!P44</f>
        <v>0</v>
      </c>
      <c r="K44" s="400">
        <f t="shared" si="5"/>
        <v>0</v>
      </c>
      <c r="L44" s="400">
        <f>'6.2. Паспорт фин осв ввод факт'!T44</f>
        <v>0</v>
      </c>
      <c r="M44" s="400">
        <v>0</v>
      </c>
      <c r="N44" s="400">
        <v>0</v>
      </c>
      <c r="O44" s="400">
        <v>0</v>
      </c>
      <c r="P44" s="400">
        <f>'6.2. Паспорт фин осв ввод факт'!X44</f>
        <v>0</v>
      </c>
      <c r="Q44" s="400">
        <v>0</v>
      </c>
      <c r="R44" s="400">
        <v>0</v>
      </c>
      <c r="S44" s="400">
        <v>0</v>
      </c>
      <c r="T44" s="400">
        <v>0</v>
      </c>
      <c r="U44" s="400">
        <v>0</v>
      </c>
      <c r="V44" s="397" t="s">
        <v>605</v>
      </c>
      <c r="W44" s="397" t="s">
        <v>605</v>
      </c>
      <c r="X44" s="400">
        <v>0</v>
      </c>
      <c r="Y44" s="400">
        <v>0</v>
      </c>
      <c r="Z44" s="397" t="s">
        <v>605</v>
      </c>
      <c r="AA44" s="397" t="s">
        <v>605</v>
      </c>
      <c r="AB44" s="400">
        <v>0</v>
      </c>
      <c r="AC44" s="400">
        <v>0</v>
      </c>
      <c r="AD44" s="397" t="s">
        <v>605</v>
      </c>
      <c r="AE44" s="397" t="s">
        <v>605</v>
      </c>
      <c r="AF44" s="397">
        <f t="shared" si="2"/>
        <v>0</v>
      </c>
      <c r="AG44" s="397">
        <f t="shared" si="6"/>
        <v>0</v>
      </c>
    </row>
    <row r="45" spans="1:33" x14ac:dyDescent="0.25">
      <c r="A45" s="398" t="s">
        <v>160</v>
      </c>
      <c r="B45" s="399" t="s">
        <v>159</v>
      </c>
      <c r="C45" s="397">
        <f>'6.2. Паспорт фин осв ввод факт'!C45</f>
        <v>111.4346508939647</v>
      </c>
      <c r="D45" s="397">
        <f>D37</f>
        <v>122.35461800373261</v>
      </c>
      <c r="E45" s="397">
        <f t="shared" ref="E45:F45" si="9">E37</f>
        <v>121.95461800373259</v>
      </c>
      <c r="F45" s="397">
        <f t="shared" si="9"/>
        <v>121.95461800373259</v>
      </c>
      <c r="G45" s="400">
        <f>'6.2. Паспорт фин осв ввод факт'!G45</f>
        <v>6.9479999999999986</v>
      </c>
      <c r="H45" s="400">
        <f>'6.2. Паспорт фин осв ввод факт'!J45</f>
        <v>3.4610000000000007</v>
      </c>
      <c r="I45" s="400">
        <f>'6.2. Паспорт фин осв ввод факт'!N45</f>
        <v>5.84</v>
      </c>
      <c r="J45" s="400">
        <f>'6.2. Паспорт фин осв ввод факт'!P45</f>
        <v>20.373547647507614</v>
      </c>
      <c r="K45" s="400">
        <f t="shared" ref="K45:U45" si="10">K37</f>
        <v>61.415828067042128</v>
      </c>
      <c r="L45" s="400">
        <f t="shared" si="10"/>
        <v>12.987603453327395</v>
      </c>
      <c r="M45" s="400">
        <f t="shared" si="10"/>
        <v>0</v>
      </c>
      <c r="N45" s="403">
        <f t="shared" si="10"/>
        <v>12.987603453327395</v>
      </c>
      <c r="O45" s="400">
        <f t="shared" si="10"/>
        <v>0</v>
      </c>
      <c r="P45" s="400">
        <f t="shared" si="10"/>
        <v>13.64881694285606</v>
      </c>
      <c r="Q45" s="400">
        <f t="shared" si="10"/>
        <v>0</v>
      </c>
      <c r="R45" s="403">
        <f t="shared" si="10"/>
        <v>13.64881694285606</v>
      </c>
      <c r="S45" s="400">
        <f t="shared" si="10"/>
        <v>0</v>
      </c>
      <c r="T45" s="403">
        <f t="shared" si="10"/>
        <v>9.2923109045705896</v>
      </c>
      <c r="U45" s="400">
        <f t="shared" si="10"/>
        <v>0</v>
      </c>
      <c r="V45" s="397" t="s">
        <v>605</v>
      </c>
      <c r="W45" s="397" t="s">
        <v>605</v>
      </c>
      <c r="X45" s="400">
        <f>X37</f>
        <v>9.86712994148556</v>
      </c>
      <c r="Y45" s="400">
        <v>0</v>
      </c>
      <c r="Z45" s="397" t="s">
        <v>605</v>
      </c>
      <c r="AA45" s="397" t="s">
        <v>605</v>
      </c>
      <c r="AB45" s="400">
        <f>AB37</f>
        <v>14.742928694450868</v>
      </c>
      <c r="AC45" s="400">
        <v>0</v>
      </c>
      <c r="AD45" s="397" t="s">
        <v>605</v>
      </c>
      <c r="AE45" s="397" t="s">
        <v>605</v>
      </c>
      <c r="AF45" s="397">
        <f t="shared" si="2"/>
        <v>47.009968043691067</v>
      </c>
      <c r="AG45" s="397">
        <f t="shared" si="6"/>
        <v>60.53878993669047</v>
      </c>
    </row>
    <row r="46" spans="1:33" x14ac:dyDescent="0.25">
      <c r="A46" s="398" t="s">
        <v>158</v>
      </c>
      <c r="B46" s="399" t="s">
        <v>157</v>
      </c>
      <c r="C46" s="397">
        <f>'6.2. Паспорт фин осв ввод факт'!C46</f>
        <v>0</v>
      </c>
      <c r="D46" s="397">
        <f>D38</f>
        <v>0</v>
      </c>
      <c r="E46" s="397">
        <f t="shared" si="7"/>
        <v>0</v>
      </c>
      <c r="F46" s="397">
        <f t="shared" si="4"/>
        <v>0</v>
      </c>
      <c r="G46" s="400">
        <f>'6.2. Паспорт фин осв ввод факт'!G46</f>
        <v>0</v>
      </c>
      <c r="H46" s="400">
        <f>'6.2. Паспорт фин осв ввод факт'!J46</f>
        <v>0</v>
      </c>
      <c r="I46" s="400">
        <f>'6.2. Паспорт фин осв ввод факт'!N46</f>
        <v>0</v>
      </c>
      <c r="J46" s="400">
        <f>'6.2. Паспорт фин осв ввод факт'!P46</f>
        <v>0</v>
      </c>
      <c r="K46" s="400">
        <f t="shared" si="5"/>
        <v>0</v>
      </c>
      <c r="L46" s="400">
        <f>'6.2. Паспорт фин осв ввод факт'!T46</f>
        <v>0</v>
      </c>
      <c r="M46" s="400">
        <v>0</v>
      </c>
      <c r="N46" s="403">
        <f t="shared" ref="N46" si="11">L46</f>
        <v>0</v>
      </c>
      <c r="O46" s="400">
        <v>0</v>
      </c>
      <c r="P46" s="400">
        <f>'6.2. Паспорт фин осв ввод факт'!X46</f>
        <v>0</v>
      </c>
      <c r="Q46" s="400">
        <v>0</v>
      </c>
      <c r="R46" s="403">
        <f t="shared" ref="R46" si="12">P46</f>
        <v>0</v>
      </c>
      <c r="S46" s="400">
        <v>0</v>
      </c>
      <c r="T46" s="400">
        <v>0</v>
      </c>
      <c r="U46" s="400">
        <v>0</v>
      </c>
      <c r="V46" s="397" t="s">
        <v>605</v>
      </c>
      <c r="W46" s="397" t="s">
        <v>605</v>
      </c>
      <c r="X46" s="400">
        <v>0</v>
      </c>
      <c r="Y46" s="400">
        <v>0</v>
      </c>
      <c r="Z46" s="397" t="s">
        <v>605</v>
      </c>
      <c r="AA46" s="397" t="s">
        <v>605</v>
      </c>
      <c r="AB46" s="400">
        <v>0</v>
      </c>
      <c r="AC46" s="400">
        <v>0</v>
      </c>
      <c r="AD46" s="397" t="s">
        <v>605</v>
      </c>
      <c r="AE46" s="397" t="s">
        <v>605</v>
      </c>
      <c r="AF46" s="397">
        <f t="shared" si="2"/>
        <v>0</v>
      </c>
      <c r="AG46" s="397">
        <f t="shared" si="6"/>
        <v>0</v>
      </c>
    </row>
    <row r="47" spans="1:33" ht="31.5" x14ac:dyDescent="0.25">
      <c r="A47" s="398" t="s">
        <v>156</v>
      </c>
      <c r="B47" s="399" t="s">
        <v>155</v>
      </c>
      <c r="C47" s="397">
        <f>'6.2. Паспорт фин осв ввод факт'!C47</f>
        <v>442.98777231566805</v>
      </c>
      <c r="D47" s="397">
        <f>D39</f>
        <v>417.83241926865827</v>
      </c>
      <c r="E47" s="397">
        <f t="shared" ref="E47:T47" si="13">E39</f>
        <v>415.20441926865823</v>
      </c>
      <c r="F47" s="397">
        <f t="shared" si="13"/>
        <v>415.20441926865823</v>
      </c>
      <c r="G47" s="400">
        <f t="shared" si="13"/>
        <v>64.300320000000013</v>
      </c>
      <c r="H47" s="400">
        <f t="shared" si="13"/>
        <v>43.102800000000009</v>
      </c>
      <c r="I47" s="400">
        <f t="shared" si="13"/>
        <v>89.982000000000014</v>
      </c>
      <c r="J47" s="400">
        <f t="shared" si="13"/>
        <v>336.45601835491459</v>
      </c>
      <c r="K47" s="400">
        <f t="shared" si="13"/>
        <v>339.65200942766853</v>
      </c>
      <c r="L47" s="400">
        <f t="shared" si="13"/>
        <v>16.208529109752586</v>
      </c>
      <c r="M47" s="400">
        <f t="shared" si="13"/>
        <v>0</v>
      </c>
      <c r="N47" s="403">
        <f t="shared" si="13"/>
        <v>16.208529109752586</v>
      </c>
      <c r="O47" s="400">
        <f t="shared" si="13"/>
        <v>0</v>
      </c>
      <c r="P47" s="400">
        <f t="shared" si="13"/>
        <v>17.033723544684364</v>
      </c>
      <c r="Q47" s="400">
        <f t="shared" si="13"/>
        <v>0</v>
      </c>
      <c r="R47" s="403">
        <f t="shared" si="13"/>
        <v>17.033723544684364</v>
      </c>
      <c r="S47" s="400">
        <f t="shared" si="13"/>
        <v>0</v>
      </c>
      <c r="T47" s="400">
        <f t="shared" si="13"/>
        <v>11.596804008904096</v>
      </c>
      <c r="U47" s="400">
        <v>0</v>
      </c>
      <c r="V47" s="397" t="s">
        <v>605</v>
      </c>
      <c r="W47" s="397" t="s">
        <v>605</v>
      </c>
      <c r="X47" s="400">
        <f>X39</f>
        <v>12.31417816697398</v>
      </c>
      <c r="Y47" s="400">
        <v>0</v>
      </c>
      <c r="Z47" s="397" t="s">
        <v>605</v>
      </c>
      <c r="AA47" s="397" t="s">
        <v>605</v>
      </c>
      <c r="AB47" s="400">
        <f>AB39</f>
        <v>18.399175010674686</v>
      </c>
      <c r="AC47" s="400">
        <v>0</v>
      </c>
      <c r="AD47" s="397" t="s">
        <v>605</v>
      </c>
      <c r="AE47" s="397" t="s">
        <v>605</v>
      </c>
      <c r="AF47" s="397">
        <f t="shared" si="2"/>
        <v>369.69827100935152</v>
      </c>
      <c r="AG47" s="397">
        <f t="shared" si="6"/>
        <v>75.552409840989711</v>
      </c>
    </row>
    <row r="48" spans="1:33" ht="31.5" x14ac:dyDescent="0.25">
      <c r="A48" s="398" t="s">
        <v>154</v>
      </c>
      <c r="B48" s="399" t="s">
        <v>153</v>
      </c>
      <c r="C48" s="397">
        <f>'6.2. Паспорт фин осв ввод факт'!C48</f>
        <v>110.74694307891701</v>
      </c>
      <c r="D48" s="397">
        <f>D40</f>
        <v>104.45810481716457</v>
      </c>
      <c r="E48" s="397">
        <f t="shared" ref="E48:T48" si="14">E40</f>
        <v>103.80110481716456</v>
      </c>
      <c r="F48" s="397">
        <f t="shared" si="14"/>
        <v>103.80110481716456</v>
      </c>
      <c r="G48" s="400">
        <f t="shared" si="14"/>
        <v>16.075080000000003</v>
      </c>
      <c r="H48" s="400">
        <f t="shared" si="14"/>
        <v>10.775700000000002</v>
      </c>
      <c r="I48" s="400">
        <f t="shared" si="14"/>
        <v>0</v>
      </c>
      <c r="J48" s="400">
        <f t="shared" si="14"/>
        <v>84.114004588728648</v>
      </c>
      <c r="K48" s="400">
        <f t="shared" si="14"/>
        <v>84.913002356917133</v>
      </c>
      <c r="L48" s="400">
        <f t="shared" si="14"/>
        <v>4.0521322774381465</v>
      </c>
      <c r="M48" s="400">
        <f t="shared" si="14"/>
        <v>0</v>
      </c>
      <c r="N48" s="403">
        <f t="shared" si="14"/>
        <v>4.0521322774381465</v>
      </c>
      <c r="O48" s="400">
        <f t="shared" si="14"/>
        <v>0</v>
      </c>
      <c r="P48" s="400">
        <f t="shared" si="14"/>
        <v>4.2584308861710909</v>
      </c>
      <c r="Q48" s="400">
        <f t="shared" si="14"/>
        <v>0</v>
      </c>
      <c r="R48" s="403">
        <f t="shared" si="14"/>
        <v>4.2584308861710909</v>
      </c>
      <c r="S48" s="400">
        <f t="shared" si="14"/>
        <v>0</v>
      </c>
      <c r="T48" s="400">
        <f t="shared" si="14"/>
        <v>2.8992010022260239</v>
      </c>
      <c r="U48" s="400">
        <v>0</v>
      </c>
      <c r="V48" s="397" t="s">
        <v>605</v>
      </c>
      <c r="W48" s="397" t="s">
        <v>605</v>
      </c>
      <c r="X48" s="400">
        <f>X40</f>
        <v>3.0785445417434949</v>
      </c>
      <c r="Y48" s="400">
        <v>0</v>
      </c>
      <c r="Z48" s="397" t="s">
        <v>605</v>
      </c>
      <c r="AA48" s="397" t="s">
        <v>605</v>
      </c>
      <c r="AB48" s="400">
        <f>AB40</f>
        <v>4.5997937526686714</v>
      </c>
      <c r="AC48" s="400">
        <v>0</v>
      </c>
      <c r="AD48" s="397" t="s">
        <v>605</v>
      </c>
      <c r="AE48" s="397" t="s">
        <v>605</v>
      </c>
      <c r="AF48" s="397">
        <f t="shared" si="2"/>
        <v>92.424567752337879</v>
      </c>
      <c r="AG48" s="397">
        <f t="shared" si="6"/>
        <v>18.888102460247428</v>
      </c>
    </row>
    <row r="49" spans="1:33" x14ac:dyDescent="0.25">
      <c r="A49" s="398" t="s">
        <v>152</v>
      </c>
      <c r="B49" s="399" t="s">
        <v>151</v>
      </c>
      <c r="C49" s="397">
        <f>'6.2. Паспорт фин осв ввод факт'!C49</f>
        <v>369.15647692972334</v>
      </c>
      <c r="D49" s="397">
        <f>D41</f>
        <v>348.19368272388192</v>
      </c>
      <c r="E49" s="397">
        <f t="shared" ref="E49:T49" si="15">E41</f>
        <v>346.00368272388187</v>
      </c>
      <c r="F49" s="397">
        <f t="shared" si="15"/>
        <v>346.00368272388187</v>
      </c>
      <c r="G49" s="400">
        <f t="shared" si="15"/>
        <v>53.583600000000018</v>
      </c>
      <c r="H49" s="400">
        <f t="shared" si="15"/>
        <v>35.919000000000004</v>
      </c>
      <c r="I49" s="400">
        <f t="shared" si="15"/>
        <v>9.375</v>
      </c>
      <c r="J49" s="400">
        <f t="shared" si="15"/>
        <v>280.38001529576212</v>
      </c>
      <c r="K49" s="400">
        <f t="shared" si="15"/>
        <v>283.04334118972378</v>
      </c>
      <c r="L49" s="400">
        <f t="shared" si="15"/>
        <v>13.507107591460491</v>
      </c>
      <c r="M49" s="400">
        <f t="shared" si="15"/>
        <v>0</v>
      </c>
      <c r="N49" s="403">
        <f t="shared" si="15"/>
        <v>13.507107591460489</v>
      </c>
      <c r="O49" s="400">
        <f t="shared" si="15"/>
        <v>0</v>
      </c>
      <c r="P49" s="400">
        <f t="shared" si="15"/>
        <v>14.194769620570305</v>
      </c>
      <c r="Q49" s="400">
        <f t="shared" si="15"/>
        <v>0</v>
      </c>
      <c r="R49" s="403">
        <f t="shared" si="15"/>
        <v>14.194769620570305</v>
      </c>
      <c r="S49" s="400">
        <f t="shared" si="15"/>
        <v>0</v>
      </c>
      <c r="T49" s="400">
        <f t="shared" si="15"/>
        <v>9.6640033407534141</v>
      </c>
      <c r="U49" s="400">
        <v>0</v>
      </c>
      <c r="V49" s="397" t="s">
        <v>605</v>
      </c>
      <c r="W49" s="397" t="s">
        <v>605</v>
      </c>
      <c r="X49" s="400">
        <f>X41</f>
        <v>10.261815139144982</v>
      </c>
      <c r="Y49" s="400">
        <v>0</v>
      </c>
      <c r="Z49" s="397" t="s">
        <v>605</v>
      </c>
      <c r="AA49" s="397" t="s">
        <v>605</v>
      </c>
      <c r="AB49" s="400">
        <f>AB41</f>
        <v>15.332645842228903</v>
      </c>
      <c r="AC49" s="400">
        <v>0</v>
      </c>
      <c r="AD49" s="397" t="s">
        <v>605</v>
      </c>
      <c r="AE49" s="397" t="s">
        <v>605</v>
      </c>
      <c r="AF49" s="397">
        <f t="shared" si="2"/>
        <v>308.08189250779293</v>
      </c>
      <c r="AG49" s="397">
        <f t="shared" si="6"/>
        <v>62.96034153415809</v>
      </c>
    </row>
    <row r="50" spans="1:33" ht="18.75" x14ac:dyDescent="0.25">
      <c r="A50" s="398" t="s">
        <v>150</v>
      </c>
      <c r="B50" s="402" t="s">
        <v>1031</v>
      </c>
      <c r="C50" s="397">
        <f>'6.2. Паспорт фин осв ввод факт'!C50</f>
        <v>0</v>
      </c>
      <c r="D50" s="397">
        <f t="shared" si="3"/>
        <v>0</v>
      </c>
      <c r="E50" s="397">
        <f t="shared" si="7"/>
        <v>0</v>
      </c>
      <c r="F50" s="397">
        <f t="shared" si="4"/>
        <v>0</v>
      </c>
      <c r="G50" s="400">
        <f>'6.2. Паспорт фин осв ввод факт'!G50</f>
        <v>0</v>
      </c>
      <c r="H50" s="400">
        <f>'6.2. Паспорт фин осв ввод факт'!J50</f>
        <v>0</v>
      </c>
      <c r="I50" s="400">
        <f>'6.2. Паспорт фин осв ввод факт'!N50</f>
        <v>0</v>
      </c>
      <c r="J50" s="400">
        <f>'6.2. Паспорт фин осв ввод факт'!P50</f>
        <v>0</v>
      </c>
      <c r="K50" s="400">
        <f t="shared" si="5"/>
        <v>0</v>
      </c>
      <c r="L50" s="400">
        <f>'6.2. Паспорт фин осв ввод факт'!T50</f>
        <v>0</v>
      </c>
      <c r="M50" s="400">
        <v>0</v>
      </c>
      <c r="N50" s="403">
        <v>0</v>
      </c>
      <c r="O50" s="400">
        <v>0</v>
      </c>
      <c r="P50" s="400">
        <f>'6.2. Паспорт фин осв ввод факт'!X50</f>
        <v>0</v>
      </c>
      <c r="Q50" s="400">
        <v>0</v>
      </c>
      <c r="R50" s="400">
        <v>0</v>
      </c>
      <c r="S50" s="400">
        <v>0</v>
      </c>
      <c r="T50" s="400">
        <v>0</v>
      </c>
      <c r="U50" s="400">
        <v>0</v>
      </c>
      <c r="V50" s="397" t="s">
        <v>605</v>
      </c>
      <c r="W50" s="397" t="s">
        <v>605</v>
      </c>
      <c r="X50" s="400">
        <v>0</v>
      </c>
      <c r="Y50" s="400">
        <v>0</v>
      </c>
      <c r="Z50" s="397" t="s">
        <v>605</v>
      </c>
      <c r="AA50" s="397" t="s">
        <v>605</v>
      </c>
      <c r="AB50" s="400">
        <v>0</v>
      </c>
      <c r="AC50" s="400">
        <v>0</v>
      </c>
      <c r="AD50" s="397" t="s">
        <v>605</v>
      </c>
      <c r="AE50" s="397" t="s">
        <v>605</v>
      </c>
      <c r="AF50" s="397">
        <f t="shared" si="2"/>
        <v>0</v>
      </c>
      <c r="AG50" s="397">
        <f t="shared" si="6"/>
        <v>0</v>
      </c>
    </row>
    <row r="51" spans="1:33" s="311" customFormat="1" ht="35.25" customHeight="1" x14ac:dyDescent="0.25">
      <c r="A51" s="395" t="s">
        <v>59</v>
      </c>
      <c r="B51" s="396" t="s">
        <v>148</v>
      </c>
      <c r="C51" s="397">
        <f>'6.2. Паспорт фин осв ввод факт'!C51</f>
        <v>0</v>
      </c>
      <c r="D51" s="397">
        <f t="shared" si="3"/>
        <v>0</v>
      </c>
      <c r="E51" s="397">
        <f t="shared" si="7"/>
        <v>0</v>
      </c>
      <c r="F51" s="397">
        <f t="shared" si="4"/>
        <v>0</v>
      </c>
      <c r="G51" s="397">
        <f>'6.2. Паспорт фин осв ввод факт'!G51</f>
        <v>0</v>
      </c>
      <c r="H51" s="397">
        <f>'6.2. Паспорт фин осв ввод факт'!J51</f>
        <v>0</v>
      </c>
      <c r="I51" s="397">
        <f>'6.2. Паспорт фин осв ввод факт'!N51</f>
        <v>0</v>
      </c>
      <c r="J51" s="397">
        <f>'6.2. Паспорт фин осв ввод факт'!P51</f>
        <v>0</v>
      </c>
      <c r="K51" s="397">
        <f t="shared" si="5"/>
        <v>0</v>
      </c>
      <c r="L51" s="397">
        <f>'6.2. Паспорт фин осв ввод факт'!T51</f>
        <v>0</v>
      </c>
      <c r="M51" s="397">
        <v>0</v>
      </c>
      <c r="N51" s="397">
        <v>0</v>
      </c>
      <c r="O51" s="397">
        <v>0</v>
      </c>
      <c r="P51" s="397">
        <f>'6.2. Паспорт фин осв ввод факт'!X51</f>
        <v>0</v>
      </c>
      <c r="Q51" s="397">
        <v>0</v>
      </c>
      <c r="R51" s="397">
        <v>0</v>
      </c>
      <c r="S51" s="397">
        <v>0</v>
      </c>
      <c r="T51" s="397">
        <v>0</v>
      </c>
      <c r="U51" s="397">
        <v>0</v>
      </c>
      <c r="V51" s="397" t="s">
        <v>605</v>
      </c>
      <c r="W51" s="397" t="s">
        <v>605</v>
      </c>
      <c r="X51" s="397">
        <v>0</v>
      </c>
      <c r="Y51" s="397">
        <v>0</v>
      </c>
      <c r="Z51" s="397" t="s">
        <v>605</v>
      </c>
      <c r="AA51" s="397" t="s">
        <v>605</v>
      </c>
      <c r="AB51" s="397">
        <v>0</v>
      </c>
      <c r="AC51" s="397">
        <v>0</v>
      </c>
      <c r="AD51" s="397" t="s">
        <v>605</v>
      </c>
      <c r="AE51" s="397" t="s">
        <v>605</v>
      </c>
      <c r="AF51" s="397">
        <f t="shared" si="2"/>
        <v>0</v>
      </c>
      <c r="AG51" s="397">
        <f t="shared" si="6"/>
        <v>0</v>
      </c>
    </row>
    <row r="52" spans="1:33" x14ac:dyDescent="0.25">
      <c r="A52" s="398" t="s">
        <v>147</v>
      </c>
      <c r="B52" s="399" t="s">
        <v>146</v>
      </c>
      <c r="C52" s="397">
        <f>'6.2. Паспорт фин осв ввод факт'!C52</f>
        <v>2341.4176138048479</v>
      </c>
      <c r="D52" s="397">
        <f>D30</f>
        <v>2764.1280609896776</v>
      </c>
      <c r="E52" s="397">
        <v>2701.6213072688502</v>
      </c>
      <c r="F52" s="397">
        <f t="shared" si="4"/>
        <v>2701.6213072688502</v>
      </c>
      <c r="G52" s="400">
        <f>'6.2. Паспорт фин осв ввод факт'!G52</f>
        <v>210.10277857</v>
      </c>
      <c r="H52" s="400">
        <f>'6.2. Паспорт фин осв ввод факт'!J52</f>
        <v>131.06434546</v>
      </c>
      <c r="I52" s="400">
        <f>'6.2. Паспорт фин осв ввод факт'!N52</f>
        <v>160.13425945999998</v>
      </c>
      <c r="J52" s="400">
        <f>'6.2. Паспорт фин осв ввод факт'!P52</f>
        <v>1531.8600000000042</v>
      </c>
      <c r="K52" s="400">
        <v>1542.1619625229189</v>
      </c>
      <c r="L52" s="400">
        <f>'6.2. Паспорт фин осв ввод факт'!T52</f>
        <v>221.81830340571278</v>
      </c>
      <c r="M52" s="400">
        <v>0</v>
      </c>
      <c r="N52" s="400">
        <v>221.81830340571278</v>
      </c>
      <c r="O52" s="400">
        <v>0</v>
      </c>
      <c r="P52" s="400">
        <f>'6.2. Паспорт фин осв ввод факт'!X52</f>
        <v>245</v>
      </c>
      <c r="Q52" s="400">
        <v>0</v>
      </c>
      <c r="R52" s="400">
        <v>245</v>
      </c>
      <c r="S52" s="400">
        <v>0</v>
      </c>
      <c r="T52" s="400">
        <v>180.06578377603432</v>
      </c>
      <c r="U52" s="400">
        <v>0</v>
      </c>
      <c r="V52" s="397" t="s">
        <v>605</v>
      </c>
      <c r="W52" s="397" t="s">
        <v>605</v>
      </c>
      <c r="X52" s="400">
        <v>200</v>
      </c>
      <c r="Y52" s="400">
        <v>0</v>
      </c>
      <c r="Z52" s="397" t="s">
        <v>605</v>
      </c>
      <c r="AA52" s="397" t="s">
        <v>605</v>
      </c>
      <c r="AB52" s="400">
        <v>312.57525756418408</v>
      </c>
      <c r="AC52" s="400">
        <v>0</v>
      </c>
      <c r="AD52" s="397" t="s">
        <v>605</v>
      </c>
      <c r="AE52" s="397" t="s">
        <v>605</v>
      </c>
      <c r="AF52" s="397">
        <f t="shared" si="2"/>
        <v>1998.6783034057171</v>
      </c>
      <c r="AG52" s="397">
        <f t="shared" si="6"/>
        <v>1159.459344745931</v>
      </c>
    </row>
    <row r="53" spans="1:33" x14ac:dyDescent="0.25">
      <c r="A53" s="398" t="s">
        <v>145</v>
      </c>
      <c r="B53" s="399" t="s">
        <v>139</v>
      </c>
      <c r="C53" s="397">
        <f>'6.2. Паспорт фин осв ввод факт'!C53</f>
        <v>0</v>
      </c>
      <c r="D53" s="397">
        <f t="shared" si="3"/>
        <v>0</v>
      </c>
      <c r="E53" s="397">
        <f t="shared" si="7"/>
        <v>0</v>
      </c>
      <c r="F53" s="397">
        <f t="shared" si="4"/>
        <v>0</v>
      </c>
      <c r="G53" s="400">
        <f>'6.2. Паспорт фин осв ввод факт'!G53</f>
        <v>0</v>
      </c>
      <c r="H53" s="400">
        <f>'6.2. Паспорт фин осв ввод факт'!J53</f>
        <v>0</v>
      </c>
      <c r="I53" s="400">
        <f>'6.2. Паспорт фин осв ввод факт'!N53</f>
        <v>0</v>
      </c>
      <c r="J53" s="400">
        <f>'6.2. Паспорт фин осв ввод факт'!P53</f>
        <v>0</v>
      </c>
      <c r="K53" s="400">
        <f t="shared" si="5"/>
        <v>0</v>
      </c>
      <c r="L53" s="400">
        <f>'6.2. Паспорт фин осв ввод факт'!T53</f>
        <v>0</v>
      </c>
      <c r="M53" s="400">
        <v>0</v>
      </c>
      <c r="N53" s="400">
        <v>0</v>
      </c>
      <c r="O53" s="400">
        <v>0</v>
      </c>
      <c r="P53" s="400">
        <f>'6.2. Паспорт фин осв ввод факт'!X53</f>
        <v>0</v>
      </c>
      <c r="Q53" s="400">
        <v>0</v>
      </c>
      <c r="R53" s="400">
        <v>0</v>
      </c>
      <c r="S53" s="400">
        <v>0</v>
      </c>
      <c r="T53" s="400">
        <v>0</v>
      </c>
      <c r="U53" s="400">
        <v>0</v>
      </c>
      <c r="V53" s="397" t="s">
        <v>605</v>
      </c>
      <c r="W53" s="397" t="s">
        <v>605</v>
      </c>
      <c r="X53" s="400">
        <v>0</v>
      </c>
      <c r="Y53" s="400">
        <v>0</v>
      </c>
      <c r="Z53" s="397" t="s">
        <v>605</v>
      </c>
      <c r="AA53" s="397" t="s">
        <v>605</v>
      </c>
      <c r="AB53" s="400">
        <v>0</v>
      </c>
      <c r="AC53" s="400">
        <v>0</v>
      </c>
      <c r="AD53" s="397" t="s">
        <v>605</v>
      </c>
      <c r="AE53" s="397" t="s">
        <v>605</v>
      </c>
      <c r="AF53" s="397">
        <f t="shared" si="2"/>
        <v>0</v>
      </c>
      <c r="AG53" s="397">
        <f t="shared" si="6"/>
        <v>0</v>
      </c>
    </row>
    <row r="54" spans="1:33" x14ac:dyDescent="0.25">
      <c r="A54" s="398" t="s">
        <v>144</v>
      </c>
      <c r="B54" s="402" t="s">
        <v>138</v>
      </c>
      <c r="C54" s="397">
        <f>'6.2. Паспорт фин осв ввод факт'!C54</f>
        <v>111.4346508939647</v>
      </c>
      <c r="D54" s="397">
        <f>D45</f>
        <v>122.35461800373261</v>
      </c>
      <c r="E54" s="397">
        <f t="shared" ref="E54:F54" si="16">E45</f>
        <v>121.95461800373259</v>
      </c>
      <c r="F54" s="397">
        <f t="shared" si="16"/>
        <v>121.95461800373259</v>
      </c>
      <c r="G54" s="400">
        <f>'6.2. Паспорт фин осв ввод факт'!G54</f>
        <v>6.9479999999999986</v>
      </c>
      <c r="H54" s="400">
        <f>'6.2. Паспорт фин осв ввод факт'!J54</f>
        <v>3.4610000000000007</v>
      </c>
      <c r="I54" s="400">
        <f>'6.2. Паспорт фин осв ввод факт'!N54</f>
        <v>5.84</v>
      </c>
      <c r="J54" s="400">
        <f>'6.2. Паспорт фин осв ввод факт'!P54</f>
        <v>60.908811381256939</v>
      </c>
      <c r="K54" s="400">
        <f t="shared" ref="K54:T54" si="17">K45</f>
        <v>61.415828067042128</v>
      </c>
      <c r="L54" s="400">
        <f t="shared" si="17"/>
        <v>12.987603453327395</v>
      </c>
      <c r="M54" s="400">
        <f t="shared" si="17"/>
        <v>0</v>
      </c>
      <c r="N54" s="403">
        <f t="shared" si="17"/>
        <v>12.987603453327395</v>
      </c>
      <c r="O54" s="400">
        <f t="shared" si="17"/>
        <v>0</v>
      </c>
      <c r="P54" s="400">
        <f t="shared" si="17"/>
        <v>13.64881694285606</v>
      </c>
      <c r="Q54" s="400">
        <f t="shared" si="17"/>
        <v>0</v>
      </c>
      <c r="R54" s="403">
        <f t="shared" si="17"/>
        <v>13.64881694285606</v>
      </c>
      <c r="S54" s="400">
        <f t="shared" si="17"/>
        <v>0</v>
      </c>
      <c r="T54" s="403">
        <f t="shared" si="17"/>
        <v>9.2923109045705896</v>
      </c>
      <c r="U54" s="400">
        <v>0</v>
      </c>
      <c r="V54" s="397" t="s">
        <v>605</v>
      </c>
      <c r="W54" s="397" t="s">
        <v>605</v>
      </c>
      <c r="X54" s="403">
        <f t="shared" ref="X54" si="18">X45</f>
        <v>9.86712994148556</v>
      </c>
      <c r="Y54" s="400">
        <v>0</v>
      </c>
      <c r="Z54" s="397" t="s">
        <v>605</v>
      </c>
      <c r="AA54" s="397" t="s">
        <v>605</v>
      </c>
      <c r="AB54" s="403">
        <f t="shared" ref="AB54" si="19">AB45</f>
        <v>14.742928694450868</v>
      </c>
      <c r="AC54" s="400">
        <v>0</v>
      </c>
      <c r="AD54" s="397" t="s">
        <v>605</v>
      </c>
      <c r="AE54" s="397" t="s">
        <v>605</v>
      </c>
      <c r="AF54" s="397">
        <f t="shared" si="2"/>
        <v>87.545231777440392</v>
      </c>
      <c r="AG54" s="397">
        <f t="shared" si="6"/>
        <v>60.53878993669047</v>
      </c>
    </row>
    <row r="55" spans="1:33" x14ac:dyDescent="0.25">
      <c r="A55" s="398" t="s">
        <v>143</v>
      </c>
      <c r="B55" s="402" t="s">
        <v>137</v>
      </c>
      <c r="C55" s="397">
        <f>'6.2. Паспорт фин осв ввод факт'!C55</f>
        <v>0</v>
      </c>
      <c r="D55" s="397">
        <v>0</v>
      </c>
      <c r="E55" s="397">
        <v>0</v>
      </c>
      <c r="F55" s="397">
        <v>0</v>
      </c>
      <c r="G55" s="400">
        <f>'6.2. Паспорт фин осв ввод факт'!G55</f>
        <v>0</v>
      </c>
      <c r="H55" s="400">
        <f>'6.2. Паспорт фин осв ввод факт'!J55</f>
        <v>0</v>
      </c>
      <c r="I55" s="400">
        <f>'6.2. Паспорт фин осв ввод факт'!N55</f>
        <v>0</v>
      </c>
      <c r="J55" s="400">
        <f>'6.2. Паспорт фин осв ввод факт'!P55</f>
        <v>0</v>
      </c>
      <c r="K55" s="400">
        <v>0</v>
      </c>
      <c r="L55" s="400">
        <v>0</v>
      </c>
      <c r="M55" s="400">
        <v>0</v>
      </c>
      <c r="N55" s="403">
        <v>0</v>
      </c>
      <c r="O55" s="400">
        <v>0</v>
      </c>
      <c r="P55" s="400">
        <v>0</v>
      </c>
      <c r="Q55" s="400">
        <v>0</v>
      </c>
      <c r="R55" s="403">
        <v>0</v>
      </c>
      <c r="S55" s="400">
        <v>0</v>
      </c>
      <c r="T55" s="403">
        <v>0</v>
      </c>
      <c r="U55" s="400">
        <v>0</v>
      </c>
      <c r="V55" s="397" t="s">
        <v>605</v>
      </c>
      <c r="W55" s="397" t="s">
        <v>605</v>
      </c>
      <c r="X55" s="403">
        <v>0</v>
      </c>
      <c r="Y55" s="400">
        <v>0</v>
      </c>
      <c r="Z55" s="397" t="s">
        <v>605</v>
      </c>
      <c r="AA55" s="397" t="s">
        <v>605</v>
      </c>
      <c r="AB55" s="403">
        <v>0</v>
      </c>
      <c r="AC55" s="400">
        <v>0</v>
      </c>
      <c r="AD55" s="397" t="s">
        <v>605</v>
      </c>
      <c r="AE55" s="397" t="s">
        <v>605</v>
      </c>
      <c r="AF55" s="397">
        <f t="shared" si="2"/>
        <v>0</v>
      </c>
      <c r="AG55" s="397">
        <f t="shared" si="6"/>
        <v>0</v>
      </c>
    </row>
    <row r="56" spans="1:33" x14ac:dyDescent="0.25">
      <c r="A56" s="398" t="s">
        <v>142</v>
      </c>
      <c r="B56" s="402" t="s">
        <v>136</v>
      </c>
      <c r="C56" s="397">
        <f>'6.2. Паспорт фин осв ввод факт'!C56</f>
        <v>922.89119232430835</v>
      </c>
      <c r="D56" s="397">
        <f>D47+D48+D49</f>
        <v>870.4842068097048</v>
      </c>
      <c r="E56" s="397">
        <f t="shared" ref="E56:F56" si="20">E47+E48+E49</f>
        <v>865.00920680970466</v>
      </c>
      <c r="F56" s="397">
        <f t="shared" si="20"/>
        <v>865.00920680970466</v>
      </c>
      <c r="G56" s="400">
        <f>'6.2. Паспорт фин осв ввод факт'!G56</f>
        <v>133.95900000000003</v>
      </c>
      <c r="H56" s="400">
        <f>'6.2. Паспорт фин осв ввод факт'!J56</f>
        <v>89.797500000000014</v>
      </c>
      <c r="I56" s="400">
        <f>'6.2. Паспорт фин осв ввод факт'!N56</f>
        <v>56.161999999999999</v>
      </c>
      <c r="J56" s="400">
        <f>'6.2. Паспорт фин осв ввод факт'!P56</f>
        <v>700.95003823940533</v>
      </c>
      <c r="K56" s="400">
        <f t="shared" ref="K56:T56" si="21">K47+K48+K49</f>
        <v>707.60835297430935</v>
      </c>
      <c r="L56" s="400">
        <f t="shared" si="21"/>
        <v>33.767768978651226</v>
      </c>
      <c r="M56" s="400">
        <f t="shared" si="21"/>
        <v>0</v>
      </c>
      <c r="N56" s="403">
        <f t="shared" si="21"/>
        <v>33.767768978651219</v>
      </c>
      <c r="O56" s="400">
        <f t="shared" si="21"/>
        <v>0</v>
      </c>
      <c r="P56" s="400">
        <f t="shared" si="21"/>
        <v>35.48692405142576</v>
      </c>
      <c r="Q56" s="400">
        <f t="shared" si="21"/>
        <v>0</v>
      </c>
      <c r="R56" s="403">
        <f t="shared" si="21"/>
        <v>35.48692405142576</v>
      </c>
      <c r="S56" s="400">
        <f t="shared" si="21"/>
        <v>0</v>
      </c>
      <c r="T56" s="403">
        <f t="shared" si="21"/>
        <v>24.160008351883533</v>
      </c>
      <c r="U56" s="400">
        <v>0</v>
      </c>
      <c r="V56" s="397" t="s">
        <v>605</v>
      </c>
      <c r="W56" s="397" t="s">
        <v>605</v>
      </c>
      <c r="X56" s="403">
        <f t="shared" ref="X56" si="22">X47+X48+X49</f>
        <v>25.654537847862457</v>
      </c>
      <c r="Y56" s="400">
        <v>0</v>
      </c>
      <c r="Z56" s="397" t="s">
        <v>605</v>
      </c>
      <c r="AA56" s="397" t="s">
        <v>605</v>
      </c>
      <c r="AB56" s="403">
        <f t="shared" ref="AB56" si="23">AB47+AB48+AB49</f>
        <v>38.331614605572256</v>
      </c>
      <c r="AC56" s="400">
        <v>0</v>
      </c>
      <c r="AD56" s="397" t="s">
        <v>605</v>
      </c>
      <c r="AE56" s="397" t="s">
        <v>605</v>
      </c>
      <c r="AF56" s="397">
        <f t="shared" si="2"/>
        <v>770.20473126948229</v>
      </c>
      <c r="AG56" s="397">
        <f t="shared" si="6"/>
        <v>157.40085383539522</v>
      </c>
    </row>
    <row r="57" spans="1:33" ht="18.75" x14ac:dyDescent="0.25">
      <c r="A57" s="398" t="s">
        <v>141</v>
      </c>
      <c r="B57" s="402" t="s">
        <v>1032</v>
      </c>
      <c r="C57" s="397">
        <f>'6.2. Паспорт фин осв ввод факт'!C57</f>
        <v>0</v>
      </c>
      <c r="D57" s="397">
        <f t="shared" si="3"/>
        <v>0</v>
      </c>
      <c r="E57" s="397">
        <f t="shared" si="7"/>
        <v>0</v>
      </c>
      <c r="F57" s="397">
        <f t="shared" si="4"/>
        <v>0</v>
      </c>
      <c r="G57" s="400">
        <f>'6.2. Паспорт фин осв ввод факт'!G57</f>
        <v>0</v>
      </c>
      <c r="H57" s="400">
        <f>'6.2. Паспорт фин осв ввод факт'!J57</f>
        <v>0</v>
      </c>
      <c r="I57" s="400">
        <f>'6.2. Паспорт фин осв ввод факт'!N57</f>
        <v>0</v>
      </c>
      <c r="J57" s="400">
        <f>'6.2. Паспорт фин осв ввод факт'!P57</f>
        <v>0</v>
      </c>
      <c r="K57" s="400">
        <f t="shared" si="5"/>
        <v>0</v>
      </c>
      <c r="L57" s="400">
        <f>'6.2. Паспорт фин осв ввод факт'!T57</f>
        <v>0</v>
      </c>
      <c r="M57" s="400">
        <v>0</v>
      </c>
      <c r="N57" s="403">
        <v>0</v>
      </c>
      <c r="O57" s="400">
        <v>0</v>
      </c>
      <c r="P57" s="400">
        <f>'6.2. Паспорт фин осв ввод факт'!X57</f>
        <v>0</v>
      </c>
      <c r="Q57" s="400">
        <v>0</v>
      </c>
      <c r="R57" s="400">
        <v>0</v>
      </c>
      <c r="S57" s="400">
        <v>0</v>
      </c>
      <c r="T57" s="400">
        <v>0</v>
      </c>
      <c r="U57" s="400">
        <v>0</v>
      </c>
      <c r="V57" s="397" t="s">
        <v>605</v>
      </c>
      <c r="W57" s="397" t="s">
        <v>605</v>
      </c>
      <c r="X57" s="400">
        <v>0</v>
      </c>
      <c r="Y57" s="400">
        <v>0</v>
      </c>
      <c r="Z57" s="397" t="s">
        <v>605</v>
      </c>
      <c r="AA57" s="397" t="s">
        <v>605</v>
      </c>
      <c r="AB57" s="400">
        <v>0</v>
      </c>
      <c r="AC57" s="400">
        <v>0</v>
      </c>
      <c r="AD57" s="397" t="s">
        <v>605</v>
      </c>
      <c r="AE57" s="397" t="s">
        <v>605</v>
      </c>
      <c r="AF57" s="397">
        <f t="shared" si="2"/>
        <v>0</v>
      </c>
      <c r="AG57" s="397">
        <f t="shared" si="6"/>
        <v>0</v>
      </c>
    </row>
    <row r="58" spans="1:33" s="311" customFormat="1" ht="36.75" customHeight="1" x14ac:dyDescent="0.25">
      <c r="A58" s="395" t="s">
        <v>58</v>
      </c>
      <c r="B58" s="404" t="s">
        <v>236</v>
      </c>
      <c r="C58" s="397">
        <f>'6.2. Паспорт фин осв ввод факт'!C58</f>
        <v>0</v>
      </c>
      <c r="D58" s="397">
        <f t="shared" si="3"/>
        <v>0</v>
      </c>
      <c r="E58" s="397">
        <f t="shared" si="7"/>
        <v>0</v>
      </c>
      <c r="F58" s="397">
        <f t="shared" si="4"/>
        <v>0</v>
      </c>
      <c r="G58" s="397">
        <f>'6.2. Паспорт фин осв ввод факт'!G58</f>
        <v>0</v>
      </c>
      <c r="H58" s="397">
        <f>'6.2. Паспорт фин осв ввод факт'!J58</f>
        <v>0</v>
      </c>
      <c r="I58" s="397">
        <f>'6.2. Паспорт фин осв ввод факт'!N58</f>
        <v>0</v>
      </c>
      <c r="J58" s="397">
        <f>'6.2. Паспорт фин осв ввод факт'!P58</f>
        <v>0</v>
      </c>
      <c r="K58" s="397">
        <f t="shared" si="5"/>
        <v>0</v>
      </c>
      <c r="L58" s="397">
        <f>'6.2. Паспорт фин осв ввод факт'!T58</f>
        <v>0</v>
      </c>
      <c r="M58" s="397">
        <v>0</v>
      </c>
      <c r="N58" s="405">
        <v>0</v>
      </c>
      <c r="O58" s="397">
        <v>0</v>
      </c>
      <c r="P58" s="397">
        <f>'6.2. Паспорт фин осв ввод факт'!X58</f>
        <v>0</v>
      </c>
      <c r="Q58" s="397">
        <v>0</v>
      </c>
      <c r="R58" s="397">
        <v>0</v>
      </c>
      <c r="S58" s="397">
        <v>0</v>
      </c>
      <c r="T58" s="397">
        <v>0</v>
      </c>
      <c r="U58" s="397">
        <v>0</v>
      </c>
      <c r="V58" s="397" t="s">
        <v>605</v>
      </c>
      <c r="W58" s="397" t="s">
        <v>605</v>
      </c>
      <c r="X58" s="397">
        <v>0</v>
      </c>
      <c r="Y58" s="397">
        <v>0</v>
      </c>
      <c r="Z58" s="397" t="s">
        <v>605</v>
      </c>
      <c r="AA58" s="397" t="s">
        <v>605</v>
      </c>
      <c r="AB58" s="397">
        <v>0</v>
      </c>
      <c r="AC58" s="397">
        <v>0</v>
      </c>
      <c r="AD58" s="397" t="s">
        <v>605</v>
      </c>
      <c r="AE58" s="397" t="s">
        <v>605</v>
      </c>
      <c r="AF58" s="397">
        <f t="shared" si="2"/>
        <v>0</v>
      </c>
      <c r="AG58" s="397">
        <f t="shared" si="6"/>
        <v>0</v>
      </c>
    </row>
    <row r="59" spans="1:33" s="311" customFormat="1" x14ac:dyDescent="0.25">
      <c r="A59" s="395" t="s">
        <v>56</v>
      </c>
      <c r="B59" s="396" t="s">
        <v>140</v>
      </c>
      <c r="C59" s="397">
        <f>'6.2. Паспорт фин осв ввод факт'!C59</f>
        <v>0</v>
      </c>
      <c r="D59" s="397">
        <f t="shared" si="3"/>
        <v>0</v>
      </c>
      <c r="E59" s="397">
        <v>0</v>
      </c>
      <c r="F59" s="397">
        <f t="shared" si="4"/>
        <v>0</v>
      </c>
      <c r="G59" s="397">
        <f>'6.2. Паспорт фин осв ввод факт'!G59</f>
        <v>0</v>
      </c>
      <c r="H59" s="397">
        <f>'6.2. Паспорт фин осв ввод факт'!J59</f>
        <v>0</v>
      </c>
      <c r="I59" s="397">
        <f>'6.2. Паспорт фин осв ввод факт'!N59</f>
        <v>0</v>
      </c>
      <c r="J59" s="397">
        <f>'6.2. Паспорт фин осв ввод факт'!P59</f>
        <v>0</v>
      </c>
      <c r="K59" s="397">
        <f t="shared" si="5"/>
        <v>0</v>
      </c>
      <c r="L59" s="397">
        <f>'6.2. Паспорт фин осв ввод факт'!T59</f>
        <v>0</v>
      </c>
      <c r="M59" s="397">
        <v>0</v>
      </c>
      <c r="N59" s="397">
        <v>0</v>
      </c>
      <c r="O59" s="397">
        <v>0</v>
      </c>
      <c r="P59" s="397">
        <f>'6.2. Паспорт фин осв ввод факт'!X59</f>
        <v>0</v>
      </c>
      <c r="Q59" s="397">
        <v>0</v>
      </c>
      <c r="R59" s="397">
        <v>0</v>
      </c>
      <c r="S59" s="397">
        <v>0</v>
      </c>
      <c r="T59" s="397">
        <v>0</v>
      </c>
      <c r="U59" s="397">
        <v>0</v>
      </c>
      <c r="V59" s="397" t="s">
        <v>605</v>
      </c>
      <c r="W59" s="397" t="s">
        <v>605</v>
      </c>
      <c r="X59" s="397">
        <v>0</v>
      </c>
      <c r="Y59" s="397">
        <v>0</v>
      </c>
      <c r="Z59" s="397" t="s">
        <v>605</v>
      </c>
      <c r="AA59" s="397" t="s">
        <v>605</v>
      </c>
      <c r="AB59" s="397">
        <v>0</v>
      </c>
      <c r="AC59" s="397">
        <v>0</v>
      </c>
      <c r="AD59" s="397" t="s">
        <v>605</v>
      </c>
      <c r="AE59" s="397" t="s">
        <v>605</v>
      </c>
      <c r="AF59" s="397">
        <f t="shared" si="2"/>
        <v>0</v>
      </c>
      <c r="AG59" s="397">
        <f t="shared" si="6"/>
        <v>0</v>
      </c>
    </row>
    <row r="60" spans="1:33" x14ac:dyDescent="0.25">
      <c r="A60" s="398" t="s">
        <v>230</v>
      </c>
      <c r="B60" s="406" t="s">
        <v>161</v>
      </c>
      <c r="C60" s="397">
        <f>'6.2. Паспорт фин осв ввод факт'!C60</f>
        <v>0</v>
      </c>
      <c r="D60" s="397">
        <f t="shared" si="3"/>
        <v>0</v>
      </c>
      <c r="E60" s="397">
        <v>0</v>
      </c>
      <c r="F60" s="397">
        <f t="shared" si="4"/>
        <v>0</v>
      </c>
      <c r="G60" s="400">
        <f>'6.2. Паспорт фин осв ввод факт'!G60</f>
        <v>0</v>
      </c>
      <c r="H60" s="400">
        <f>'6.2. Паспорт фин осв ввод факт'!J60</f>
        <v>0</v>
      </c>
      <c r="I60" s="400">
        <f>'6.2. Паспорт фин осв ввод факт'!N60</f>
        <v>0</v>
      </c>
      <c r="J60" s="400">
        <f>'6.2. Паспорт фин осв ввод факт'!P60</f>
        <v>0</v>
      </c>
      <c r="K60" s="400">
        <f t="shared" si="5"/>
        <v>0</v>
      </c>
      <c r="L60" s="400">
        <f>'6.2. Паспорт фин осв ввод факт'!T60</f>
        <v>0</v>
      </c>
      <c r="M60" s="400">
        <v>0</v>
      </c>
      <c r="N60" s="407">
        <v>0</v>
      </c>
      <c r="O60" s="400">
        <v>0</v>
      </c>
      <c r="P60" s="400">
        <f>'6.2. Паспорт фин осв ввод факт'!X60</f>
        <v>0</v>
      </c>
      <c r="Q60" s="400">
        <v>0</v>
      </c>
      <c r="R60" s="400">
        <v>0</v>
      </c>
      <c r="S60" s="400">
        <v>0</v>
      </c>
      <c r="T60" s="400">
        <v>0</v>
      </c>
      <c r="U60" s="400">
        <v>0</v>
      </c>
      <c r="V60" s="397" t="s">
        <v>605</v>
      </c>
      <c r="W60" s="397" t="s">
        <v>605</v>
      </c>
      <c r="X60" s="400">
        <v>0</v>
      </c>
      <c r="Y60" s="400">
        <v>0</v>
      </c>
      <c r="Z60" s="397" t="s">
        <v>605</v>
      </c>
      <c r="AA60" s="397" t="s">
        <v>605</v>
      </c>
      <c r="AB60" s="400">
        <v>0</v>
      </c>
      <c r="AC60" s="400">
        <v>0</v>
      </c>
      <c r="AD60" s="397" t="s">
        <v>605</v>
      </c>
      <c r="AE60" s="397" t="s">
        <v>605</v>
      </c>
      <c r="AF60" s="397">
        <f t="shared" si="2"/>
        <v>0</v>
      </c>
      <c r="AG60" s="397">
        <f t="shared" si="6"/>
        <v>0</v>
      </c>
    </row>
    <row r="61" spans="1:33" x14ac:dyDescent="0.25">
      <c r="A61" s="398" t="s">
        <v>231</v>
      </c>
      <c r="B61" s="406" t="s">
        <v>159</v>
      </c>
      <c r="C61" s="397">
        <f>'6.2. Паспорт фин осв ввод факт'!C61</f>
        <v>0</v>
      </c>
      <c r="D61" s="397">
        <v>16.687811319116982</v>
      </c>
      <c r="E61" s="397">
        <f>D61</f>
        <v>16.687811319116982</v>
      </c>
      <c r="F61" s="397">
        <f t="shared" si="4"/>
        <v>16.687811319116982</v>
      </c>
      <c r="G61" s="400">
        <f>'6.2. Паспорт фин осв ввод факт'!G61</f>
        <v>0</v>
      </c>
      <c r="H61" s="400">
        <f>'6.2. Паспорт фин осв ввод факт'!J61</f>
        <v>0</v>
      </c>
      <c r="I61" s="400">
        <f>'6.2. Паспорт фин осв ввод факт'!N61</f>
        <v>0.59999999999999964</v>
      </c>
      <c r="J61" s="400">
        <f>'6.2. Паспорт фин осв ввод факт'!P61</f>
        <v>0</v>
      </c>
      <c r="K61" s="400">
        <f t="shared" si="5"/>
        <v>0</v>
      </c>
      <c r="L61" s="400">
        <f>'6.2. Паспорт фин осв ввод факт'!T61</f>
        <v>0</v>
      </c>
      <c r="M61" s="400">
        <v>0</v>
      </c>
      <c r="N61" s="407">
        <v>5.3760203557664834</v>
      </c>
      <c r="O61" s="400">
        <v>0</v>
      </c>
      <c r="P61" s="400">
        <f>'6.2. Паспорт фин осв ввод факт'!X61</f>
        <v>0</v>
      </c>
      <c r="Q61" s="400">
        <v>0</v>
      </c>
      <c r="R61" s="400">
        <v>0</v>
      </c>
      <c r="S61" s="400">
        <v>0</v>
      </c>
      <c r="T61" s="400">
        <v>4.1284071675175591</v>
      </c>
      <c r="U61" s="400">
        <v>0</v>
      </c>
      <c r="V61" s="397" t="s">
        <v>605</v>
      </c>
      <c r="W61" s="397" t="s">
        <v>605</v>
      </c>
      <c r="X61" s="400">
        <v>2.46678248537139</v>
      </c>
      <c r="Y61" s="400">
        <v>0</v>
      </c>
      <c r="Z61" s="397" t="s">
        <v>605</v>
      </c>
      <c r="AA61" s="397" t="s">
        <v>605</v>
      </c>
      <c r="AB61" s="400">
        <v>4.7166013104615496</v>
      </c>
      <c r="AC61" s="400">
        <v>0</v>
      </c>
      <c r="AD61" s="397" t="s">
        <v>605</v>
      </c>
      <c r="AE61" s="397" t="s">
        <v>605</v>
      </c>
      <c r="AF61" s="397">
        <f t="shared" si="2"/>
        <v>0</v>
      </c>
      <c r="AG61" s="397">
        <f t="shared" si="6"/>
        <v>16.687811319116982</v>
      </c>
    </row>
    <row r="62" spans="1:33" x14ac:dyDescent="0.25">
      <c r="A62" s="398" t="s">
        <v>232</v>
      </c>
      <c r="B62" s="406" t="s">
        <v>157</v>
      </c>
      <c r="C62" s="397">
        <f>'6.2. Паспорт фин осв ввод факт'!C62</f>
        <v>0</v>
      </c>
      <c r="D62" s="397">
        <f t="shared" si="3"/>
        <v>0</v>
      </c>
      <c r="E62" s="397">
        <v>0</v>
      </c>
      <c r="F62" s="397">
        <f t="shared" si="4"/>
        <v>0</v>
      </c>
      <c r="G62" s="400">
        <f>'6.2. Паспорт фин осв ввод факт'!G62</f>
        <v>0</v>
      </c>
      <c r="H62" s="400">
        <f>'6.2. Паспорт фин осв ввод факт'!J62</f>
        <v>0</v>
      </c>
      <c r="I62" s="400">
        <f>'6.2. Паспорт фин осв ввод факт'!N62</f>
        <v>0</v>
      </c>
      <c r="J62" s="400">
        <f>'6.2. Паспорт фин осв ввод факт'!P62</f>
        <v>0</v>
      </c>
      <c r="K62" s="400">
        <f t="shared" si="5"/>
        <v>0</v>
      </c>
      <c r="L62" s="400">
        <f>'6.2. Паспорт фин осв ввод факт'!T62</f>
        <v>0</v>
      </c>
      <c r="M62" s="400">
        <v>0</v>
      </c>
      <c r="N62" s="407">
        <v>0</v>
      </c>
      <c r="O62" s="400">
        <v>0</v>
      </c>
      <c r="P62" s="400">
        <f>'6.2. Паспорт фин осв ввод факт'!X62</f>
        <v>0</v>
      </c>
      <c r="Q62" s="400">
        <v>0</v>
      </c>
      <c r="R62" s="400">
        <v>0</v>
      </c>
      <c r="S62" s="400">
        <v>0</v>
      </c>
      <c r="T62" s="400">
        <v>0</v>
      </c>
      <c r="U62" s="400">
        <v>0</v>
      </c>
      <c r="V62" s="397" t="s">
        <v>605</v>
      </c>
      <c r="W62" s="397" t="s">
        <v>605</v>
      </c>
      <c r="X62" s="400">
        <v>0</v>
      </c>
      <c r="Y62" s="400">
        <v>0</v>
      </c>
      <c r="Z62" s="397" t="s">
        <v>605</v>
      </c>
      <c r="AA62" s="397" t="s">
        <v>605</v>
      </c>
      <c r="AB62" s="400">
        <v>0</v>
      </c>
      <c r="AC62" s="400">
        <v>0</v>
      </c>
      <c r="AD62" s="397" t="s">
        <v>605</v>
      </c>
      <c r="AE62" s="397" t="s">
        <v>605</v>
      </c>
      <c r="AF62" s="397">
        <f t="shared" si="2"/>
        <v>0</v>
      </c>
      <c r="AG62" s="397">
        <f t="shared" si="6"/>
        <v>0</v>
      </c>
    </row>
    <row r="63" spans="1:33" x14ac:dyDescent="0.25">
      <c r="A63" s="398" t="s">
        <v>233</v>
      </c>
      <c r="B63" s="406" t="s">
        <v>235</v>
      </c>
      <c r="C63" s="397">
        <f>'6.2. Паспорт фин осв ввод факт'!C63</f>
        <v>0</v>
      </c>
      <c r="D63" s="397">
        <v>43.388309429704151</v>
      </c>
      <c r="E63" s="397">
        <f>D63</f>
        <v>43.388309429704151</v>
      </c>
      <c r="F63" s="397">
        <f t="shared" si="4"/>
        <v>43.388309429704151</v>
      </c>
      <c r="G63" s="400">
        <f>'6.2. Паспорт фин осв ввод факт'!G63</f>
        <v>0</v>
      </c>
      <c r="H63" s="400">
        <f>'6.2. Паспорт фин осв ввод факт'!J63</f>
        <v>0</v>
      </c>
      <c r="I63" s="400">
        <f>'6.2. Паспорт фин осв ввод факт'!N63</f>
        <v>17.886000000000024</v>
      </c>
      <c r="J63" s="400">
        <f>'6.2. Паспорт фин осв ввод факт'!P63</f>
        <v>0</v>
      </c>
      <c r="K63" s="400">
        <f t="shared" si="5"/>
        <v>0</v>
      </c>
      <c r="L63" s="400">
        <f>'6.2. Паспорт фин осв ввод факт'!T63</f>
        <v>0</v>
      </c>
      <c r="M63" s="400">
        <v>0</v>
      </c>
      <c r="N63" s="407">
        <v>13.977652924992858</v>
      </c>
      <c r="O63" s="400">
        <v>0</v>
      </c>
      <c r="P63" s="400">
        <f>'6.2. Паспорт фин осв ввод факт'!X63</f>
        <v>0</v>
      </c>
      <c r="Q63" s="400">
        <v>0</v>
      </c>
      <c r="R63" s="400">
        <v>0</v>
      </c>
      <c r="S63" s="400">
        <v>0</v>
      </c>
      <c r="T63" s="400">
        <v>10.733858635545655</v>
      </c>
      <c r="U63" s="400">
        <v>0</v>
      </c>
      <c r="V63" s="397" t="s">
        <v>605</v>
      </c>
      <c r="W63" s="397" t="s">
        <v>605</v>
      </c>
      <c r="X63" s="400">
        <v>6.4136344619656143</v>
      </c>
      <c r="Y63" s="400">
        <v>0</v>
      </c>
      <c r="Z63" s="397" t="s">
        <v>605</v>
      </c>
      <c r="AA63" s="397" t="s">
        <v>605</v>
      </c>
      <c r="AB63" s="400">
        <v>12.263163407200029</v>
      </c>
      <c r="AC63" s="400">
        <v>0</v>
      </c>
      <c r="AD63" s="397" t="s">
        <v>605</v>
      </c>
      <c r="AE63" s="397" t="s">
        <v>605</v>
      </c>
      <c r="AF63" s="397">
        <f t="shared" si="2"/>
        <v>0</v>
      </c>
      <c r="AG63" s="397">
        <f t="shared" si="6"/>
        <v>43.388309429704151</v>
      </c>
    </row>
    <row r="64" spans="1:33" ht="18.75" x14ac:dyDescent="0.25">
      <c r="A64" s="398" t="s">
        <v>234</v>
      </c>
      <c r="B64" s="402" t="s">
        <v>1032</v>
      </c>
      <c r="C64" s="397">
        <f>'6.2. Паспорт фин осв ввод факт'!C64</f>
        <v>0</v>
      </c>
      <c r="D64" s="397">
        <f t="shared" si="3"/>
        <v>0</v>
      </c>
      <c r="E64" s="397">
        <v>0</v>
      </c>
      <c r="F64" s="397">
        <f t="shared" si="4"/>
        <v>0</v>
      </c>
      <c r="G64" s="400">
        <f>'6.2. Паспорт фин осв ввод факт'!G64</f>
        <v>0</v>
      </c>
      <c r="H64" s="400">
        <f>'6.2. Паспорт фин осв ввод факт'!J64</f>
        <v>0</v>
      </c>
      <c r="I64" s="400">
        <f>'6.2. Паспорт фин осв ввод факт'!N64</f>
        <v>0</v>
      </c>
      <c r="J64" s="400">
        <f>'6.2. Паспорт фин осв ввод факт'!P64</f>
        <v>0</v>
      </c>
      <c r="K64" s="400">
        <f t="shared" si="5"/>
        <v>0</v>
      </c>
      <c r="L64" s="400">
        <f>'6.2. Паспорт фин осв ввод факт'!T64</f>
        <v>0</v>
      </c>
      <c r="M64" s="400">
        <v>0</v>
      </c>
      <c r="N64" s="403">
        <v>0</v>
      </c>
      <c r="O64" s="400">
        <v>0</v>
      </c>
      <c r="P64" s="400">
        <f>'6.2. Паспорт фин осв ввод факт'!X64</f>
        <v>0</v>
      </c>
      <c r="Q64" s="400">
        <v>0</v>
      </c>
      <c r="R64" s="400">
        <v>0</v>
      </c>
      <c r="S64" s="400">
        <v>0</v>
      </c>
      <c r="T64" s="400">
        <v>0</v>
      </c>
      <c r="U64" s="400">
        <v>0</v>
      </c>
      <c r="V64" s="397" t="s">
        <v>605</v>
      </c>
      <c r="W64" s="397" t="s">
        <v>605</v>
      </c>
      <c r="X64" s="400">
        <v>0</v>
      </c>
      <c r="Y64" s="400">
        <v>0</v>
      </c>
      <c r="Z64" s="397" t="s">
        <v>605</v>
      </c>
      <c r="AA64" s="397" t="s">
        <v>605</v>
      </c>
      <c r="AB64" s="400">
        <v>0</v>
      </c>
      <c r="AC64" s="400">
        <v>0</v>
      </c>
      <c r="AD64" s="397" t="s">
        <v>605</v>
      </c>
      <c r="AE64" s="397" t="s">
        <v>605</v>
      </c>
      <c r="AF64" s="397">
        <f t="shared" si="2"/>
        <v>0</v>
      </c>
      <c r="AG64" s="397">
        <f t="shared" si="6"/>
        <v>0</v>
      </c>
    </row>
    <row r="65" spans="1:32" x14ac:dyDescent="0.25">
      <c r="A65" s="72"/>
      <c r="B65" s="73"/>
      <c r="C65" s="73"/>
      <c r="D65" s="73"/>
      <c r="E65" s="73"/>
      <c r="F65" s="73"/>
      <c r="G65" s="73"/>
      <c r="H65" s="73"/>
      <c r="I65" s="73"/>
      <c r="J65" s="73"/>
      <c r="K65" s="73"/>
      <c r="L65" s="66"/>
      <c r="M65" s="66"/>
      <c r="N65" s="66"/>
      <c r="O65" s="66"/>
      <c r="P65" s="66"/>
      <c r="Q65" s="66"/>
      <c r="R65" s="66"/>
      <c r="S65" s="66"/>
      <c r="T65" s="66"/>
      <c r="U65" s="66"/>
      <c r="V65" s="66"/>
      <c r="W65" s="66"/>
      <c r="X65" s="66"/>
      <c r="Y65" s="66"/>
      <c r="Z65" s="66"/>
      <c r="AA65" s="66"/>
      <c r="AB65" s="66"/>
      <c r="AC65" s="66"/>
      <c r="AD65" s="66"/>
      <c r="AE65" s="66"/>
      <c r="AF65" s="66"/>
    </row>
    <row r="66" spans="1:32" x14ac:dyDescent="0.25">
      <c r="A66" s="66"/>
      <c r="B66" s="71"/>
      <c r="C66" s="71"/>
      <c r="D66" s="71"/>
      <c r="E66" s="71"/>
      <c r="F66" s="71"/>
      <c r="G66" s="71"/>
      <c r="H66" s="71"/>
      <c r="I66" s="71"/>
      <c r="J66" s="409"/>
      <c r="K66" s="409"/>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x14ac:dyDescent="0.25">
      <c r="A68" s="66"/>
      <c r="B68" s="413"/>
      <c r="C68" s="413"/>
      <c r="D68" s="415"/>
      <c r="E68" s="413"/>
      <c r="F68" s="413"/>
      <c r="G68" s="413"/>
      <c r="H68" s="413"/>
      <c r="I68" s="413"/>
      <c r="J68" s="411"/>
      <c r="K68" s="41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x14ac:dyDescent="0.25">
      <c r="A70" s="66"/>
      <c r="B70" s="71"/>
      <c r="C70" s="71"/>
      <c r="D70" s="416"/>
      <c r="E70" s="71"/>
      <c r="F70" s="71"/>
      <c r="G70" s="71"/>
      <c r="H70" s="71"/>
      <c r="I70" s="71"/>
      <c r="J70" s="409"/>
      <c r="K70" s="409"/>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0"/>
      <c r="C71" s="70"/>
      <c r="D71" s="70"/>
      <c r="E71" s="70"/>
      <c r="F71" s="70"/>
      <c r="L71" s="66"/>
      <c r="M71" s="66"/>
      <c r="N71" s="66"/>
      <c r="O71" s="66"/>
      <c r="P71" s="66"/>
      <c r="Q71" s="66"/>
      <c r="R71" s="66"/>
      <c r="S71" s="66"/>
      <c r="T71" s="66"/>
      <c r="U71" s="66"/>
      <c r="V71" s="66"/>
      <c r="W71" s="66"/>
      <c r="X71" s="66"/>
      <c r="Y71" s="66"/>
      <c r="Z71" s="66"/>
      <c r="AA71" s="66"/>
      <c r="AB71" s="66"/>
      <c r="AC71" s="66"/>
      <c r="AD71" s="66"/>
      <c r="AE71" s="66"/>
      <c r="AF71" s="66"/>
    </row>
    <row r="72" spans="1:32" x14ac:dyDescent="0.25">
      <c r="A72" s="66"/>
      <c r="B72" s="71"/>
      <c r="C72" s="71"/>
      <c r="D72" s="71"/>
      <c r="E72" s="71"/>
      <c r="F72" s="71"/>
      <c r="G72" s="71"/>
      <c r="H72" s="71"/>
      <c r="I72" s="71"/>
      <c r="J72" s="409"/>
      <c r="K72" s="409"/>
      <c r="L72" s="66"/>
      <c r="M72" s="66"/>
      <c r="N72" s="66"/>
      <c r="O72" s="66"/>
      <c r="P72" s="66"/>
      <c r="Q72" s="66"/>
      <c r="R72" s="66"/>
      <c r="S72" s="66"/>
      <c r="T72" s="66"/>
      <c r="U72" s="66"/>
      <c r="V72" s="66"/>
      <c r="W72" s="66"/>
      <c r="X72" s="66"/>
      <c r="Y72" s="66"/>
      <c r="Z72" s="66"/>
      <c r="AA72" s="66"/>
      <c r="AB72" s="66"/>
      <c r="AC72" s="66"/>
      <c r="AD72" s="66"/>
      <c r="AE72" s="66"/>
      <c r="AF72" s="66"/>
    </row>
    <row r="73" spans="1:32" x14ac:dyDescent="0.25">
      <c r="A73" s="66"/>
      <c r="B73" s="413"/>
      <c r="C73" s="413"/>
      <c r="D73" s="413"/>
      <c r="E73" s="413"/>
      <c r="F73" s="413"/>
      <c r="G73" s="413"/>
      <c r="H73" s="413"/>
      <c r="I73" s="413"/>
      <c r="J73" s="411"/>
      <c r="K73" s="411"/>
      <c r="L73" s="66"/>
      <c r="M73" s="66"/>
      <c r="N73" s="66"/>
      <c r="O73" s="66"/>
      <c r="P73" s="66"/>
      <c r="Q73" s="66"/>
      <c r="R73" s="66"/>
      <c r="S73" s="66"/>
      <c r="T73" s="66"/>
      <c r="U73" s="66"/>
      <c r="V73" s="66"/>
      <c r="W73" s="66"/>
      <c r="X73" s="66"/>
      <c r="Y73" s="66"/>
      <c r="Z73" s="66"/>
      <c r="AA73" s="66"/>
      <c r="AB73" s="66"/>
      <c r="AC73" s="66"/>
      <c r="AD73" s="66"/>
      <c r="AE73" s="66"/>
      <c r="AF73" s="66"/>
    </row>
    <row r="74" spans="1:32" x14ac:dyDescent="0.25">
      <c r="A74" s="66"/>
      <c r="B74" s="71"/>
      <c r="C74" s="71"/>
      <c r="D74" s="71"/>
      <c r="E74" s="71"/>
      <c r="F74" s="71"/>
      <c r="G74" s="71"/>
      <c r="H74" s="71"/>
      <c r="I74" s="71"/>
      <c r="J74" s="409"/>
      <c r="K74" s="409"/>
      <c r="L74" s="66"/>
      <c r="M74" s="66"/>
      <c r="N74" s="66"/>
      <c r="O74" s="66"/>
      <c r="P74" s="66"/>
      <c r="Q74" s="66"/>
      <c r="R74" s="66"/>
      <c r="S74" s="66"/>
      <c r="T74" s="66"/>
      <c r="U74" s="66"/>
      <c r="V74" s="66"/>
      <c r="W74" s="66"/>
      <c r="X74" s="66"/>
      <c r="Y74" s="66"/>
      <c r="Z74" s="66"/>
      <c r="AA74" s="66"/>
      <c r="AB74" s="66"/>
      <c r="AC74" s="66"/>
      <c r="AD74" s="66"/>
      <c r="AE74" s="66"/>
      <c r="AF74" s="66"/>
    </row>
    <row r="75" spans="1:32" x14ac:dyDescent="0.25">
      <c r="A75" s="66"/>
      <c r="B75" s="67"/>
      <c r="C75" s="67"/>
      <c r="D75" s="67"/>
      <c r="E75" s="67"/>
      <c r="F75" s="67"/>
      <c r="G75" s="67"/>
      <c r="H75" s="67"/>
      <c r="I75" s="67"/>
      <c r="J75" s="412"/>
      <c r="K75" s="412"/>
      <c r="L75" s="66"/>
      <c r="M75" s="66"/>
      <c r="N75" s="66"/>
      <c r="O75" s="66"/>
      <c r="P75" s="66"/>
      <c r="Q75" s="66"/>
      <c r="R75" s="66"/>
      <c r="S75" s="66"/>
      <c r="T75" s="66"/>
      <c r="U75" s="66"/>
      <c r="V75" s="66"/>
      <c r="W75" s="66"/>
      <c r="X75" s="66"/>
      <c r="Y75" s="66"/>
      <c r="Z75" s="66"/>
      <c r="AA75" s="66"/>
      <c r="AB75" s="66"/>
      <c r="AC75" s="66"/>
      <c r="AD75" s="66"/>
      <c r="AE75" s="66"/>
      <c r="AF75" s="66"/>
    </row>
    <row r="76" spans="1:32" x14ac:dyDescent="0.25">
      <c r="A76" s="66"/>
      <c r="B76" s="67"/>
      <c r="C76" s="67"/>
      <c r="D76" s="67"/>
      <c r="E76" s="67"/>
      <c r="F76" s="67"/>
      <c r="L76" s="66"/>
      <c r="M76" s="66"/>
      <c r="N76" s="66"/>
      <c r="O76" s="66"/>
      <c r="P76" s="66"/>
      <c r="Q76" s="66"/>
      <c r="R76" s="66"/>
      <c r="S76" s="66"/>
      <c r="T76" s="66"/>
      <c r="U76" s="66"/>
      <c r="V76" s="66"/>
      <c r="W76" s="66"/>
      <c r="X76" s="66"/>
      <c r="Y76" s="66"/>
      <c r="Z76" s="66"/>
      <c r="AA76" s="66"/>
      <c r="AB76" s="66"/>
      <c r="AC76" s="66"/>
      <c r="AD76" s="66"/>
      <c r="AE76" s="66"/>
      <c r="AF76" s="66"/>
    </row>
    <row r="77" spans="1:32" x14ac:dyDescent="0.25">
      <c r="A77" s="66"/>
      <c r="B77" s="414"/>
      <c r="C77" s="414"/>
      <c r="D77" s="414"/>
      <c r="E77" s="414"/>
      <c r="F77" s="414"/>
      <c r="G77" s="414"/>
      <c r="H77" s="414"/>
      <c r="I77" s="414"/>
      <c r="J77" s="410"/>
      <c r="K77" s="410"/>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5">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55" priority="61" operator="greaterThan">
      <formula>0</formula>
    </cfRule>
  </conditionalFormatting>
  <conditionalFormatting sqref="C31">
    <cfRule type="cellIs" dxfId="54" priority="60" operator="greaterThan">
      <formula>0</formula>
    </cfRule>
  </conditionalFormatting>
  <conditionalFormatting sqref="C31">
    <cfRule type="cellIs" dxfId="53" priority="59" operator="greaterThan">
      <formula>0</formula>
    </cfRule>
  </conditionalFormatting>
  <conditionalFormatting sqref="C31">
    <cfRule type="cellIs" dxfId="52" priority="58" operator="greaterThan">
      <formula>0</formula>
    </cfRule>
  </conditionalFormatting>
  <conditionalFormatting sqref="X24:Y24 AB24:AC24 AF24:AF64 J25:J64 C24:C64 Q24:U24 Q25:Q64 E25:E26 L24:O64 E28:E44 E46:E64">
    <cfRule type="cellIs" dxfId="51" priority="57" operator="notEqual">
      <formula>0</formula>
    </cfRule>
  </conditionalFormatting>
  <conditionalFormatting sqref="X24:Y24 AB24:AC24">
    <cfRule type="cellIs" dxfId="50" priority="56" operator="greaterThan">
      <formula>0</formula>
    </cfRule>
  </conditionalFormatting>
  <conditionalFormatting sqref="X24:Y24 AB24:AC24">
    <cfRule type="cellIs" dxfId="49" priority="55" operator="greaterThan">
      <formula>0</formula>
    </cfRule>
  </conditionalFormatting>
  <conditionalFormatting sqref="X24:Y24 AB24:AC24">
    <cfRule type="cellIs" dxfId="48" priority="54" operator="greaterThan">
      <formula>0</formula>
    </cfRule>
  </conditionalFormatting>
  <conditionalFormatting sqref="D30">
    <cfRule type="cellIs" dxfId="47" priority="53" operator="greaterThan">
      <formula>0</formula>
    </cfRule>
  </conditionalFormatting>
  <conditionalFormatting sqref="D31">
    <cfRule type="cellIs" dxfId="46" priority="52" operator="greaterThan">
      <formula>0</formula>
    </cfRule>
  </conditionalFormatting>
  <conditionalFormatting sqref="D31">
    <cfRule type="cellIs" dxfId="45" priority="51" operator="greaterThan">
      <formula>0</formula>
    </cfRule>
  </conditionalFormatting>
  <conditionalFormatting sqref="D31">
    <cfRule type="cellIs" dxfId="44" priority="50" operator="greaterThan">
      <formula>0</formula>
    </cfRule>
  </conditionalFormatting>
  <conditionalFormatting sqref="D25:D26 D28:D64">
    <cfRule type="cellIs" dxfId="43" priority="49" operator="notEqual">
      <formula>0</formula>
    </cfRule>
  </conditionalFormatting>
  <conditionalFormatting sqref="R25:U36 X25:Y44 AB25:AC44 R57:U64 S54:S56 R50:U53 S46:U49 R42:U44 S37:U41 U54:U56 X57:Y64 Y54:Y56 AB57:AC64 AC54:AC56 S45 U45 X46:Y53 Y45 AB46:AC53 AC45">
    <cfRule type="cellIs" dxfId="42" priority="48" operator="notEqual">
      <formula>0</formula>
    </cfRule>
  </conditionalFormatting>
  <conditionalFormatting sqref="AG24:AG64">
    <cfRule type="cellIs" dxfId="41" priority="47" operator="notEqual">
      <formula>0</formula>
    </cfRule>
  </conditionalFormatting>
  <conditionalFormatting sqref="I30">
    <cfRule type="cellIs" dxfId="40" priority="46" operator="greaterThan">
      <formula>0</formula>
    </cfRule>
  </conditionalFormatting>
  <conditionalFormatting sqref="I30">
    <cfRule type="cellIs" dxfId="39" priority="45" operator="greaterThan">
      <formula>0</formula>
    </cfRule>
  </conditionalFormatting>
  <conditionalFormatting sqref="I30">
    <cfRule type="cellIs" dxfId="38" priority="44" operator="greaterThan">
      <formula>0</formula>
    </cfRule>
  </conditionalFormatting>
  <conditionalFormatting sqref="I25:I29">
    <cfRule type="cellIs" dxfId="37" priority="40" operator="greaterThan">
      <formula>0</formula>
    </cfRule>
  </conditionalFormatting>
  <conditionalFormatting sqref="I25:I29">
    <cfRule type="cellIs" dxfId="36" priority="39" operator="greaterThan">
      <formula>0</formula>
    </cfRule>
  </conditionalFormatting>
  <conditionalFormatting sqref="I25:I29">
    <cfRule type="cellIs" dxfId="35" priority="38" operator="greaterThan">
      <formula>0</formula>
    </cfRule>
  </conditionalFormatting>
  <conditionalFormatting sqref="I25:I64">
    <cfRule type="cellIs" dxfId="34" priority="37" operator="notEqual">
      <formula>0</formula>
    </cfRule>
  </conditionalFormatting>
  <conditionalFormatting sqref="I30">
    <cfRule type="cellIs" dxfId="33" priority="36" operator="greaterThan">
      <formula>0</formula>
    </cfRule>
  </conditionalFormatting>
  <conditionalFormatting sqref="I30">
    <cfRule type="cellIs" dxfId="32" priority="35" operator="greaterThan">
      <formula>0</formula>
    </cfRule>
  </conditionalFormatting>
  <conditionalFormatting sqref="I30">
    <cfRule type="cellIs" dxfId="31" priority="34" operator="greaterThan">
      <formula>0</formula>
    </cfRule>
  </conditionalFormatting>
  <conditionalFormatting sqref="F25:F44 F46:F64">
    <cfRule type="cellIs" dxfId="30" priority="33" operator="notEqual">
      <formula>0</formula>
    </cfRule>
  </conditionalFormatting>
  <conditionalFormatting sqref="G25:G64">
    <cfRule type="cellIs" dxfId="29" priority="32" operator="notEqual">
      <formula>0</formula>
    </cfRule>
  </conditionalFormatting>
  <conditionalFormatting sqref="H25:H64">
    <cfRule type="cellIs" dxfId="28" priority="31" operator="notEqual">
      <formula>0</formula>
    </cfRule>
  </conditionalFormatting>
  <conditionalFormatting sqref="H25:H64">
    <cfRule type="cellIs" dxfId="27" priority="30" operator="greaterThan">
      <formula>0</formula>
    </cfRule>
  </conditionalFormatting>
  <conditionalFormatting sqref="H25:H64">
    <cfRule type="cellIs" dxfId="26" priority="29" operator="greaterThan">
      <formula>0</formula>
    </cfRule>
  </conditionalFormatting>
  <conditionalFormatting sqref="H25:H64">
    <cfRule type="cellIs" dxfId="25" priority="28" operator="greaterThan">
      <formula>0</formula>
    </cfRule>
  </conditionalFormatting>
  <conditionalFormatting sqref="H25:H61">
    <cfRule type="cellIs" dxfId="24" priority="27" operator="greaterThan">
      <formula>0</formula>
    </cfRule>
  </conditionalFormatting>
  <conditionalFormatting sqref="K25:K64">
    <cfRule type="cellIs" dxfId="23" priority="25" operator="notEqual">
      <formula>0</formula>
    </cfRule>
  </conditionalFormatting>
  <conditionalFormatting sqref="P24">
    <cfRule type="cellIs" dxfId="22" priority="24" operator="greaterThan">
      <formula>0</formula>
    </cfRule>
  </conditionalFormatting>
  <conditionalFormatting sqref="P24:P64">
    <cfRule type="cellIs" dxfId="21" priority="23" operator="notEqual">
      <formula>0</formula>
    </cfRule>
  </conditionalFormatting>
  <conditionalFormatting sqref="D24:K24">
    <cfRule type="cellIs" dxfId="20" priority="22" operator="greaterThan">
      <formula>0</formula>
    </cfRule>
  </conditionalFormatting>
  <conditionalFormatting sqref="D24:K24">
    <cfRule type="cellIs" dxfId="19" priority="21" operator="notEqual">
      <formula>0</formula>
    </cfRule>
  </conditionalFormatting>
  <conditionalFormatting sqref="E27">
    <cfRule type="cellIs" dxfId="18" priority="20" operator="notEqual">
      <formula>0</formula>
    </cfRule>
  </conditionalFormatting>
  <conditionalFormatting sqref="R54:R56">
    <cfRule type="cellIs" dxfId="17" priority="19" operator="notEqual">
      <formula>0</formula>
    </cfRule>
  </conditionalFormatting>
  <conditionalFormatting sqref="R45:R49">
    <cfRule type="cellIs" dxfId="16" priority="18" operator="notEqual">
      <formula>0</formula>
    </cfRule>
  </conditionalFormatting>
  <conditionalFormatting sqref="R37:R41">
    <cfRule type="cellIs" dxfId="15" priority="17" operator="notEqual">
      <formula>0</formula>
    </cfRule>
  </conditionalFormatting>
  <conditionalFormatting sqref="T55">
    <cfRule type="cellIs" dxfId="14" priority="16" operator="notEqual">
      <formula>0</formula>
    </cfRule>
  </conditionalFormatting>
  <conditionalFormatting sqref="X55">
    <cfRule type="cellIs" dxfId="13" priority="15" operator="notEqual">
      <formula>0</formula>
    </cfRule>
  </conditionalFormatting>
  <conditionalFormatting sqref="AB55">
    <cfRule type="cellIs" dxfId="12" priority="14" operator="notEqual">
      <formula>0</formula>
    </cfRule>
  </conditionalFormatting>
  <conditionalFormatting sqref="T56">
    <cfRule type="cellIs" dxfId="11" priority="13" operator="notEqual">
      <formula>0</formula>
    </cfRule>
  </conditionalFormatting>
  <conditionalFormatting sqref="X56">
    <cfRule type="cellIs" dxfId="10" priority="12" operator="notEqual">
      <formula>0</formula>
    </cfRule>
  </conditionalFormatting>
  <conditionalFormatting sqref="AB56">
    <cfRule type="cellIs" dxfId="9" priority="11" operator="notEqual">
      <formula>0</formula>
    </cfRule>
  </conditionalFormatting>
  <conditionalFormatting sqref="T54">
    <cfRule type="cellIs" dxfId="8" priority="10" operator="notEqual">
      <formula>0</formula>
    </cfRule>
  </conditionalFormatting>
  <conditionalFormatting sqref="X54">
    <cfRule type="cellIs" dxfId="7" priority="9" operator="notEqual">
      <formula>0</formula>
    </cfRule>
  </conditionalFormatting>
  <conditionalFormatting sqref="AB54">
    <cfRule type="cellIs" dxfId="6" priority="8" operator="notEqual">
      <formula>0</formula>
    </cfRule>
  </conditionalFormatting>
  <conditionalFormatting sqref="T45">
    <cfRule type="cellIs" dxfId="5" priority="7" operator="notEqual">
      <formula>0</formula>
    </cfRule>
  </conditionalFormatting>
  <conditionalFormatting sqref="E45:F45">
    <cfRule type="cellIs" dxfId="4" priority="4" operator="notEqual">
      <formula>0</formula>
    </cfRule>
  </conditionalFormatting>
  <conditionalFormatting sqref="X45">
    <cfRule type="cellIs" dxfId="3" priority="3" operator="notEqual">
      <formula>0</formula>
    </cfRule>
  </conditionalFormatting>
  <conditionalFormatting sqref="AB45">
    <cfRule type="cellIs" dxfId="2" priority="2" operator="notEqual">
      <formula>0</formula>
    </cfRule>
  </conditionalFormatting>
  <conditionalFormatting sqref="D2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0"/>
  <sheetViews>
    <sheetView view="pageBreakPreview" topLeftCell="A13" zoomScale="85" zoomScaleSheetLayoutView="85" workbookViewId="0">
      <selection activeCell="G26" sqref="G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7.710937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3.7109375" style="19" customWidth="1"/>
    <col min="49" max="16384" width="9.140625" style="19"/>
  </cols>
  <sheetData>
    <row r="1" spans="1:48" ht="18.75" x14ac:dyDescent="0.25">
      <c r="AV1" s="41" t="s">
        <v>68</v>
      </c>
    </row>
    <row r="2" spans="1:48" ht="18.75" x14ac:dyDescent="0.3">
      <c r="AV2" s="15" t="s">
        <v>10</v>
      </c>
    </row>
    <row r="3" spans="1:48" ht="18.75" x14ac:dyDescent="0.3">
      <c r="AV3" s="15" t="s">
        <v>67</v>
      </c>
    </row>
    <row r="4" spans="1:48" ht="18.75" x14ac:dyDescent="0.3">
      <c r="AV4" s="15"/>
    </row>
    <row r="5" spans="1:48" ht="18.75" customHeight="1" x14ac:dyDescent="0.25">
      <c r="A5" s="553" t="str">
        <f>'1. паспорт местоположение'!A5:C5</f>
        <v>Год раскрытия информации: 2018 год</v>
      </c>
      <c r="B5" s="553"/>
      <c r="C5" s="553"/>
      <c r="D5" s="553"/>
      <c r="E5" s="553"/>
      <c r="F5" s="553"/>
      <c r="G5" s="553"/>
      <c r="H5" s="553"/>
      <c r="I5" s="553"/>
      <c r="J5" s="553"/>
      <c r="K5" s="553"/>
      <c r="L5" s="553"/>
      <c r="M5" s="553"/>
      <c r="N5" s="553"/>
      <c r="O5" s="553"/>
      <c r="P5" s="553"/>
      <c r="Q5" s="553"/>
      <c r="R5" s="553"/>
      <c r="S5" s="553"/>
      <c r="T5" s="553"/>
      <c r="U5" s="553"/>
      <c r="V5" s="553"/>
      <c r="W5" s="553"/>
      <c r="X5" s="553"/>
      <c r="Y5" s="553"/>
      <c r="Z5" s="553"/>
      <c r="AA5" s="553"/>
      <c r="AB5" s="553"/>
      <c r="AC5" s="553"/>
      <c r="AD5" s="553"/>
      <c r="AE5" s="553"/>
      <c r="AF5" s="553"/>
      <c r="AG5" s="553"/>
      <c r="AH5" s="553"/>
      <c r="AI5" s="553"/>
      <c r="AJ5" s="553"/>
      <c r="AK5" s="553"/>
      <c r="AL5" s="553"/>
      <c r="AM5" s="553"/>
      <c r="AN5" s="553"/>
      <c r="AO5" s="553"/>
      <c r="AP5" s="553"/>
      <c r="AQ5" s="553"/>
      <c r="AR5" s="553"/>
      <c r="AS5" s="553"/>
      <c r="AT5" s="553"/>
      <c r="AU5" s="553"/>
      <c r="AV5" s="553"/>
    </row>
    <row r="6" spans="1:48" ht="18.75" x14ac:dyDescent="0.3">
      <c r="AV6" s="15"/>
    </row>
    <row r="7" spans="1:48" ht="18.75" x14ac:dyDescent="0.25">
      <c r="A7" s="430" t="s">
        <v>9</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ht="15.75" x14ac:dyDescent="0.25">
      <c r="A9" s="435" t="str">
        <f>'1. паспорт местоположение'!A9:C9</f>
        <v>АО "Янтарьэнерго"</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8</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ht="15.75" x14ac:dyDescent="0.25">
      <c r="A12" s="435" t="str">
        <f>'1. паспорт местоположение'!A12:C12</f>
        <v>Г</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7</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15.75" x14ac:dyDescent="0.25">
      <c r="A15"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27" t="s">
        <v>6</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6"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6" customFormat="1" x14ac:dyDescent="0.25">
      <c r="A21" s="542" t="s">
        <v>521</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6" customFormat="1" ht="58.5" customHeight="1" x14ac:dyDescent="0.25">
      <c r="A22" s="533" t="s">
        <v>52</v>
      </c>
      <c r="B22" s="544" t="s">
        <v>24</v>
      </c>
      <c r="C22" s="533" t="s">
        <v>51</v>
      </c>
      <c r="D22" s="533" t="s">
        <v>50</v>
      </c>
      <c r="E22" s="547" t="s">
        <v>532</v>
      </c>
      <c r="F22" s="548"/>
      <c r="G22" s="548"/>
      <c r="H22" s="548"/>
      <c r="I22" s="548"/>
      <c r="J22" s="548"/>
      <c r="K22" s="548"/>
      <c r="L22" s="549"/>
      <c r="M22" s="533" t="s">
        <v>49</v>
      </c>
      <c r="N22" s="533" t="s">
        <v>48</v>
      </c>
      <c r="O22" s="533" t="s">
        <v>47</v>
      </c>
      <c r="P22" s="528" t="s">
        <v>266</v>
      </c>
      <c r="Q22" s="528" t="s">
        <v>46</v>
      </c>
      <c r="R22" s="528" t="s">
        <v>45</v>
      </c>
      <c r="S22" s="528" t="s">
        <v>44</v>
      </c>
      <c r="T22" s="528"/>
      <c r="U22" s="550" t="s">
        <v>43</v>
      </c>
      <c r="V22" s="550" t="s">
        <v>42</v>
      </c>
      <c r="W22" s="528" t="s">
        <v>41</v>
      </c>
      <c r="X22" s="528" t="s">
        <v>40</v>
      </c>
      <c r="Y22" s="528" t="s">
        <v>39</v>
      </c>
      <c r="Z22" s="535" t="s">
        <v>38</v>
      </c>
      <c r="AA22" s="528" t="s">
        <v>37</v>
      </c>
      <c r="AB22" s="528" t="s">
        <v>36</v>
      </c>
      <c r="AC22" s="528" t="s">
        <v>35</v>
      </c>
      <c r="AD22" s="528" t="s">
        <v>34</v>
      </c>
      <c r="AE22" s="528" t="s">
        <v>33</v>
      </c>
      <c r="AF22" s="528" t="s">
        <v>32</v>
      </c>
      <c r="AG22" s="528"/>
      <c r="AH22" s="528"/>
      <c r="AI22" s="528"/>
      <c r="AJ22" s="528"/>
      <c r="AK22" s="528"/>
      <c r="AL22" s="528" t="s">
        <v>31</v>
      </c>
      <c r="AM22" s="528"/>
      <c r="AN22" s="528"/>
      <c r="AO22" s="528"/>
      <c r="AP22" s="528" t="s">
        <v>30</v>
      </c>
      <c r="AQ22" s="528"/>
      <c r="AR22" s="528" t="s">
        <v>29</v>
      </c>
      <c r="AS22" s="528" t="s">
        <v>28</v>
      </c>
      <c r="AT22" s="528" t="s">
        <v>27</v>
      </c>
      <c r="AU22" s="528" t="s">
        <v>26</v>
      </c>
      <c r="AV22" s="536" t="s">
        <v>25</v>
      </c>
    </row>
    <row r="23" spans="1:48" s="26" customFormat="1" ht="64.5" customHeight="1" x14ac:dyDescent="0.25">
      <c r="A23" s="543"/>
      <c r="B23" s="545"/>
      <c r="C23" s="543"/>
      <c r="D23" s="543"/>
      <c r="E23" s="538" t="s">
        <v>23</v>
      </c>
      <c r="F23" s="529" t="s">
        <v>139</v>
      </c>
      <c r="G23" s="529" t="s">
        <v>138</v>
      </c>
      <c r="H23" s="529" t="s">
        <v>137</v>
      </c>
      <c r="I23" s="531" t="s">
        <v>442</v>
      </c>
      <c r="J23" s="531" t="s">
        <v>443</v>
      </c>
      <c r="K23" s="531" t="s">
        <v>444</v>
      </c>
      <c r="L23" s="529" t="s">
        <v>79</v>
      </c>
      <c r="M23" s="543"/>
      <c r="N23" s="543"/>
      <c r="O23" s="543"/>
      <c r="P23" s="528"/>
      <c r="Q23" s="528"/>
      <c r="R23" s="528"/>
      <c r="S23" s="540" t="s">
        <v>2</v>
      </c>
      <c r="T23" s="540" t="s">
        <v>11</v>
      </c>
      <c r="U23" s="550"/>
      <c r="V23" s="550"/>
      <c r="W23" s="528"/>
      <c r="X23" s="528"/>
      <c r="Y23" s="528"/>
      <c r="Z23" s="528"/>
      <c r="AA23" s="528"/>
      <c r="AB23" s="528"/>
      <c r="AC23" s="528"/>
      <c r="AD23" s="528"/>
      <c r="AE23" s="528"/>
      <c r="AF23" s="528" t="s">
        <v>22</v>
      </c>
      <c r="AG23" s="528"/>
      <c r="AH23" s="528" t="s">
        <v>21</v>
      </c>
      <c r="AI23" s="528"/>
      <c r="AJ23" s="533" t="s">
        <v>20</v>
      </c>
      <c r="AK23" s="533" t="s">
        <v>19</v>
      </c>
      <c r="AL23" s="533" t="s">
        <v>18</v>
      </c>
      <c r="AM23" s="533" t="s">
        <v>17</v>
      </c>
      <c r="AN23" s="533" t="s">
        <v>16</v>
      </c>
      <c r="AO23" s="533" t="s">
        <v>15</v>
      </c>
      <c r="AP23" s="533" t="s">
        <v>14</v>
      </c>
      <c r="AQ23" s="551" t="s">
        <v>11</v>
      </c>
      <c r="AR23" s="528"/>
      <c r="AS23" s="528"/>
      <c r="AT23" s="528"/>
      <c r="AU23" s="528"/>
      <c r="AV23" s="537"/>
    </row>
    <row r="24" spans="1:48" s="26" customFormat="1" ht="96.75" customHeight="1" x14ac:dyDescent="0.25">
      <c r="A24" s="534"/>
      <c r="B24" s="546"/>
      <c r="C24" s="534"/>
      <c r="D24" s="534"/>
      <c r="E24" s="539"/>
      <c r="F24" s="530"/>
      <c r="G24" s="530"/>
      <c r="H24" s="530"/>
      <c r="I24" s="532"/>
      <c r="J24" s="532"/>
      <c r="K24" s="532"/>
      <c r="L24" s="530"/>
      <c r="M24" s="534"/>
      <c r="N24" s="534"/>
      <c r="O24" s="534"/>
      <c r="P24" s="528"/>
      <c r="Q24" s="528"/>
      <c r="R24" s="528"/>
      <c r="S24" s="541"/>
      <c r="T24" s="541"/>
      <c r="U24" s="550"/>
      <c r="V24" s="550"/>
      <c r="W24" s="528"/>
      <c r="X24" s="528"/>
      <c r="Y24" s="528"/>
      <c r="Z24" s="528"/>
      <c r="AA24" s="528"/>
      <c r="AB24" s="528"/>
      <c r="AC24" s="528"/>
      <c r="AD24" s="528"/>
      <c r="AE24" s="528"/>
      <c r="AF24" s="139" t="s">
        <v>13</v>
      </c>
      <c r="AG24" s="139" t="s">
        <v>12</v>
      </c>
      <c r="AH24" s="140" t="s">
        <v>2</v>
      </c>
      <c r="AI24" s="140" t="s">
        <v>11</v>
      </c>
      <c r="AJ24" s="534"/>
      <c r="AK24" s="534"/>
      <c r="AL24" s="534"/>
      <c r="AM24" s="534"/>
      <c r="AN24" s="534"/>
      <c r="AO24" s="534"/>
      <c r="AP24" s="534"/>
      <c r="AQ24" s="552"/>
      <c r="AR24" s="528"/>
      <c r="AS24" s="528"/>
      <c r="AT24" s="528"/>
      <c r="AU24" s="528"/>
      <c r="AV24" s="53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t="s">
        <v>596</v>
      </c>
      <c r="E26" s="23"/>
      <c r="F26" s="23"/>
      <c r="G26" s="381">
        <f>'6.2. Паспорт фин осв ввод факт'!H45</f>
        <v>3.4610000000000007</v>
      </c>
      <c r="H26" s="381"/>
      <c r="I26" s="381">
        <f>'6.2. Паспорт фин осв ввод факт'!H47</f>
        <v>43.102800000000009</v>
      </c>
      <c r="J26" s="381">
        <f>'6.2. Паспорт фин осв ввод факт'!H48</f>
        <v>10.775700000000002</v>
      </c>
      <c r="K26" s="381">
        <f>'6.2. Паспорт фин осв ввод факт'!H49</f>
        <v>35.919000000000004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v>2</v>
      </c>
      <c r="B27" s="21" t="s">
        <v>541</v>
      </c>
      <c r="C27" s="358"/>
      <c r="D27" s="23" t="s">
        <v>597</v>
      </c>
      <c r="E27" s="23"/>
      <c r="F27" s="23"/>
      <c r="G27" s="381">
        <f>'6.2. Паспорт фин осв ввод факт'!L45</f>
        <v>43.85</v>
      </c>
      <c r="H27" s="381"/>
      <c r="I27" s="381">
        <f>'6.2. Паспорт фин осв ввод факт'!L47</f>
        <v>8.8304146479001986</v>
      </c>
      <c r="J27" s="381">
        <f>'6.2. Паспорт фин осв ввод факт'!L48</f>
        <v>2.2076036619750496</v>
      </c>
      <c r="K27" s="381">
        <f>'6.2. Паспорт фин осв ввод факт'!L49</f>
        <v>7.3586788732501667</v>
      </c>
      <c r="L27" s="357"/>
      <c r="M27" s="358"/>
      <c r="N27" s="358"/>
      <c r="O27" s="358"/>
      <c r="P27" s="359"/>
      <c r="Q27" s="358"/>
      <c r="R27" s="359"/>
      <c r="S27" s="358"/>
      <c r="T27" s="358"/>
      <c r="U27" s="357"/>
      <c r="V27" s="357"/>
      <c r="W27" s="358"/>
      <c r="X27" s="359"/>
      <c r="Y27" s="358"/>
      <c r="Z27" s="360"/>
      <c r="AA27" s="359"/>
      <c r="AB27" s="359"/>
      <c r="AC27" s="359"/>
      <c r="AD27" s="359"/>
      <c r="AE27" s="359"/>
      <c r="AF27" s="357"/>
      <c r="AG27" s="358"/>
      <c r="AH27" s="360"/>
      <c r="AI27" s="360"/>
      <c r="AJ27" s="360"/>
      <c r="AK27" s="360"/>
      <c r="AL27" s="358"/>
      <c r="AM27" s="358"/>
      <c r="AN27" s="360"/>
      <c r="AO27" s="358"/>
      <c r="AP27" s="360"/>
      <c r="AQ27" s="360"/>
      <c r="AR27" s="360"/>
      <c r="AS27" s="360"/>
      <c r="AT27" s="360"/>
      <c r="AU27" s="358"/>
      <c r="AV27" s="358"/>
    </row>
    <row r="28" spans="1:48" s="20" customFormat="1" ht="33.75" x14ac:dyDescent="0.2">
      <c r="A28" s="23"/>
      <c r="B28" s="21" t="s">
        <v>647</v>
      </c>
      <c r="C28" s="21" t="s">
        <v>64</v>
      </c>
      <c r="D28" s="23"/>
      <c r="E28" s="23"/>
      <c r="F28" s="23"/>
      <c r="G28" s="23"/>
      <c r="H28" s="23"/>
      <c r="I28" s="23"/>
      <c r="J28" s="23"/>
      <c r="K28" s="23"/>
      <c r="L28" s="23"/>
      <c r="M28" s="361" t="s">
        <v>649</v>
      </c>
      <c r="N28" s="361" t="s">
        <v>650</v>
      </c>
      <c r="O28" s="361" t="s">
        <v>541</v>
      </c>
      <c r="P28" s="362">
        <v>24347.788</v>
      </c>
      <c r="Q28" s="361" t="s">
        <v>651</v>
      </c>
      <c r="R28" s="362">
        <v>21404.087</v>
      </c>
      <c r="S28" s="361" t="s">
        <v>876</v>
      </c>
      <c r="T28" s="361" t="s">
        <v>877</v>
      </c>
      <c r="U28" s="363" t="s">
        <v>492</v>
      </c>
      <c r="V28" s="363">
        <v>6</v>
      </c>
      <c r="W28" s="361" t="s">
        <v>652</v>
      </c>
      <c r="X28" s="362">
        <v>21404.087</v>
      </c>
      <c r="Y28" s="361"/>
      <c r="Z28" s="364" t="s">
        <v>64</v>
      </c>
      <c r="AA28" s="362">
        <v>21296.61</v>
      </c>
      <c r="AB28" s="362">
        <v>21296.61</v>
      </c>
      <c r="AC28" s="362" t="s">
        <v>652</v>
      </c>
      <c r="AD28" s="362">
        <v>21296.61</v>
      </c>
      <c r="AE28" s="362">
        <v>21296.61</v>
      </c>
      <c r="AF28" s="363" t="s">
        <v>653</v>
      </c>
      <c r="AG28" s="361" t="s">
        <v>654</v>
      </c>
      <c r="AH28" s="364">
        <v>42720</v>
      </c>
      <c r="AI28" s="364">
        <v>42720</v>
      </c>
      <c r="AJ28" s="364">
        <v>42727</v>
      </c>
      <c r="AK28" s="364">
        <v>42755</v>
      </c>
      <c r="AL28" s="361"/>
      <c r="AM28" s="361"/>
      <c r="AN28" s="364"/>
      <c r="AO28" s="361"/>
      <c r="AP28" s="364" t="s">
        <v>878</v>
      </c>
      <c r="AQ28" s="364" t="s">
        <v>878</v>
      </c>
      <c r="AR28" s="364" t="s">
        <v>878</v>
      </c>
      <c r="AS28" s="364" t="s">
        <v>878</v>
      </c>
      <c r="AT28" s="364" t="s">
        <v>879</v>
      </c>
      <c r="AU28" s="361"/>
      <c r="AV28" s="361"/>
    </row>
    <row r="29" spans="1:48" s="20" customFormat="1" ht="33.75" x14ac:dyDescent="0.2">
      <c r="A29" s="357"/>
      <c r="B29" s="358"/>
      <c r="C29" s="358"/>
      <c r="D29" s="357"/>
      <c r="E29" s="357"/>
      <c r="F29" s="357"/>
      <c r="G29" s="357"/>
      <c r="H29" s="357"/>
      <c r="I29" s="357"/>
      <c r="J29" s="357"/>
      <c r="K29" s="357"/>
      <c r="L29" s="357"/>
      <c r="M29" s="365"/>
      <c r="N29" s="365"/>
      <c r="O29" s="365"/>
      <c r="P29" s="366"/>
      <c r="Q29" s="365"/>
      <c r="R29" s="366"/>
      <c r="S29" s="365"/>
      <c r="T29" s="365"/>
      <c r="U29" s="367"/>
      <c r="V29" s="367"/>
      <c r="W29" s="365" t="s">
        <v>764</v>
      </c>
      <c r="X29" s="366">
        <v>21297.065999999999</v>
      </c>
      <c r="Y29" s="365"/>
      <c r="Z29" s="368"/>
      <c r="AA29" s="366">
        <v>21297.065999999999</v>
      </c>
      <c r="AB29" s="366">
        <v>21297.065999999999</v>
      </c>
      <c r="AC29" s="366"/>
      <c r="AD29" s="366"/>
      <c r="AE29" s="366"/>
      <c r="AF29" s="367"/>
      <c r="AG29" s="365"/>
      <c r="AH29" s="368"/>
      <c r="AI29" s="368"/>
      <c r="AJ29" s="368"/>
      <c r="AK29" s="368"/>
      <c r="AL29" s="365"/>
      <c r="AM29" s="365"/>
      <c r="AN29" s="368"/>
      <c r="AO29" s="365"/>
      <c r="AP29" s="368"/>
      <c r="AQ29" s="368"/>
      <c r="AR29" s="368"/>
      <c r="AS29" s="368"/>
      <c r="AT29" s="368"/>
      <c r="AU29" s="365"/>
      <c r="AV29" s="365"/>
    </row>
    <row r="30" spans="1:48" s="20" customFormat="1" ht="22.5" x14ac:dyDescent="0.2">
      <c r="A30" s="357"/>
      <c r="B30" s="358"/>
      <c r="C30" s="358"/>
      <c r="D30" s="357"/>
      <c r="E30" s="357"/>
      <c r="F30" s="357"/>
      <c r="G30" s="357"/>
      <c r="H30" s="357"/>
      <c r="I30" s="357"/>
      <c r="J30" s="357"/>
      <c r="K30" s="357"/>
      <c r="L30" s="357"/>
      <c r="M30" s="365"/>
      <c r="N30" s="365"/>
      <c r="O30" s="365"/>
      <c r="P30" s="366"/>
      <c r="Q30" s="365"/>
      <c r="R30" s="366"/>
      <c r="S30" s="365"/>
      <c r="T30" s="365"/>
      <c r="U30" s="367"/>
      <c r="V30" s="367"/>
      <c r="W30" s="365" t="s">
        <v>758</v>
      </c>
      <c r="X30" s="366">
        <v>21404.087</v>
      </c>
      <c r="Y30" s="365"/>
      <c r="Z30" s="368"/>
      <c r="AA30" s="366">
        <v>21404.087</v>
      </c>
      <c r="AB30" s="366">
        <v>21404.087</v>
      </c>
      <c r="AC30" s="366"/>
      <c r="AD30" s="366"/>
      <c r="AE30" s="366"/>
      <c r="AF30" s="367"/>
      <c r="AG30" s="365"/>
      <c r="AH30" s="368"/>
      <c r="AI30" s="368"/>
      <c r="AJ30" s="368"/>
      <c r="AK30" s="368"/>
      <c r="AL30" s="365"/>
      <c r="AM30" s="365"/>
      <c r="AN30" s="368"/>
      <c r="AO30" s="365"/>
      <c r="AP30" s="368"/>
      <c r="AQ30" s="368"/>
      <c r="AR30" s="368"/>
      <c r="AS30" s="368"/>
      <c r="AT30" s="368"/>
      <c r="AU30" s="365"/>
      <c r="AV30" s="365"/>
    </row>
    <row r="31" spans="1:48" s="20" customFormat="1" ht="22.5" x14ac:dyDescent="0.2">
      <c r="A31" s="357"/>
      <c r="B31" s="358"/>
      <c r="C31" s="358"/>
      <c r="D31" s="357"/>
      <c r="E31" s="357"/>
      <c r="F31" s="357"/>
      <c r="G31" s="357"/>
      <c r="H31" s="357"/>
      <c r="I31" s="357"/>
      <c r="J31" s="357"/>
      <c r="K31" s="357"/>
      <c r="L31" s="357"/>
      <c r="M31" s="365"/>
      <c r="N31" s="365"/>
      <c r="O31" s="365"/>
      <c r="P31" s="366"/>
      <c r="Q31" s="365"/>
      <c r="R31" s="366"/>
      <c r="S31" s="365"/>
      <c r="T31" s="365"/>
      <c r="U31" s="367"/>
      <c r="V31" s="367"/>
      <c r="W31" s="365" t="s">
        <v>728</v>
      </c>
      <c r="X31" s="366">
        <v>21404.087</v>
      </c>
      <c r="Y31" s="365"/>
      <c r="Z31" s="368"/>
      <c r="AA31" s="366">
        <v>21404.087</v>
      </c>
      <c r="AB31" s="366">
        <v>21404.087</v>
      </c>
      <c r="AC31" s="366"/>
      <c r="AD31" s="366"/>
      <c r="AE31" s="366"/>
      <c r="AF31" s="367"/>
      <c r="AG31" s="365"/>
      <c r="AH31" s="368"/>
      <c r="AI31" s="368"/>
      <c r="AJ31" s="368"/>
      <c r="AK31" s="368"/>
      <c r="AL31" s="365"/>
      <c r="AM31" s="365"/>
      <c r="AN31" s="368"/>
      <c r="AO31" s="365"/>
      <c r="AP31" s="368"/>
      <c r="AQ31" s="368"/>
      <c r="AR31" s="368"/>
      <c r="AS31" s="368"/>
      <c r="AT31" s="368"/>
      <c r="AU31" s="365"/>
      <c r="AV31" s="365"/>
    </row>
    <row r="32" spans="1:48" s="20" customFormat="1" ht="22.5" x14ac:dyDescent="0.2">
      <c r="A32" s="357"/>
      <c r="B32" s="358"/>
      <c r="C32" s="358"/>
      <c r="D32" s="357"/>
      <c r="E32" s="357"/>
      <c r="F32" s="357"/>
      <c r="G32" s="357"/>
      <c r="H32" s="357"/>
      <c r="I32" s="357"/>
      <c r="J32" s="357"/>
      <c r="K32" s="357"/>
      <c r="L32" s="357"/>
      <c r="M32" s="365"/>
      <c r="N32" s="365"/>
      <c r="O32" s="365"/>
      <c r="P32" s="366"/>
      <c r="Q32" s="365"/>
      <c r="R32" s="366"/>
      <c r="S32" s="365"/>
      <c r="T32" s="365"/>
      <c r="U32" s="367"/>
      <c r="V32" s="367"/>
      <c r="W32" s="365" t="s">
        <v>880</v>
      </c>
      <c r="X32" s="366">
        <v>21404.087</v>
      </c>
      <c r="Y32" s="365"/>
      <c r="Z32" s="368"/>
      <c r="AA32" s="366">
        <v>21404.087</v>
      </c>
      <c r="AB32" s="366">
        <v>21404.087</v>
      </c>
      <c r="AC32" s="366"/>
      <c r="AD32" s="366"/>
      <c r="AE32" s="366"/>
      <c r="AF32" s="367"/>
      <c r="AG32" s="365"/>
      <c r="AH32" s="368"/>
      <c r="AI32" s="368"/>
      <c r="AJ32" s="368"/>
      <c r="AK32" s="368"/>
      <c r="AL32" s="365"/>
      <c r="AM32" s="365"/>
      <c r="AN32" s="368"/>
      <c r="AO32" s="365"/>
      <c r="AP32" s="368"/>
      <c r="AQ32" s="368"/>
      <c r="AR32" s="368"/>
      <c r="AS32" s="368"/>
      <c r="AT32" s="368"/>
      <c r="AU32" s="365"/>
      <c r="AV32" s="365"/>
    </row>
    <row r="33" spans="1:48" s="20" customFormat="1" ht="22.5" x14ac:dyDescent="0.2">
      <c r="A33" s="357"/>
      <c r="B33" s="358"/>
      <c r="C33" s="358"/>
      <c r="D33" s="357"/>
      <c r="E33" s="357"/>
      <c r="F33" s="357"/>
      <c r="G33" s="357"/>
      <c r="H33" s="357"/>
      <c r="I33" s="357"/>
      <c r="J33" s="357"/>
      <c r="K33" s="357"/>
      <c r="L33" s="357"/>
      <c r="M33" s="365"/>
      <c r="N33" s="365"/>
      <c r="O33" s="365"/>
      <c r="P33" s="366"/>
      <c r="Q33" s="365"/>
      <c r="R33" s="366"/>
      <c r="S33" s="365"/>
      <c r="T33" s="365"/>
      <c r="U33" s="367"/>
      <c r="V33" s="367"/>
      <c r="W33" s="365" t="s">
        <v>749</v>
      </c>
      <c r="X33" s="366">
        <v>21404.087</v>
      </c>
      <c r="Y33" s="365"/>
      <c r="Z33" s="368"/>
      <c r="AA33" s="366">
        <v>21404.087</v>
      </c>
      <c r="AB33" s="366">
        <v>21404.087</v>
      </c>
      <c r="AC33" s="366"/>
      <c r="AD33" s="366"/>
      <c r="AE33" s="366"/>
      <c r="AF33" s="367"/>
      <c r="AG33" s="365"/>
      <c r="AH33" s="368"/>
      <c r="AI33" s="368"/>
      <c r="AJ33" s="368"/>
      <c r="AK33" s="368"/>
      <c r="AL33" s="365"/>
      <c r="AM33" s="365"/>
      <c r="AN33" s="368"/>
      <c r="AO33" s="365"/>
      <c r="AP33" s="368"/>
      <c r="AQ33" s="368"/>
      <c r="AR33" s="368"/>
      <c r="AS33" s="368"/>
      <c r="AT33" s="368"/>
      <c r="AU33" s="365"/>
      <c r="AV33" s="365"/>
    </row>
    <row r="34" spans="1:48" s="20" customFormat="1" ht="45" x14ac:dyDescent="0.2">
      <c r="A34" s="357"/>
      <c r="B34" s="358" t="s">
        <v>647</v>
      </c>
      <c r="C34" s="358" t="s">
        <v>64</v>
      </c>
      <c r="D34" s="357"/>
      <c r="E34" s="357"/>
      <c r="F34" s="357"/>
      <c r="G34" s="357"/>
      <c r="H34" s="357"/>
      <c r="I34" s="357"/>
      <c r="J34" s="357"/>
      <c r="K34" s="357"/>
      <c r="L34" s="357"/>
      <c r="M34" s="365" t="s">
        <v>649</v>
      </c>
      <c r="N34" s="365" t="s">
        <v>744</v>
      </c>
      <c r="O34" s="365" t="s">
        <v>541</v>
      </c>
      <c r="P34" s="366">
        <v>168.095</v>
      </c>
      <c r="Q34" s="365" t="s">
        <v>651</v>
      </c>
      <c r="R34" s="366">
        <v>158.04400000000001</v>
      </c>
      <c r="S34" s="365" t="s">
        <v>876</v>
      </c>
      <c r="T34" s="365" t="s">
        <v>682</v>
      </c>
      <c r="U34" s="367" t="s">
        <v>63</v>
      </c>
      <c r="V34" s="367">
        <v>2</v>
      </c>
      <c r="W34" s="365" t="s">
        <v>745</v>
      </c>
      <c r="X34" s="366">
        <v>137</v>
      </c>
      <c r="Y34" s="365"/>
      <c r="Z34" s="367"/>
      <c r="AA34" s="366"/>
      <c r="AB34" s="366"/>
      <c r="AC34" s="366" t="s">
        <v>745</v>
      </c>
      <c r="AD34" s="366">
        <v>137</v>
      </c>
      <c r="AE34" s="366">
        <v>137</v>
      </c>
      <c r="AF34" s="367" t="s">
        <v>746</v>
      </c>
      <c r="AG34" s="365" t="s">
        <v>681</v>
      </c>
      <c r="AH34" s="368">
        <v>42704</v>
      </c>
      <c r="AI34" s="368">
        <v>42704</v>
      </c>
      <c r="AJ34" s="368">
        <v>42720</v>
      </c>
      <c r="AK34" s="368">
        <v>42761</v>
      </c>
      <c r="AL34" s="365"/>
      <c r="AM34" s="365"/>
      <c r="AN34" s="368"/>
      <c r="AO34" s="365"/>
      <c r="AP34" s="368"/>
      <c r="AQ34" s="368"/>
      <c r="AR34" s="368"/>
      <c r="AS34" s="368"/>
      <c r="AT34" s="368"/>
      <c r="AU34" s="365"/>
      <c r="AV34" s="365"/>
    </row>
    <row r="35" spans="1:48" s="20" customFormat="1" ht="22.5" x14ac:dyDescent="0.2">
      <c r="A35" s="357"/>
      <c r="B35" s="358"/>
      <c r="C35" s="358"/>
      <c r="D35" s="357"/>
      <c r="E35" s="357"/>
      <c r="F35" s="357"/>
      <c r="G35" s="357"/>
      <c r="H35" s="357"/>
      <c r="I35" s="357"/>
      <c r="J35" s="357"/>
      <c r="K35" s="357"/>
      <c r="L35" s="357"/>
      <c r="M35" s="365"/>
      <c r="N35" s="365"/>
      <c r="O35" s="365"/>
      <c r="P35" s="366"/>
      <c r="Q35" s="365"/>
      <c r="R35" s="366"/>
      <c r="S35" s="365"/>
      <c r="T35" s="365"/>
      <c r="U35" s="367"/>
      <c r="V35" s="367"/>
      <c r="W35" s="365" t="s">
        <v>881</v>
      </c>
      <c r="X35" s="366">
        <v>150</v>
      </c>
      <c r="Y35" s="365"/>
      <c r="Z35" s="368"/>
      <c r="AA35" s="366"/>
      <c r="AB35" s="366"/>
      <c r="AC35" s="366"/>
      <c r="AD35" s="366"/>
      <c r="AE35" s="366"/>
      <c r="AF35" s="367"/>
      <c r="AG35" s="365"/>
      <c r="AH35" s="368"/>
      <c r="AI35" s="368"/>
      <c r="AJ35" s="368"/>
      <c r="AK35" s="368"/>
      <c r="AL35" s="365"/>
      <c r="AM35" s="365"/>
      <c r="AN35" s="368"/>
      <c r="AO35" s="365"/>
      <c r="AP35" s="368"/>
      <c r="AQ35" s="368"/>
      <c r="AR35" s="368"/>
      <c r="AS35" s="368"/>
      <c r="AT35" s="368"/>
      <c r="AU35" s="365"/>
      <c r="AV35" s="365"/>
    </row>
    <row r="36" spans="1:48" s="20" customFormat="1" ht="168.75" x14ac:dyDescent="0.2">
      <c r="A36" s="357"/>
      <c r="B36" s="358" t="s">
        <v>647</v>
      </c>
      <c r="C36" s="358" t="s">
        <v>63</v>
      </c>
      <c r="D36" s="357"/>
      <c r="E36" s="357"/>
      <c r="F36" s="357"/>
      <c r="G36" s="357"/>
      <c r="H36" s="357"/>
      <c r="I36" s="357"/>
      <c r="J36" s="357"/>
      <c r="K36" s="357"/>
      <c r="L36" s="357"/>
      <c r="M36" s="365" t="s">
        <v>747</v>
      </c>
      <c r="N36" s="365" t="s">
        <v>748</v>
      </c>
      <c r="O36" s="365" t="s">
        <v>541</v>
      </c>
      <c r="P36" s="366">
        <v>6330.72</v>
      </c>
      <c r="Q36" s="365" t="s">
        <v>666</v>
      </c>
      <c r="R36" s="366">
        <v>5566.96</v>
      </c>
      <c r="S36" s="365" t="s">
        <v>876</v>
      </c>
      <c r="T36" s="365" t="s">
        <v>683</v>
      </c>
      <c r="U36" s="367" t="s">
        <v>63</v>
      </c>
      <c r="V36" s="367">
        <v>2</v>
      </c>
      <c r="W36" s="365" t="s">
        <v>749</v>
      </c>
      <c r="X36" s="366">
        <v>5566.96</v>
      </c>
      <c r="Y36" s="365"/>
      <c r="Z36" s="367"/>
      <c r="AA36" s="366"/>
      <c r="AB36" s="366"/>
      <c r="AC36" s="366" t="s">
        <v>749</v>
      </c>
      <c r="AD36" s="366">
        <v>5566.96</v>
      </c>
      <c r="AE36" s="366">
        <v>5566.96</v>
      </c>
      <c r="AF36" s="367" t="s">
        <v>750</v>
      </c>
      <c r="AG36" s="365" t="s">
        <v>654</v>
      </c>
      <c r="AH36" s="368">
        <v>42662</v>
      </c>
      <c r="AI36" s="368">
        <v>42662</v>
      </c>
      <c r="AJ36" s="368">
        <v>42681</v>
      </c>
      <c r="AK36" s="368">
        <v>42711</v>
      </c>
      <c r="AL36" s="365"/>
      <c r="AM36" s="365"/>
      <c r="AN36" s="368"/>
      <c r="AO36" s="365"/>
      <c r="AP36" s="368"/>
      <c r="AQ36" s="368"/>
      <c r="AR36" s="368"/>
      <c r="AS36" s="368"/>
      <c r="AT36" s="368"/>
      <c r="AU36" s="365"/>
      <c r="AV36" s="365"/>
    </row>
    <row r="37" spans="1:48" s="20" customFormat="1" ht="22.5" x14ac:dyDescent="0.2">
      <c r="A37" s="357"/>
      <c r="B37" s="358"/>
      <c r="C37" s="358"/>
      <c r="D37" s="357"/>
      <c r="E37" s="357"/>
      <c r="F37" s="357"/>
      <c r="G37" s="357"/>
      <c r="H37" s="357"/>
      <c r="I37" s="357"/>
      <c r="J37" s="357"/>
      <c r="K37" s="357"/>
      <c r="L37" s="357"/>
      <c r="M37" s="365"/>
      <c r="N37" s="365"/>
      <c r="O37" s="365"/>
      <c r="P37" s="366"/>
      <c r="Q37" s="365"/>
      <c r="R37" s="366"/>
      <c r="S37" s="365"/>
      <c r="T37" s="365"/>
      <c r="U37" s="367"/>
      <c r="V37" s="367"/>
      <c r="W37" s="365" t="s">
        <v>784</v>
      </c>
      <c r="X37" s="366">
        <v>5561.39</v>
      </c>
      <c r="Y37" s="365" t="s">
        <v>784</v>
      </c>
      <c r="Z37" s="368"/>
      <c r="AA37" s="366"/>
      <c r="AB37" s="366"/>
      <c r="AC37" s="366"/>
      <c r="AD37" s="366"/>
      <c r="AE37" s="366"/>
      <c r="AF37" s="367"/>
      <c r="AG37" s="365"/>
      <c r="AH37" s="368"/>
      <c r="AI37" s="368"/>
      <c r="AJ37" s="368"/>
      <c r="AK37" s="368"/>
      <c r="AL37" s="365"/>
      <c r="AM37" s="365"/>
      <c r="AN37" s="368"/>
      <c r="AO37" s="365"/>
      <c r="AP37" s="368"/>
      <c r="AQ37" s="368"/>
      <c r="AR37" s="368"/>
      <c r="AS37" s="368"/>
      <c r="AT37" s="368"/>
      <c r="AU37" s="365"/>
      <c r="AV37" s="365"/>
    </row>
    <row r="38" spans="1:48" s="20" customFormat="1" ht="56.25" x14ac:dyDescent="0.2">
      <c r="A38" s="357"/>
      <c r="B38" s="358" t="s">
        <v>647</v>
      </c>
      <c r="C38" s="358" t="s">
        <v>64</v>
      </c>
      <c r="D38" s="357"/>
      <c r="E38" s="357"/>
      <c r="F38" s="357"/>
      <c r="G38" s="357"/>
      <c r="H38" s="357"/>
      <c r="I38" s="357"/>
      <c r="J38" s="357"/>
      <c r="K38" s="357"/>
      <c r="L38" s="357"/>
      <c r="M38" s="365" t="s">
        <v>649</v>
      </c>
      <c r="N38" s="365" t="s">
        <v>655</v>
      </c>
      <c r="O38" s="365" t="s">
        <v>541</v>
      </c>
      <c r="P38" s="366">
        <v>0</v>
      </c>
      <c r="Q38" s="365" t="s">
        <v>651</v>
      </c>
      <c r="R38" s="366"/>
      <c r="S38" s="365" t="s">
        <v>876</v>
      </c>
      <c r="T38" s="365" t="s">
        <v>656</v>
      </c>
      <c r="U38" s="367" t="s">
        <v>63</v>
      </c>
      <c r="V38" s="367">
        <v>2</v>
      </c>
      <c r="W38" s="365" t="s">
        <v>657</v>
      </c>
      <c r="X38" s="366"/>
      <c r="Y38" s="365"/>
      <c r="Z38" s="367"/>
      <c r="AA38" s="366"/>
      <c r="AB38" s="366"/>
      <c r="AC38" s="366" t="s">
        <v>657</v>
      </c>
      <c r="AD38" s="366"/>
      <c r="AE38" s="366"/>
      <c r="AF38" s="367" t="s">
        <v>658</v>
      </c>
      <c r="AG38" s="365" t="s">
        <v>654</v>
      </c>
      <c r="AH38" s="368">
        <v>42732</v>
      </c>
      <c r="AI38" s="368">
        <v>42732</v>
      </c>
      <c r="AJ38" s="368">
        <v>42753</v>
      </c>
      <c r="AK38" s="368" t="s">
        <v>882</v>
      </c>
      <c r="AL38" s="365"/>
      <c r="AM38" s="365"/>
      <c r="AN38" s="368"/>
      <c r="AO38" s="365"/>
      <c r="AP38" s="368"/>
      <c r="AQ38" s="368"/>
      <c r="AR38" s="368"/>
      <c r="AS38" s="368"/>
      <c r="AT38" s="368"/>
      <c r="AU38" s="365"/>
      <c r="AV38" s="365"/>
    </row>
    <row r="39" spans="1:48" s="20" customFormat="1" ht="22.5" x14ac:dyDescent="0.2">
      <c r="A39" s="357"/>
      <c r="B39" s="358"/>
      <c r="C39" s="358"/>
      <c r="D39" s="357"/>
      <c r="E39" s="357"/>
      <c r="F39" s="357"/>
      <c r="G39" s="357"/>
      <c r="H39" s="357"/>
      <c r="I39" s="357"/>
      <c r="J39" s="357"/>
      <c r="K39" s="357"/>
      <c r="L39" s="357"/>
      <c r="M39" s="365"/>
      <c r="N39" s="365"/>
      <c r="O39" s="365"/>
      <c r="P39" s="366"/>
      <c r="Q39" s="365"/>
      <c r="R39" s="366"/>
      <c r="S39" s="365"/>
      <c r="T39" s="365"/>
      <c r="U39" s="367"/>
      <c r="V39" s="367"/>
      <c r="W39" s="365" t="s">
        <v>719</v>
      </c>
      <c r="X39" s="366"/>
      <c r="Y39" s="365"/>
      <c r="Z39" s="368"/>
      <c r="AA39" s="366"/>
      <c r="AB39" s="366"/>
      <c r="AC39" s="366" t="s">
        <v>719</v>
      </c>
      <c r="AD39" s="366"/>
      <c r="AE39" s="366"/>
      <c r="AF39" s="367"/>
      <c r="AG39" s="365"/>
      <c r="AH39" s="368"/>
      <c r="AI39" s="368"/>
      <c r="AJ39" s="368"/>
      <c r="AK39" s="368"/>
      <c r="AL39" s="365"/>
      <c r="AM39" s="365"/>
      <c r="AN39" s="368"/>
      <c r="AO39" s="365"/>
      <c r="AP39" s="368"/>
      <c r="AQ39" s="368"/>
      <c r="AR39" s="368"/>
      <c r="AS39" s="368"/>
      <c r="AT39" s="368"/>
      <c r="AU39" s="365"/>
      <c r="AV39" s="365"/>
    </row>
    <row r="40" spans="1:48" s="20" customFormat="1" ht="56.25" x14ac:dyDescent="0.2">
      <c r="A40" s="357"/>
      <c r="B40" s="358" t="s">
        <v>647</v>
      </c>
      <c r="C40" s="358" t="s">
        <v>64</v>
      </c>
      <c r="D40" s="357"/>
      <c r="E40" s="357"/>
      <c r="F40" s="357"/>
      <c r="G40" s="357"/>
      <c r="H40" s="357"/>
      <c r="I40" s="357"/>
      <c r="J40" s="357"/>
      <c r="K40" s="357"/>
      <c r="L40" s="357"/>
      <c r="M40" s="365" t="s">
        <v>649</v>
      </c>
      <c r="N40" s="365" t="s">
        <v>659</v>
      </c>
      <c r="O40" s="365" t="s">
        <v>541</v>
      </c>
      <c r="P40" s="366">
        <v>0</v>
      </c>
      <c r="Q40" s="365" t="s">
        <v>651</v>
      </c>
      <c r="R40" s="366"/>
      <c r="S40" s="365" t="s">
        <v>876</v>
      </c>
      <c r="T40" s="365" t="s">
        <v>656</v>
      </c>
      <c r="U40" s="367" t="s">
        <v>62</v>
      </c>
      <c r="V40" s="367">
        <v>3</v>
      </c>
      <c r="W40" s="365" t="s">
        <v>657</v>
      </c>
      <c r="X40" s="366"/>
      <c r="Y40" s="365"/>
      <c r="Z40" s="367"/>
      <c r="AA40" s="366"/>
      <c r="AB40" s="366"/>
      <c r="AC40" s="366" t="s">
        <v>657</v>
      </c>
      <c r="AD40" s="366"/>
      <c r="AE40" s="366"/>
      <c r="AF40" s="367" t="s">
        <v>658</v>
      </c>
      <c r="AG40" s="365" t="s">
        <v>654</v>
      </c>
      <c r="AH40" s="368">
        <v>42732</v>
      </c>
      <c r="AI40" s="368">
        <v>42732</v>
      </c>
      <c r="AJ40" s="368">
        <v>42753</v>
      </c>
      <c r="AK40" s="368" t="s">
        <v>882</v>
      </c>
      <c r="AL40" s="365"/>
      <c r="AM40" s="365"/>
      <c r="AN40" s="368"/>
      <c r="AO40" s="365"/>
      <c r="AP40" s="368"/>
      <c r="AQ40" s="368"/>
      <c r="AR40" s="368"/>
      <c r="AS40" s="368"/>
      <c r="AT40" s="368"/>
      <c r="AU40" s="365"/>
      <c r="AV40" s="365"/>
    </row>
    <row r="41" spans="1:48" s="20" customFormat="1" ht="22.5" x14ac:dyDescent="0.2">
      <c r="A41" s="357"/>
      <c r="B41" s="358"/>
      <c r="C41" s="358"/>
      <c r="D41" s="357"/>
      <c r="E41" s="357"/>
      <c r="F41" s="357"/>
      <c r="G41" s="357"/>
      <c r="H41" s="357"/>
      <c r="I41" s="357"/>
      <c r="J41" s="357"/>
      <c r="K41" s="357"/>
      <c r="L41" s="357"/>
      <c r="M41" s="365"/>
      <c r="N41" s="365"/>
      <c r="O41" s="365"/>
      <c r="P41" s="366"/>
      <c r="Q41" s="365"/>
      <c r="R41" s="366"/>
      <c r="S41" s="365"/>
      <c r="T41" s="365"/>
      <c r="U41" s="367"/>
      <c r="V41" s="367"/>
      <c r="W41" s="365" t="s">
        <v>719</v>
      </c>
      <c r="X41" s="366"/>
      <c r="Y41" s="365"/>
      <c r="Z41" s="368"/>
      <c r="AA41" s="366"/>
      <c r="AB41" s="366"/>
      <c r="AC41" s="366" t="s">
        <v>719</v>
      </c>
      <c r="AD41" s="366"/>
      <c r="AE41" s="366"/>
      <c r="AF41" s="367"/>
      <c r="AG41" s="365"/>
      <c r="AH41" s="368"/>
      <c r="AI41" s="368"/>
      <c r="AJ41" s="368"/>
      <c r="AK41" s="368"/>
      <c r="AL41" s="365"/>
      <c r="AM41" s="365"/>
      <c r="AN41" s="368"/>
      <c r="AO41" s="365"/>
      <c r="AP41" s="368"/>
      <c r="AQ41" s="368"/>
      <c r="AR41" s="368"/>
      <c r="AS41" s="368"/>
      <c r="AT41" s="368"/>
      <c r="AU41" s="365"/>
      <c r="AV41" s="365"/>
    </row>
    <row r="42" spans="1:48" s="20" customFormat="1" ht="22.5" x14ac:dyDescent="0.2">
      <c r="A42" s="357"/>
      <c r="B42" s="358"/>
      <c r="C42" s="358"/>
      <c r="D42" s="357"/>
      <c r="E42" s="357"/>
      <c r="F42" s="357"/>
      <c r="G42" s="357"/>
      <c r="H42" s="357"/>
      <c r="I42" s="357"/>
      <c r="J42" s="357"/>
      <c r="K42" s="357"/>
      <c r="L42" s="357"/>
      <c r="M42" s="365"/>
      <c r="N42" s="365"/>
      <c r="O42" s="365"/>
      <c r="P42" s="366"/>
      <c r="Q42" s="365"/>
      <c r="R42" s="366"/>
      <c r="S42" s="365"/>
      <c r="T42" s="365"/>
      <c r="U42" s="367"/>
      <c r="V42" s="367"/>
      <c r="W42" s="365" t="s">
        <v>824</v>
      </c>
      <c r="X42" s="366"/>
      <c r="Y42" s="365"/>
      <c r="Z42" s="368"/>
      <c r="AA42" s="366"/>
      <c r="AB42" s="366"/>
      <c r="AC42" s="366" t="s">
        <v>824</v>
      </c>
      <c r="AD42" s="366"/>
      <c r="AE42" s="366"/>
      <c r="AF42" s="367"/>
      <c r="AG42" s="365"/>
      <c r="AH42" s="368"/>
      <c r="AI42" s="368"/>
      <c r="AJ42" s="368"/>
      <c r="AK42" s="368"/>
      <c r="AL42" s="365"/>
      <c r="AM42" s="365"/>
      <c r="AN42" s="368"/>
      <c r="AO42" s="365"/>
      <c r="AP42" s="368"/>
      <c r="AQ42" s="368"/>
      <c r="AR42" s="368"/>
      <c r="AS42" s="368"/>
      <c r="AT42" s="368"/>
      <c r="AU42" s="365"/>
      <c r="AV42" s="365"/>
    </row>
    <row r="43" spans="1:48" s="20" customFormat="1" ht="56.25" x14ac:dyDescent="0.2">
      <c r="A43" s="357"/>
      <c r="B43" s="358" t="s">
        <v>647</v>
      </c>
      <c r="C43" s="358" t="s">
        <v>64</v>
      </c>
      <c r="D43" s="357"/>
      <c r="E43" s="357"/>
      <c r="F43" s="357"/>
      <c r="G43" s="357"/>
      <c r="H43" s="357"/>
      <c r="I43" s="357"/>
      <c r="J43" s="357"/>
      <c r="K43" s="357"/>
      <c r="L43" s="357"/>
      <c r="M43" s="365" t="s">
        <v>649</v>
      </c>
      <c r="N43" s="365" t="s">
        <v>660</v>
      </c>
      <c r="O43" s="365" t="s">
        <v>541</v>
      </c>
      <c r="P43" s="366">
        <v>0</v>
      </c>
      <c r="Q43" s="365" t="s">
        <v>651</v>
      </c>
      <c r="R43" s="366"/>
      <c r="S43" s="365" t="s">
        <v>876</v>
      </c>
      <c r="T43" s="365" t="s">
        <v>656</v>
      </c>
      <c r="U43" s="367" t="s">
        <v>63</v>
      </c>
      <c r="V43" s="367">
        <v>2</v>
      </c>
      <c r="W43" s="365"/>
      <c r="X43" s="366"/>
      <c r="Y43" s="365"/>
      <c r="Z43" s="367"/>
      <c r="AA43" s="366"/>
      <c r="AB43" s="366"/>
      <c r="AC43" s="366" t="s">
        <v>657</v>
      </c>
      <c r="AD43" s="366"/>
      <c r="AE43" s="366"/>
      <c r="AF43" s="367" t="s">
        <v>658</v>
      </c>
      <c r="AG43" s="365" t="s">
        <v>654</v>
      </c>
      <c r="AH43" s="368">
        <v>42732</v>
      </c>
      <c r="AI43" s="368">
        <v>42732</v>
      </c>
      <c r="AJ43" s="368">
        <v>42753</v>
      </c>
      <c r="AK43" s="368" t="s">
        <v>883</v>
      </c>
      <c r="AL43" s="365"/>
      <c r="AM43" s="365"/>
      <c r="AN43" s="368"/>
      <c r="AO43" s="365"/>
      <c r="AP43" s="368"/>
      <c r="AQ43" s="368"/>
      <c r="AR43" s="368"/>
      <c r="AS43" s="368"/>
      <c r="AT43" s="368"/>
      <c r="AU43" s="365"/>
      <c r="AV43" s="365"/>
    </row>
    <row r="44" spans="1:48" s="20" customFormat="1" ht="22.5" x14ac:dyDescent="0.2">
      <c r="A44" s="357"/>
      <c r="B44" s="358"/>
      <c r="C44" s="358"/>
      <c r="D44" s="357"/>
      <c r="E44" s="357"/>
      <c r="F44" s="357"/>
      <c r="G44" s="357"/>
      <c r="H44" s="357"/>
      <c r="I44" s="357"/>
      <c r="J44" s="357"/>
      <c r="K44" s="357"/>
      <c r="L44" s="357"/>
      <c r="M44" s="365"/>
      <c r="N44" s="365"/>
      <c r="O44" s="365"/>
      <c r="P44" s="366"/>
      <c r="Q44" s="365"/>
      <c r="R44" s="366"/>
      <c r="S44" s="365"/>
      <c r="T44" s="365"/>
      <c r="U44" s="367"/>
      <c r="V44" s="367"/>
      <c r="W44" s="365"/>
      <c r="X44" s="366"/>
      <c r="Y44" s="365"/>
      <c r="Z44" s="368"/>
      <c r="AA44" s="366"/>
      <c r="AB44" s="366"/>
      <c r="AC44" s="366" t="s">
        <v>719</v>
      </c>
      <c r="AD44" s="366"/>
      <c r="AE44" s="366"/>
      <c r="AF44" s="367"/>
      <c r="AG44" s="365"/>
      <c r="AH44" s="368"/>
      <c r="AI44" s="368"/>
      <c r="AJ44" s="368"/>
      <c r="AK44" s="368"/>
      <c r="AL44" s="365"/>
      <c r="AM44" s="365"/>
      <c r="AN44" s="368"/>
      <c r="AO44" s="365"/>
      <c r="AP44" s="368"/>
      <c r="AQ44" s="368"/>
      <c r="AR44" s="368"/>
      <c r="AS44" s="368"/>
      <c r="AT44" s="368"/>
      <c r="AU44" s="365"/>
      <c r="AV44" s="365"/>
    </row>
    <row r="45" spans="1:48" s="20" customFormat="1" ht="67.5" x14ac:dyDescent="0.2">
      <c r="A45" s="357"/>
      <c r="B45" s="358" t="s">
        <v>647</v>
      </c>
      <c r="C45" s="358" t="s">
        <v>64</v>
      </c>
      <c r="D45" s="357"/>
      <c r="E45" s="357"/>
      <c r="F45" s="357"/>
      <c r="G45" s="357"/>
      <c r="H45" s="357"/>
      <c r="I45" s="357"/>
      <c r="J45" s="357"/>
      <c r="K45" s="357"/>
      <c r="L45" s="357"/>
      <c r="M45" s="365" t="s">
        <v>649</v>
      </c>
      <c r="N45" s="365" t="s">
        <v>661</v>
      </c>
      <c r="O45" s="365" t="s">
        <v>541</v>
      </c>
      <c r="P45" s="366">
        <v>0</v>
      </c>
      <c r="Q45" s="365" t="s">
        <v>651</v>
      </c>
      <c r="R45" s="366"/>
      <c r="S45" s="365" t="s">
        <v>876</v>
      </c>
      <c r="T45" s="365" t="s">
        <v>656</v>
      </c>
      <c r="U45" s="367" t="s">
        <v>63</v>
      </c>
      <c r="V45" s="367">
        <v>2</v>
      </c>
      <c r="W45" s="365"/>
      <c r="X45" s="366"/>
      <c r="Y45" s="365"/>
      <c r="Z45" s="367"/>
      <c r="AA45" s="366"/>
      <c r="AB45" s="366"/>
      <c r="AC45" s="366" t="s">
        <v>657</v>
      </c>
      <c r="AD45" s="366"/>
      <c r="AE45" s="366"/>
      <c r="AF45" s="367" t="s">
        <v>658</v>
      </c>
      <c r="AG45" s="365" t="s">
        <v>654</v>
      </c>
      <c r="AH45" s="368">
        <v>42732</v>
      </c>
      <c r="AI45" s="368">
        <v>42732</v>
      </c>
      <c r="AJ45" s="368">
        <v>42753</v>
      </c>
      <c r="AK45" s="368" t="s">
        <v>882</v>
      </c>
      <c r="AL45" s="365"/>
      <c r="AM45" s="365"/>
      <c r="AN45" s="368"/>
      <c r="AO45" s="365"/>
      <c r="AP45" s="368"/>
      <c r="AQ45" s="368"/>
      <c r="AR45" s="368"/>
      <c r="AS45" s="368"/>
      <c r="AT45" s="368"/>
      <c r="AU45" s="365"/>
      <c r="AV45" s="365"/>
    </row>
    <row r="46" spans="1:48" s="20" customFormat="1" ht="22.5" x14ac:dyDescent="0.2">
      <c r="A46" s="357"/>
      <c r="B46" s="358"/>
      <c r="C46" s="358"/>
      <c r="D46" s="357"/>
      <c r="E46" s="357"/>
      <c r="F46" s="357"/>
      <c r="G46" s="357"/>
      <c r="H46" s="357"/>
      <c r="I46" s="357"/>
      <c r="J46" s="357"/>
      <c r="K46" s="357"/>
      <c r="L46" s="357"/>
      <c r="M46" s="365"/>
      <c r="N46" s="365"/>
      <c r="O46" s="365"/>
      <c r="P46" s="366"/>
      <c r="Q46" s="365"/>
      <c r="R46" s="366"/>
      <c r="S46" s="365"/>
      <c r="T46" s="365"/>
      <c r="U46" s="367"/>
      <c r="V46" s="367"/>
      <c r="W46" s="365"/>
      <c r="X46" s="366"/>
      <c r="Y46" s="365"/>
      <c r="Z46" s="368"/>
      <c r="AA46" s="366"/>
      <c r="AB46" s="366"/>
      <c r="AC46" s="366" t="s">
        <v>719</v>
      </c>
      <c r="AD46" s="366"/>
      <c r="AE46" s="366"/>
      <c r="AF46" s="367"/>
      <c r="AG46" s="365"/>
      <c r="AH46" s="368"/>
      <c r="AI46" s="368"/>
      <c r="AJ46" s="368"/>
      <c r="AK46" s="368"/>
      <c r="AL46" s="365"/>
      <c r="AM46" s="365"/>
      <c r="AN46" s="368"/>
      <c r="AO46" s="365"/>
      <c r="AP46" s="368"/>
      <c r="AQ46" s="368"/>
      <c r="AR46" s="368"/>
      <c r="AS46" s="368"/>
      <c r="AT46" s="368"/>
      <c r="AU46" s="365"/>
      <c r="AV46" s="365"/>
    </row>
    <row r="47" spans="1:48" s="20" customFormat="1" ht="67.5" x14ac:dyDescent="0.2">
      <c r="A47" s="357"/>
      <c r="B47" s="358" t="s">
        <v>647</v>
      </c>
      <c r="C47" s="358" t="s">
        <v>64</v>
      </c>
      <c r="D47" s="357"/>
      <c r="E47" s="357"/>
      <c r="F47" s="357"/>
      <c r="G47" s="357"/>
      <c r="H47" s="357"/>
      <c r="I47" s="357"/>
      <c r="J47" s="357"/>
      <c r="K47" s="357"/>
      <c r="L47" s="357"/>
      <c r="M47" s="365" t="s">
        <v>649</v>
      </c>
      <c r="N47" s="365" t="s">
        <v>662</v>
      </c>
      <c r="O47" s="365" t="s">
        <v>541</v>
      </c>
      <c r="P47" s="366">
        <v>0</v>
      </c>
      <c r="Q47" s="365" t="s">
        <v>651</v>
      </c>
      <c r="R47" s="366"/>
      <c r="S47" s="365" t="s">
        <v>876</v>
      </c>
      <c r="T47" s="365" t="s">
        <v>656</v>
      </c>
      <c r="U47" s="367" t="s">
        <v>63</v>
      </c>
      <c r="V47" s="367">
        <v>2</v>
      </c>
      <c r="W47" s="365"/>
      <c r="X47" s="366"/>
      <c r="Y47" s="365"/>
      <c r="Z47" s="367"/>
      <c r="AA47" s="366"/>
      <c r="AB47" s="366"/>
      <c r="AC47" s="366" t="s">
        <v>657</v>
      </c>
      <c r="AD47" s="366"/>
      <c r="AE47" s="366"/>
      <c r="AF47" s="367" t="s">
        <v>658</v>
      </c>
      <c r="AG47" s="365" t="s">
        <v>654</v>
      </c>
      <c r="AH47" s="368">
        <v>42732</v>
      </c>
      <c r="AI47" s="368">
        <v>42732</v>
      </c>
      <c r="AJ47" s="368">
        <v>42753</v>
      </c>
      <c r="AK47" s="368" t="s">
        <v>882</v>
      </c>
      <c r="AL47" s="365"/>
      <c r="AM47" s="365"/>
      <c r="AN47" s="368"/>
      <c r="AO47" s="365"/>
      <c r="AP47" s="368"/>
      <c r="AQ47" s="368"/>
      <c r="AR47" s="368"/>
      <c r="AS47" s="368"/>
      <c r="AT47" s="368"/>
      <c r="AU47" s="365"/>
      <c r="AV47" s="365"/>
    </row>
    <row r="48" spans="1:48" s="20" customFormat="1" ht="22.5" x14ac:dyDescent="0.2">
      <c r="A48" s="357"/>
      <c r="B48" s="358"/>
      <c r="C48" s="358"/>
      <c r="D48" s="357"/>
      <c r="E48" s="357"/>
      <c r="F48" s="357"/>
      <c r="G48" s="357"/>
      <c r="H48" s="357"/>
      <c r="I48" s="357"/>
      <c r="J48" s="357"/>
      <c r="K48" s="357"/>
      <c r="L48" s="357"/>
      <c r="M48" s="365"/>
      <c r="N48" s="365"/>
      <c r="O48" s="365"/>
      <c r="P48" s="366"/>
      <c r="Q48" s="365"/>
      <c r="R48" s="366"/>
      <c r="S48" s="365"/>
      <c r="T48" s="365"/>
      <c r="U48" s="367"/>
      <c r="V48" s="367"/>
      <c r="W48" s="365"/>
      <c r="X48" s="366"/>
      <c r="Y48" s="365"/>
      <c r="Z48" s="368"/>
      <c r="AA48" s="366"/>
      <c r="AB48" s="366"/>
      <c r="AC48" s="366" t="s">
        <v>719</v>
      </c>
      <c r="AD48" s="366"/>
      <c r="AE48" s="366"/>
      <c r="AF48" s="367"/>
      <c r="AG48" s="365"/>
      <c r="AH48" s="368"/>
      <c r="AI48" s="368"/>
      <c r="AJ48" s="368"/>
      <c r="AK48" s="368"/>
      <c r="AL48" s="365"/>
      <c r="AM48" s="365"/>
      <c r="AN48" s="368"/>
      <c r="AO48" s="365"/>
      <c r="AP48" s="368"/>
      <c r="AQ48" s="368"/>
      <c r="AR48" s="368"/>
      <c r="AS48" s="368"/>
      <c r="AT48" s="368"/>
      <c r="AU48" s="365"/>
      <c r="AV48" s="365"/>
    </row>
    <row r="49" spans="1:48" s="20" customFormat="1" ht="67.5" x14ac:dyDescent="0.2">
      <c r="A49" s="357"/>
      <c r="B49" s="358" t="s">
        <v>647</v>
      </c>
      <c r="C49" s="358" t="s">
        <v>64</v>
      </c>
      <c r="D49" s="357"/>
      <c r="E49" s="357"/>
      <c r="F49" s="357"/>
      <c r="G49" s="357"/>
      <c r="H49" s="357"/>
      <c r="I49" s="357"/>
      <c r="J49" s="357"/>
      <c r="K49" s="357"/>
      <c r="L49" s="357"/>
      <c r="M49" s="365" t="s">
        <v>649</v>
      </c>
      <c r="N49" s="365" t="s">
        <v>663</v>
      </c>
      <c r="O49" s="365" t="s">
        <v>541</v>
      </c>
      <c r="P49" s="366">
        <v>0</v>
      </c>
      <c r="Q49" s="365" t="s">
        <v>651</v>
      </c>
      <c r="R49" s="366"/>
      <c r="S49" s="365" t="s">
        <v>876</v>
      </c>
      <c r="T49" s="365" t="s">
        <v>656</v>
      </c>
      <c r="U49" s="367" t="s">
        <v>62</v>
      </c>
      <c r="V49" s="367">
        <v>3</v>
      </c>
      <c r="W49" s="365"/>
      <c r="X49" s="366"/>
      <c r="Y49" s="365"/>
      <c r="Z49" s="367"/>
      <c r="AA49" s="366"/>
      <c r="AB49" s="366"/>
      <c r="AC49" s="366" t="s">
        <v>657</v>
      </c>
      <c r="AD49" s="366"/>
      <c r="AE49" s="366"/>
      <c r="AF49" s="367" t="s">
        <v>658</v>
      </c>
      <c r="AG49" s="365" t="s">
        <v>654</v>
      </c>
      <c r="AH49" s="368">
        <v>42732</v>
      </c>
      <c r="AI49" s="368">
        <v>42732</v>
      </c>
      <c r="AJ49" s="368">
        <v>42753</v>
      </c>
      <c r="AK49" s="368" t="s">
        <v>882</v>
      </c>
      <c r="AL49" s="365"/>
      <c r="AM49" s="365"/>
      <c r="AN49" s="368"/>
      <c r="AO49" s="365"/>
      <c r="AP49" s="368"/>
      <c r="AQ49" s="368"/>
      <c r="AR49" s="368"/>
      <c r="AS49" s="368"/>
      <c r="AT49" s="368"/>
      <c r="AU49" s="365"/>
      <c r="AV49" s="365"/>
    </row>
    <row r="50" spans="1:48" s="20" customFormat="1" ht="22.5" x14ac:dyDescent="0.2">
      <c r="A50" s="357"/>
      <c r="B50" s="358"/>
      <c r="C50" s="358"/>
      <c r="D50" s="357"/>
      <c r="E50" s="357"/>
      <c r="F50" s="357"/>
      <c r="G50" s="357"/>
      <c r="H50" s="357"/>
      <c r="I50" s="357"/>
      <c r="J50" s="357"/>
      <c r="K50" s="357"/>
      <c r="L50" s="357"/>
      <c r="M50" s="365"/>
      <c r="N50" s="365"/>
      <c r="O50" s="365"/>
      <c r="P50" s="366"/>
      <c r="Q50" s="365"/>
      <c r="R50" s="366"/>
      <c r="S50" s="365"/>
      <c r="T50" s="365"/>
      <c r="U50" s="367"/>
      <c r="V50" s="367"/>
      <c r="W50" s="365"/>
      <c r="X50" s="366"/>
      <c r="Y50" s="365"/>
      <c r="Z50" s="368"/>
      <c r="AA50" s="366"/>
      <c r="AB50" s="366"/>
      <c r="AC50" s="366" t="s">
        <v>719</v>
      </c>
      <c r="AD50" s="366"/>
      <c r="AE50" s="366"/>
      <c r="AF50" s="367"/>
      <c r="AG50" s="365"/>
      <c r="AH50" s="368"/>
      <c r="AI50" s="368"/>
      <c r="AJ50" s="368"/>
      <c r="AK50" s="368"/>
      <c r="AL50" s="365"/>
      <c r="AM50" s="365"/>
      <c r="AN50" s="368"/>
      <c r="AO50" s="365"/>
      <c r="AP50" s="368"/>
      <c r="AQ50" s="368"/>
      <c r="AR50" s="368"/>
      <c r="AS50" s="368"/>
      <c r="AT50" s="368"/>
      <c r="AU50" s="365"/>
      <c r="AV50" s="365"/>
    </row>
    <row r="51" spans="1:48" s="20" customFormat="1" ht="22.5" x14ac:dyDescent="0.2">
      <c r="A51" s="357"/>
      <c r="B51" s="358"/>
      <c r="C51" s="358"/>
      <c r="D51" s="357"/>
      <c r="E51" s="357"/>
      <c r="F51" s="357"/>
      <c r="G51" s="357"/>
      <c r="H51" s="357"/>
      <c r="I51" s="357"/>
      <c r="J51" s="357"/>
      <c r="K51" s="357"/>
      <c r="L51" s="357"/>
      <c r="M51" s="365"/>
      <c r="N51" s="365"/>
      <c r="O51" s="365"/>
      <c r="P51" s="366"/>
      <c r="Q51" s="365"/>
      <c r="R51" s="366"/>
      <c r="S51" s="365"/>
      <c r="T51" s="365"/>
      <c r="U51" s="367"/>
      <c r="V51" s="367"/>
      <c r="W51" s="365"/>
      <c r="X51" s="366"/>
      <c r="Y51" s="365"/>
      <c r="Z51" s="368"/>
      <c r="AA51" s="366"/>
      <c r="AB51" s="366"/>
      <c r="AC51" s="366" t="s">
        <v>824</v>
      </c>
      <c r="AD51" s="366"/>
      <c r="AE51" s="366"/>
      <c r="AF51" s="367"/>
      <c r="AG51" s="365"/>
      <c r="AH51" s="368"/>
      <c r="AI51" s="368"/>
      <c r="AJ51" s="368"/>
      <c r="AK51" s="368"/>
      <c r="AL51" s="365"/>
      <c r="AM51" s="365"/>
      <c r="AN51" s="368"/>
      <c r="AO51" s="365"/>
      <c r="AP51" s="368"/>
      <c r="AQ51" s="368"/>
      <c r="AR51" s="368"/>
      <c r="AS51" s="368"/>
      <c r="AT51" s="368"/>
      <c r="AU51" s="365"/>
      <c r="AV51" s="365"/>
    </row>
    <row r="52" spans="1:48" s="20" customFormat="1" ht="112.5" x14ac:dyDescent="0.2">
      <c r="A52" s="357"/>
      <c r="B52" s="358" t="s">
        <v>647</v>
      </c>
      <c r="C52" s="358" t="s">
        <v>64</v>
      </c>
      <c r="D52" s="357"/>
      <c r="E52" s="357"/>
      <c r="F52" s="357"/>
      <c r="G52" s="357"/>
      <c r="H52" s="357"/>
      <c r="I52" s="357"/>
      <c r="J52" s="357"/>
      <c r="K52" s="357"/>
      <c r="L52" s="357"/>
      <c r="M52" s="365" t="s">
        <v>747</v>
      </c>
      <c r="N52" s="365" t="s">
        <v>751</v>
      </c>
      <c r="O52" s="365" t="s">
        <v>541</v>
      </c>
      <c r="P52" s="366">
        <v>3177.66</v>
      </c>
      <c r="Q52" s="365" t="s">
        <v>666</v>
      </c>
      <c r="R52" s="366">
        <v>2805.72</v>
      </c>
      <c r="S52" s="365" t="s">
        <v>876</v>
      </c>
      <c r="T52" s="365" t="s">
        <v>682</v>
      </c>
      <c r="U52" s="367"/>
      <c r="V52" s="367"/>
      <c r="W52" s="365"/>
      <c r="X52" s="366"/>
      <c r="Y52" s="365"/>
      <c r="Z52" s="367"/>
      <c r="AA52" s="366"/>
      <c r="AB52" s="366"/>
      <c r="AC52" s="366"/>
      <c r="AD52" s="366"/>
      <c r="AE52" s="366"/>
      <c r="AF52" s="367" t="s">
        <v>752</v>
      </c>
      <c r="AG52" s="365" t="s">
        <v>654</v>
      </c>
      <c r="AH52" s="368">
        <v>42780</v>
      </c>
      <c r="AI52" s="368">
        <v>42780</v>
      </c>
      <c r="AJ52" s="368">
        <v>42887</v>
      </c>
      <c r="AK52" s="368">
        <v>42888</v>
      </c>
      <c r="AL52" s="365"/>
      <c r="AM52" s="365"/>
      <c r="AN52" s="368"/>
      <c r="AO52" s="365"/>
      <c r="AP52" s="368"/>
      <c r="AQ52" s="368"/>
      <c r="AR52" s="368"/>
      <c r="AS52" s="368"/>
      <c r="AT52" s="368"/>
      <c r="AU52" s="365"/>
      <c r="AV52" s="365" t="s">
        <v>753</v>
      </c>
    </row>
    <row r="53" spans="1:48" s="20" customFormat="1" ht="56.25" x14ac:dyDescent="0.2">
      <c r="A53" s="357"/>
      <c r="B53" s="358" t="s">
        <v>647</v>
      </c>
      <c r="C53" s="358" t="s">
        <v>64</v>
      </c>
      <c r="D53" s="357"/>
      <c r="E53" s="357"/>
      <c r="F53" s="357"/>
      <c r="G53" s="357"/>
      <c r="H53" s="357"/>
      <c r="I53" s="357"/>
      <c r="J53" s="357"/>
      <c r="K53" s="357"/>
      <c r="L53" s="357"/>
      <c r="M53" s="365" t="s">
        <v>707</v>
      </c>
      <c r="N53" s="365" t="s">
        <v>884</v>
      </c>
      <c r="O53" s="365" t="s">
        <v>541</v>
      </c>
      <c r="P53" s="366">
        <v>34193.18</v>
      </c>
      <c r="Q53" s="365" t="s">
        <v>666</v>
      </c>
      <c r="R53" s="366">
        <v>29914.2</v>
      </c>
      <c r="S53" s="365" t="s">
        <v>876</v>
      </c>
      <c r="T53" s="365" t="s">
        <v>656</v>
      </c>
      <c r="U53" s="367" t="s">
        <v>63</v>
      </c>
      <c r="V53" s="367">
        <v>2</v>
      </c>
      <c r="W53" s="365" t="s">
        <v>885</v>
      </c>
      <c r="X53" s="366">
        <v>29814.2</v>
      </c>
      <c r="Y53" s="365"/>
      <c r="Z53" s="367">
        <v>2</v>
      </c>
      <c r="AA53" s="366">
        <v>24300</v>
      </c>
      <c r="AB53" s="366">
        <v>24300</v>
      </c>
      <c r="AC53" s="366" t="s">
        <v>885</v>
      </c>
      <c r="AD53" s="366">
        <v>24300</v>
      </c>
      <c r="AE53" s="366">
        <v>24300</v>
      </c>
      <c r="AF53" s="367" t="s">
        <v>886</v>
      </c>
      <c r="AG53" s="365" t="s">
        <v>654</v>
      </c>
      <c r="AH53" s="368">
        <v>42776</v>
      </c>
      <c r="AI53" s="368">
        <v>42776</v>
      </c>
      <c r="AJ53" s="368">
        <v>42797</v>
      </c>
      <c r="AK53" s="368">
        <v>42817</v>
      </c>
      <c r="AL53" s="365"/>
      <c r="AM53" s="365"/>
      <c r="AN53" s="368"/>
      <c r="AO53" s="365"/>
      <c r="AP53" s="368"/>
      <c r="AQ53" s="368"/>
      <c r="AR53" s="368"/>
      <c r="AS53" s="368"/>
      <c r="AT53" s="368"/>
      <c r="AU53" s="365"/>
      <c r="AV53" s="365" t="s">
        <v>887</v>
      </c>
    </row>
    <row r="54" spans="1:48" s="20" customFormat="1" ht="22.5" x14ac:dyDescent="0.2">
      <c r="A54" s="357"/>
      <c r="B54" s="358"/>
      <c r="C54" s="358"/>
      <c r="D54" s="357"/>
      <c r="E54" s="357"/>
      <c r="F54" s="357"/>
      <c r="G54" s="357"/>
      <c r="H54" s="357"/>
      <c r="I54" s="357"/>
      <c r="J54" s="357"/>
      <c r="K54" s="357"/>
      <c r="L54" s="357"/>
      <c r="M54" s="365"/>
      <c r="N54" s="365"/>
      <c r="O54" s="365"/>
      <c r="P54" s="366"/>
      <c r="Q54" s="365"/>
      <c r="R54" s="366"/>
      <c r="S54" s="365"/>
      <c r="T54" s="365"/>
      <c r="U54" s="367"/>
      <c r="V54" s="367"/>
      <c r="W54" s="365" t="s">
        <v>888</v>
      </c>
      <c r="X54" s="366">
        <v>26420</v>
      </c>
      <c r="Y54" s="365"/>
      <c r="Z54" s="368"/>
      <c r="AA54" s="366">
        <v>25000</v>
      </c>
      <c r="AB54" s="366">
        <v>25000</v>
      </c>
      <c r="AC54" s="366"/>
      <c r="AD54" s="366"/>
      <c r="AE54" s="366"/>
      <c r="AF54" s="367"/>
      <c r="AG54" s="365"/>
      <c r="AH54" s="368"/>
      <c r="AI54" s="368"/>
      <c r="AJ54" s="368"/>
      <c r="AK54" s="368"/>
      <c r="AL54" s="365"/>
      <c r="AM54" s="365"/>
      <c r="AN54" s="368"/>
      <c r="AO54" s="365"/>
      <c r="AP54" s="368"/>
      <c r="AQ54" s="368"/>
      <c r="AR54" s="368"/>
      <c r="AS54" s="368"/>
      <c r="AT54" s="368"/>
      <c r="AU54" s="365"/>
      <c r="AV54" s="365"/>
    </row>
    <row r="55" spans="1:48" s="20" customFormat="1" ht="56.25" x14ac:dyDescent="0.2">
      <c r="A55" s="357"/>
      <c r="B55" s="358" t="s">
        <v>647</v>
      </c>
      <c r="C55" s="358" t="s">
        <v>64</v>
      </c>
      <c r="D55" s="357"/>
      <c r="E55" s="357"/>
      <c r="F55" s="357"/>
      <c r="G55" s="357"/>
      <c r="H55" s="357"/>
      <c r="I55" s="357"/>
      <c r="J55" s="357"/>
      <c r="K55" s="357"/>
      <c r="L55" s="357"/>
      <c r="M55" s="365" t="s">
        <v>747</v>
      </c>
      <c r="N55" s="365" t="s">
        <v>754</v>
      </c>
      <c r="O55" s="365" t="s">
        <v>541</v>
      </c>
      <c r="P55" s="366">
        <v>5246.5</v>
      </c>
      <c r="Q55" s="365" t="s">
        <v>666</v>
      </c>
      <c r="R55" s="366">
        <v>4612.57</v>
      </c>
      <c r="S55" s="365" t="s">
        <v>876</v>
      </c>
      <c r="T55" s="365" t="s">
        <v>682</v>
      </c>
      <c r="U55" s="367"/>
      <c r="V55" s="367"/>
      <c r="W55" s="365"/>
      <c r="X55" s="366"/>
      <c r="Y55" s="365"/>
      <c r="Z55" s="367"/>
      <c r="AA55" s="366"/>
      <c r="AB55" s="366"/>
      <c r="AC55" s="366"/>
      <c r="AD55" s="366"/>
      <c r="AE55" s="366"/>
      <c r="AF55" s="367" t="s">
        <v>755</v>
      </c>
      <c r="AG55" s="365" t="s">
        <v>654</v>
      </c>
      <c r="AH55" s="368">
        <v>42774</v>
      </c>
      <c r="AI55" s="368">
        <v>42774</v>
      </c>
      <c r="AJ55" s="368">
        <v>42803</v>
      </c>
      <c r="AK55" s="368">
        <v>42838</v>
      </c>
      <c r="AL55" s="365"/>
      <c r="AM55" s="365"/>
      <c r="AN55" s="368"/>
      <c r="AO55" s="365"/>
      <c r="AP55" s="368"/>
      <c r="AQ55" s="368"/>
      <c r="AR55" s="368"/>
      <c r="AS55" s="368"/>
      <c r="AT55" s="368"/>
      <c r="AU55" s="365"/>
      <c r="AV55" s="365" t="s">
        <v>756</v>
      </c>
    </row>
    <row r="56" spans="1:48" s="20" customFormat="1" ht="22.5" x14ac:dyDescent="0.2">
      <c r="A56" s="357"/>
      <c r="B56" s="358" t="s">
        <v>648</v>
      </c>
      <c r="C56" s="358" t="s">
        <v>64</v>
      </c>
      <c r="D56" s="357"/>
      <c r="E56" s="357"/>
      <c r="F56" s="357"/>
      <c r="G56" s="357"/>
      <c r="H56" s="357"/>
      <c r="I56" s="357"/>
      <c r="J56" s="357"/>
      <c r="K56" s="357"/>
      <c r="L56" s="357"/>
      <c r="M56" s="365" t="s">
        <v>664</v>
      </c>
      <c r="N56" s="365" t="s">
        <v>665</v>
      </c>
      <c r="O56" s="365" t="s">
        <v>541</v>
      </c>
      <c r="P56" s="366">
        <v>17512.5</v>
      </c>
      <c r="Q56" s="365" t="s">
        <v>666</v>
      </c>
      <c r="R56" s="366">
        <v>13992</v>
      </c>
      <c r="S56" s="365" t="s">
        <v>656</v>
      </c>
      <c r="T56" s="365" t="s">
        <v>667</v>
      </c>
      <c r="U56" s="367" t="s">
        <v>63</v>
      </c>
      <c r="V56" s="367">
        <v>2</v>
      </c>
      <c r="W56" s="365" t="s">
        <v>668</v>
      </c>
      <c r="X56" s="366">
        <v>13824.09</v>
      </c>
      <c r="Y56" s="365"/>
      <c r="Z56" s="367"/>
      <c r="AA56" s="366"/>
      <c r="AB56" s="366"/>
      <c r="AC56" s="366" t="s">
        <v>668</v>
      </c>
      <c r="AD56" s="366">
        <v>13534.21</v>
      </c>
      <c r="AE56" s="366">
        <v>13534.21</v>
      </c>
      <c r="AF56" s="367" t="s">
        <v>669</v>
      </c>
      <c r="AG56" s="365" t="s">
        <v>654</v>
      </c>
      <c r="AH56" s="368">
        <v>42772</v>
      </c>
      <c r="AI56" s="368">
        <v>42772</v>
      </c>
      <c r="AJ56" s="368">
        <v>42793</v>
      </c>
      <c r="AK56" s="368">
        <v>42846</v>
      </c>
      <c r="AL56" s="365"/>
      <c r="AM56" s="365"/>
      <c r="AN56" s="368"/>
      <c r="AO56" s="365"/>
      <c r="AP56" s="368"/>
      <c r="AQ56" s="368"/>
      <c r="AR56" s="368"/>
      <c r="AS56" s="368"/>
      <c r="AT56" s="368"/>
      <c r="AU56" s="365"/>
      <c r="AV56" s="365" t="s">
        <v>670</v>
      </c>
    </row>
    <row r="57" spans="1:48" s="20" customFormat="1" ht="11.25" x14ac:dyDescent="0.2">
      <c r="A57" s="357"/>
      <c r="B57" s="358"/>
      <c r="C57" s="358"/>
      <c r="D57" s="357"/>
      <c r="E57" s="357"/>
      <c r="F57" s="357"/>
      <c r="G57" s="357"/>
      <c r="H57" s="357"/>
      <c r="I57" s="357"/>
      <c r="J57" s="357"/>
      <c r="K57" s="357"/>
      <c r="L57" s="357"/>
      <c r="M57" s="365"/>
      <c r="N57" s="365"/>
      <c r="O57" s="365"/>
      <c r="P57" s="366"/>
      <c r="Q57" s="365"/>
      <c r="R57" s="366"/>
      <c r="S57" s="365"/>
      <c r="T57" s="365"/>
      <c r="U57" s="367"/>
      <c r="V57" s="367"/>
      <c r="W57" s="365" t="s">
        <v>889</v>
      </c>
      <c r="X57" s="366">
        <v>11808</v>
      </c>
      <c r="Y57" s="365" t="s">
        <v>889</v>
      </c>
      <c r="Z57" s="368"/>
      <c r="AA57" s="366"/>
      <c r="AB57" s="366"/>
      <c r="AC57" s="366"/>
      <c r="AD57" s="366"/>
      <c r="AE57" s="366"/>
      <c r="AF57" s="367"/>
      <c r="AG57" s="365"/>
      <c r="AH57" s="368"/>
      <c r="AI57" s="368"/>
      <c r="AJ57" s="368"/>
      <c r="AK57" s="368"/>
      <c r="AL57" s="365"/>
      <c r="AM57" s="365"/>
      <c r="AN57" s="368"/>
      <c r="AO57" s="365"/>
      <c r="AP57" s="368"/>
      <c r="AQ57" s="368"/>
      <c r="AR57" s="368"/>
      <c r="AS57" s="368"/>
      <c r="AT57" s="368"/>
      <c r="AU57" s="365"/>
      <c r="AV57" s="365"/>
    </row>
    <row r="58" spans="1:48" s="20" customFormat="1" ht="22.5" x14ac:dyDescent="0.2">
      <c r="A58" s="357"/>
      <c r="B58" s="358" t="s">
        <v>648</v>
      </c>
      <c r="C58" s="358" t="s">
        <v>64</v>
      </c>
      <c r="D58" s="357"/>
      <c r="E58" s="357"/>
      <c r="F58" s="357"/>
      <c r="G58" s="357"/>
      <c r="H58" s="357"/>
      <c r="I58" s="357"/>
      <c r="J58" s="357"/>
      <c r="K58" s="357"/>
      <c r="L58" s="357"/>
      <c r="M58" s="365" t="s">
        <v>664</v>
      </c>
      <c r="N58" s="365" t="s">
        <v>671</v>
      </c>
      <c r="O58" s="365" t="s">
        <v>541</v>
      </c>
      <c r="P58" s="366">
        <v>4129</v>
      </c>
      <c r="Q58" s="365" t="s">
        <v>666</v>
      </c>
      <c r="R58" s="366">
        <v>3299</v>
      </c>
      <c r="S58" s="365" t="s">
        <v>672</v>
      </c>
      <c r="T58" s="365" t="s">
        <v>672</v>
      </c>
      <c r="U58" s="367" t="s">
        <v>492</v>
      </c>
      <c r="V58" s="367">
        <v>2</v>
      </c>
      <c r="W58" s="365" t="s">
        <v>673</v>
      </c>
      <c r="X58" s="366">
        <v>3254.52</v>
      </c>
      <c r="Y58" s="365"/>
      <c r="Z58" s="367">
        <v>1</v>
      </c>
      <c r="AA58" s="366">
        <v>2966.34</v>
      </c>
      <c r="AB58" s="366">
        <v>2966.34</v>
      </c>
      <c r="AC58" s="366" t="s">
        <v>673</v>
      </c>
      <c r="AD58" s="366">
        <v>2966.34</v>
      </c>
      <c r="AE58" s="366">
        <v>2966.34</v>
      </c>
      <c r="AF58" s="367" t="s">
        <v>674</v>
      </c>
      <c r="AG58" s="365" t="s">
        <v>654</v>
      </c>
      <c r="AH58" s="368">
        <v>42769</v>
      </c>
      <c r="AI58" s="368">
        <v>42769</v>
      </c>
      <c r="AJ58" s="368">
        <v>42804</v>
      </c>
      <c r="AK58" s="368">
        <v>42838</v>
      </c>
      <c r="AL58" s="365"/>
      <c r="AM58" s="365"/>
      <c r="AN58" s="368"/>
      <c r="AO58" s="365"/>
      <c r="AP58" s="368"/>
      <c r="AQ58" s="368"/>
      <c r="AR58" s="368"/>
      <c r="AS58" s="368"/>
      <c r="AT58" s="368"/>
      <c r="AU58" s="365"/>
      <c r="AV58" s="365"/>
    </row>
    <row r="59" spans="1:48" s="20" customFormat="1" ht="22.5" x14ac:dyDescent="0.2">
      <c r="A59" s="357"/>
      <c r="B59" s="358"/>
      <c r="C59" s="358"/>
      <c r="D59" s="357"/>
      <c r="E59" s="357"/>
      <c r="F59" s="357"/>
      <c r="G59" s="357"/>
      <c r="H59" s="357"/>
      <c r="I59" s="357"/>
      <c r="J59" s="357"/>
      <c r="K59" s="357"/>
      <c r="L59" s="357"/>
      <c r="M59" s="365"/>
      <c r="N59" s="365"/>
      <c r="O59" s="365"/>
      <c r="P59" s="366"/>
      <c r="Q59" s="365"/>
      <c r="R59" s="366"/>
      <c r="S59" s="365"/>
      <c r="T59" s="365"/>
      <c r="U59" s="367"/>
      <c r="V59" s="367"/>
      <c r="W59" s="365" t="s">
        <v>890</v>
      </c>
      <c r="X59" s="366">
        <v>3200.58</v>
      </c>
      <c r="Y59" s="365"/>
      <c r="Z59" s="368"/>
      <c r="AA59" s="366">
        <v>2899.46</v>
      </c>
      <c r="AB59" s="366">
        <v>2899.46</v>
      </c>
      <c r="AC59" s="366"/>
      <c r="AD59" s="366"/>
      <c r="AE59" s="366"/>
      <c r="AF59" s="367"/>
      <c r="AG59" s="365"/>
      <c r="AH59" s="368"/>
      <c r="AI59" s="368"/>
      <c r="AJ59" s="368"/>
      <c r="AK59" s="368"/>
      <c r="AL59" s="365"/>
      <c r="AM59" s="365"/>
      <c r="AN59" s="368"/>
      <c r="AO59" s="365"/>
      <c r="AP59" s="368"/>
      <c r="AQ59" s="368"/>
      <c r="AR59" s="368"/>
      <c r="AS59" s="368"/>
      <c r="AT59" s="368"/>
      <c r="AU59" s="365"/>
      <c r="AV59" s="365"/>
    </row>
    <row r="60" spans="1:48" s="20" customFormat="1" ht="56.25" x14ac:dyDescent="0.2">
      <c r="A60" s="357"/>
      <c r="B60" s="358" t="s">
        <v>647</v>
      </c>
      <c r="C60" s="358" t="s">
        <v>64</v>
      </c>
      <c r="D60" s="357"/>
      <c r="E60" s="357"/>
      <c r="F60" s="357"/>
      <c r="G60" s="357"/>
      <c r="H60" s="357"/>
      <c r="I60" s="357"/>
      <c r="J60" s="357"/>
      <c r="K60" s="357"/>
      <c r="L60" s="357"/>
      <c r="M60" s="365" t="s">
        <v>649</v>
      </c>
      <c r="N60" s="365" t="s">
        <v>655</v>
      </c>
      <c r="O60" s="365" t="s">
        <v>541</v>
      </c>
      <c r="P60" s="366">
        <v>0</v>
      </c>
      <c r="Q60" s="365" t="s">
        <v>651</v>
      </c>
      <c r="R60" s="366"/>
      <c r="S60" s="365" t="s">
        <v>876</v>
      </c>
      <c r="T60" s="365" t="s">
        <v>656</v>
      </c>
      <c r="U60" s="367"/>
      <c r="V60" s="367"/>
      <c r="W60" s="365"/>
      <c r="X60" s="366"/>
      <c r="Y60" s="365"/>
      <c r="Z60" s="367"/>
      <c r="AA60" s="366"/>
      <c r="AB60" s="366"/>
      <c r="AC60" s="366"/>
      <c r="AD60" s="366"/>
      <c r="AE60" s="366"/>
      <c r="AF60" s="367" t="s">
        <v>675</v>
      </c>
      <c r="AG60" s="365" t="s">
        <v>654</v>
      </c>
      <c r="AH60" s="368">
        <v>42759</v>
      </c>
      <c r="AI60" s="368">
        <v>42759</v>
      </c>
      <c r="AJ60" s="368">
        <v>42780</v>
      </c>
      <c r="AK60" s="368">
        <v>42811</v>
      </c>
      <c r="AL60" s="365"/>
      <c r="AM60" s="365"/>
      <c r="AN60" s="368"/>
      <c r="AO60" s="365"/>
      <c r="AP60" s="368"/>
      <c r="AQ60" s="368"/>
      <c r="AR60" s="368"/>
      <c r="AS60" s="368"/>
      <c r="AT60" s="368"/>
      <c r="AU60" s="365"/>
      <c r="AV60" s="365" t="s">
        <v>676</v>
      </c>
    </row>
    <row r="61" spans="1:48" s="20" customFormat="1" ht="56.25" x14ac:dyDescent="0.2">
      <c r="A61" s="357"/>
      <c r="B61" s="358" t="s">
        <v>647</v>
      </c>
      <c r="C61" s="358" t="s">
        <v>64</v>
      </c>
      <c r="D61" s="357"/>
      <c r="E61" s="357"/>
      <c r="F61" s="357"/>
      <c r="G61" s="357"/>
      <c r="H61" s="357"/>
      <c r="I61" s="357"/>
      <c r="J61" s="357"/>
      <c r="K61" s="357"/>
      <c r="L61" s="357"/>
      <c r="M61" s="365" t="s">
        <v>649</v>
      </c>
      <c r="N61" s="365" t="s">
        <v>659</v>
      </c>
      <c r="O61" s="365" t="s">
        <v>541</v>
      </c>
      <c r="P61" s="366">
        <v>0</v>
      </c>
      <c r="Q61" s="365" t="s">
        <v>651</v>
      </c>
      <c r="R61" s="366"/>
      <c r="S61" s="365" t="s">
        <v>876</v>
      </c>
      <c r="T61" s="365" t="s">
        <v>656</v>
      </c>
      <c r="U61" s="367"/>
      <c r="V61" s="367"/>
      <c r="W61" s="365"/>
      <c r="X61" s="366"/>
      <c r="Y61" s="365"/>
      <c r="Z61" s="367"/>
      <c r="AA61" s="366"/>
      <c r="AB61" s="366"/>
      <c r="AC61" s="366"/>
      <c r="AD61" s="366"/>
      <c r="AE61" s="366"/>
      <c r="AF61" s="367" t="s">
        <v>675</v>
      </c>
      <c r="AG61" s="365" t="s">
        <v>654</v>
      </c>
      <c r="AH61" s="368">
        <v>42759</v>
      </c>
      <c r="AI61" s="368">
        <v>42759</v>
      </c>
      <c r="AJ61" s="368">
        <v>42780</v>
      </c>
      <c r="AK61" s="368">
        <v>42811</v>
      </c>
      <c r="AL61" s="365"/>
      <c r="AM61" s="365"/>
      <c r="AN61" s="368"/>
      <c r="AO61" s="365"/>
      <c r="AP61" s="368"/>
      <c r="AQ61" s="368"/>
      <c r="AR61" s="368"/>
      <c r="AS61" s="368"/>
      <c r="AT61" s="368"/>
      <c r="AU61" s="365"/>
      <c r="AV61" s="365" t="s">
        <v>676</v>
      </c>
    </row>
    <row r="62" spans="1:48" s="20" customFormat="1" ht="67.5" x14ac:dyDescent="0.2">
      <c r="A62" s="357"/>
      <c r="B62" s="358" t="s">
        <v>647</v>
      </c>
      <c r="C62" s="358" t="s">
        <v>64</v>
      </c>
      <c r="D62" s="357"/>
      <c r="E62" s="357"/>
      <c r="F62" s="357"/>
      <c r="G62" s="357"/>
      <c r="H62" s="357"/>
      <c r="I62" s="357"/>
      <c r="J62" s="357"/>
      <c r="K62" s="357"/>
      <c r="L62" s="357"/>
      <c r="M62" s="365" t="s">
        <v>649</v>
      </c>
      <c r="N62" s="365" t="s">
        <v>661</v>
      </c>
      <c r="O62" s="365" t="s">
        <v>541</v>
      </c>
      <c r="P62" s="366">
        <v>0</v>
      </c>
      <c r="Q62" s="365" t="s">
        <v>651</v>
      </c>
      <c r="R62" s="366"/>
      <c r="S62" s="365" t="s">
        <v>876</v>
      </c>
      <c r="T62" s="365" t="s">
        <v>656</v>
      </c>
      <c r="U62" s="367"/>
      <c r="V62" s="367"/>
      <c r="W62" s="365"/>
      <c r="X62" s="366"/>
      <c r="Y62" s="365"/>
      <c r="Z62" s="367"/>
      <c r="AA62" s="366"/>
      <c r="AB62" s="366"/>
      <c r="AC62" s="366"/>
      <c r="AD62" s="366"/>
      <c r="AE62" s="366"/>
      <c r="AF62" s="367" t="s">
        <v>675</v>
      </c>
      <c r="AG62" s="365" t="s">
        <v>654</v>
      </c>
      <c r="AH62" s="368">
        <v>42759</v>
      </c>
      <c r="AI62" s="368">
        <v>42759</v>
      </c>
      <c r="AJ62" s="368">
        <v>42780</v>
      </c>
      <c r="AK62" s="368">
        <v>42811</v>
      </c>
      <c r="AL62" s="365"/>
      <c r="AM62" s="365"/>
      <c r="AN62" s="368"/>
      <c r="AO62" s="365"/>
      <c r="AP62" s="368"/>
      <c r="AQ62" s="368"/>
      <c r="AR62" s="368"/>
      <c r="AS62" s="368"/>
      <c r="AT62" s="368"/>
      <c r="AU62" s="365"/>
      <c r="AV62" s="365" t="s">
        <v>676</v>
      </c>
    </row>
    <row r="63" spans="1:48" s="20" customFormat="1" ht="67.5" x14ac:dyDescent="0.2">
      <c r="A63" s="357"/>
      <c r="B63" s="358" t="s">
        <v>647</v>
      </c>
      <c r="C63" s="358" t="s">
        <v>64</v>
      </c>
      <c r="D63" s="357"/>
      <c r="E63" s="357"/>
      <c r="F63" s="357"/>
      <c r="G63" s="357"/>
      <c r="H63" s="357"/>
      <c r="I63" s="357"/>
      <c r="J63" s="357"/>
      <c r="K63" s="357"/>
      <c r="L63" s="357"/>
      <c r="M63" s="365" t="s">
        <v>649</v>
      </c>
      <c r="N63" s="365" t="s">
        <v>662</v>
      </c>
      <c r="O63" s="365" t="s">
        <v>541</v>
      </c>
      <c r="P63" s="366">
        <v>0</v>
      </c>
      <c r="Q63" s="365" t="s">
        <v>651</v>
      </c>
      <c r="R63" s="366"/>
      <c r="S63" s="365" t="s">
        <v>876</v>
      </c>
      <c r="T63" s="365" t="s">
        <v>656</v>
      </c>
      <c r="U63" s="367"/>
      <c r="V63" s="367"/>
      <c r="W63" s="365"/>
      <c r="X63" s="366"/>
      <c r="Y63" s="365"/>
      <c r="Z63" s="367"/>
      <c r="AA63" s="366"/>
      <c r="AB63" s="366"/>
      <c r="AC63" s="366"/>
      <c r="AD63" s="366"/>
      <c r="AE63" s="366"/>
      <c r="AF63" s="367" t="s">
        <v>675</v>
      </c>
      <c r="AG63" s="365" t="s">
        <v>654</v>
      </c>
      <c r="AH63" s="368">
        <v>42759</v>
      </c>
      <c r="AI63" s="368">
        <v>42759</v>
      </c>
      <c r="AJ63" s="368">
        <v>42780</v>
      </c>
      <c r="AK63" s="368">
        <v>42811</v>
      </c>
      <c r="AL63" s="365"/>
      <c r="AM63" s="365"/>
      <c r="AN63" s="368"/>
      <c r="AO63" s="365"/>
      <c r="AP63" s="368"/>
      <c r="AQ63" s="368"/>
      <c r="AR63" s="368"/>
      <c r="AS63" s="368"/>
      <c r="AT63" s="368"/>
      <c r="AU63" s="365"/>
      <c r="AV63" s="365" t="s">
        <v>676</v>
      </c>
    </row>
    <row r="64" spans="1:48" s="20" customFormat="1" ht="67.5" x14ac:dyDescent="0.2">
      <c r="A64" s="357"/>
      <c r="B64" s="358" t="s">
        <v>647</v>
      </c>
      <c r="C64" s="358" t="s">
        <v>64</v>
      </c>
      <c r="D64" s="357"/>
      <c r="E64" s="357"/>
      <c r="F64" s="357"/>
      <c r="G64" s="357"/>
      <c r="H64" s="357"/>
      <c r="I64" s="357"/>
      <c r="J64" s="357"/>
      <c r="K64" s="357"/>
      <c r="L64" s="357"/>
      <c r="M64" s="365" t="s">
        <v>649</v>
      </c>
      <c r="N64" s="365" t="s">
        <v>663</v>
      </c>
      <c r="O64" s="365" t="s">
        <v>541</v>
      </c>
      <c r="P64" s="366">
        <v>0</v>
      </c>
      <c r="Q64" s="365" t="s">
        <v>651</v>
      </c>
      <c r="R64" s="366"/>
      <c r="S64" s="365" t="s">
        <v>876</v>
      </c>
      <c r="T64" s="365" t="s">
        <v>656</v>
      </c>
      <c r="U64" s="367"/>
      <c r="V64" s="367"/>
      <c r="W64" s="365"/>
      <c r="X64" s="366"/>
      <c r="Y64" s="365"/>
      <c r="Z64" s="367"/>
      <c r="AA64" s="366"/>
      <c r="AB64" s="366"/>
      <c r="AC64" s="366"/>
      <c r="AD64" s="366"/>
      <c r="AE64" s="366"/>
      <c r="AF64" s="367" t="s">
        <v>675</v>
      </c>
      <c r="AG64" s="365" t="s">
        <v>654</v>
      </c>
      <c r="AH64" s="368">
        <v>42759</v>
      </c>
      <c r="AI64" s="368">
        <v>42759</v>
      </c>
      <c r="AJ64" s="368">
        <v>42780</v>
      </c>
      <c r="AK64" s="368">
        <v>42811</v>
      </c>
      <c r="AL64" s="365"/>
      <c r="AM64" s="365"/>
      <c r="AN64" s="368"/>
      <c r="AO64" s="365"/>
      <c r="AP64" s="368"/>
      <c r="AQ64" s="368"/>
      <c r="AR64" s="368"/>
      <c r="AS64" s="368"/>
      <c r="AT64" s="368"/>
      <c r="AU64" s="365"/>
      <c r="AV64" s="365" t="s">
        <v>676</v>
      </c>
    </row>
    <row r="65" spans="1:48" s="20" customFormat="1" ht="33.75" x14ac:dyDescent="0.2">
      <c r="A65" s="357"/>
      <c r="B65" s="358" t="s">
        <v>648</v>
      </c>
      <c r="C65" s="358" t="s">
        <v>64</v>
      </c>
      <c r="D65" s="357"/>
      <c r="E65" s="357"/>
      <c r="F65" s="357"/>
      <c r="G65" s="357"/>
      <c r="H65" s="357"/>
      <c r="I65" s="357"/>
      <c r="J65" s="357"/>
      <c r="K65" s="357"/>
      <c r="L65" s="357"/>
      <c r="M65" s="365" t="s">
        <v>664</v>
      </c>
      <c r="N65" s="365" t="s">
        <v>677</v>
      </c>
      <c r="O65" s="365" t="s">
        <v>541</v>
      </c>
      <c r="P65" s="366">
        <v>407</v>
      </c>
      <c r="Q65" s="365" t="s">
        <v>666</v>
      </c>
      <c r="R65" s="366">
        <v>325</v>
      </c>
      <c r="S65" s="365" t="s">
        <v>672</v>
      </c>
      <c r="T65" s="365" t="s">
        <v>678</v>
      </c>
      <c r="U65" s="367" t="s">
        <v>64</v>
      </c>
      <c r="V65" s="367">
        <v>1</v>
      </c>
      <c r="W65" s="365" t="s">
        <v>679</v>
      </c>
      <c r="X65" s="366">
        <v>299.55</v>
      </c>
      <c r="Y65" s="365"/>
      <c r="Z65" s="367"/>
      <c r="AA65" s="366"/>
      <c r="AB65" s="366"/>
      <c r="AC65" s="366" t="s">
        <v>679</v>
      </c>
      <c r="AD65" s="366">
        <v>299.55</v>
      </c>
      <c r="AE65" s="366">
        <v>299.55</v>
      </c>
      <c r="AF65" s="367" t="s">
        <v>680</v>
      </c>
      <c r="AG65" s="365" t="s">
        <v>681</v>
      </c>
      <c r="AH65" s="368">
        <v>42769</v>
      </c>
      <c r="AI65" s="368">
        <v>42769</v>
      </c>
      <c r="AJ65" s="368">
        <v>42797</v>
      </c>
      <c r="AK65" s="368">
        <v>42831</v>
      </c>
      <c r="AL65" s="365"/>
      <c r="AM65" s="365"/>
      <c r="AN65" s="368"/>
      <c r="AO65" s="365"/>
      <c r="AP65" s="368"/>
      <c r="AQ65" s="368"/>
      <c r="AR65" s="368"/>
      <c r="AS65" s="368"/>
      <c r="AT65" s="368"/>
      <c r="AU65" s="365"/>
      <c r="AV65" s="365"/>
    </row>
    <row r="66" spans="1:48" s="20" customFormat="1" ht="56.25" x14ac:dyDescent="0.2">
      <c r="A66" s="357"/>
      <c r="B66" s="358" t="s">
        <v>648</v>
      </c>
      <c r="C66" s="358" t="s">
        <v>64</v>
      </c>
      <c r="D66" s="357"/>
      <c r="E66" s="357"/>
      <c r="F66" s="357"/>
      <c r="G66" s="357"/>
      <c r="H66" s="357"/>
      <c r="I66" s="357"/>
      <c r="J66" s="357"/>
      <c r="K66" s="357"/>
      <c r="L66" s="357"/>
      <c r="M66" s="365" t="s">
        <v>664</v>
      </c>
      <c r="N66" s="365" t="s">
        <v>685</v>
      </c>
      <c r="O66" s="365" t="s">
        <v>541</v>
      </c>
      <c r="P66" s="366">
        <v>696</v>
      </c>
      <c r="Q66" s="365" t="s">
        <v>666</v>
      </c>
      <c r="R66" s="366">
        <v>556</v>
      </c>
      <c r="S66" s="365" t="s">
        <v>672</v>
      </c>
      <c r="T66" s="365" t="s">
        <v>672</v>
      </c>
      <c r="U66" s="367" t="s">
        <v>61</v>
      </c>
      <c r="V66" s="367">
        <v>2</v>
      </c>
      <c r="W66" s="365" t="s">
        <v>686</v>
      </c>
      <c r="X66" s="366">
        <v>552.5</v>
      </c>
      <c r="Y66" s="365"/>
      <c r="Z66" s="367"/>
      <c r="AA66" s="366"/>
      <c r="AB66" s="366"/>
      <c r="AC66" s="366"/>
      <c r="AD66" s="366"/>
      <c r="AE66" s="366"/>
      <c r="AF66" s="367" t="s">
        <v>687</v>
      </c>
      <c r="AG66" s="365" t="s">
        <v>681</v>
      </c>
      <c r="AH66" s="368">
        <v>42767</v>
      </c>
      <c r="AI66" s="368">
        <v>42767</v>
      </c>
      <c r="AJ66" s="368">
        <v>42794</v>
      </c>
      <c r="AK66" s="368">
        <v>42815</v>
      </c>
      <c r="AL66" s="365"/>
      <c r="AM66" s="365"/>
      <c r="AN66" s="368"/>
      <c r="AO66" s="365"/>
      <c r="AP66" s="368"/>
      <c r="AQ66" s="368"/>
      <c r="AR66" s="368"/>
      <c r="AS66" s="368"/>
      <c r="AT66" s="368"/>
      <c r="AU66" s="365"/>
      <c r="AV66" s="365" t="s">
        <v>688</v>
      </c>
    </row>
    <row r="67" spans="1:48" s="20" customFormat="1" ht="22.5" x14ac:dyDescent="0.2">
      <c r="A67" s="357"/>
      <c r="B67" s="358"/>
      <c r="C67" s="358"/>
      <c r="D67" s="357"/>
      <c r="E67" s="357"/>
      <c r="F67" s="357"/>
      <c r="G67" s="357"/>
      <c r="H67" s="357"/>
      <c r="I67" s="357"/>
      <c r="J67" s="357"/>
      <c r="K67" s="357"/>
      <c r="L67" s="357"/>
      <c r="M67" s="365"/>
      <c r="N67" s="365"/>
      <c r="O67" s="365"/>
      <c r="P67" s="366"/>
      <c r="Q67" s="365"/>
      <c r="R67" s="366"/>
      <c r="S67" s="365"/>
      <c r="T67" s="365"/>
      <c r="U67" s="367"/>
      <c r="V67" s="367"/>
      <c r="W67" s="365" t="s">
        <v>891</v>
      </c>
      <c r="X67" s="366">
        <v>29.66</v>
      </c>
      <c r="Y67" s="365" t="s">
        <v>891</v>
      </c>
      <c r="Z67" s="368"/>
      <c r="AA67" s="366"/>
      <c r="AB67" s="366"/>
      <c r="AC67" s="366"/>
      <c r="AD67" s="366"/>
      <c r="AE67" s="366"/>
      <c r="AF67" s="367"/>
      <c r="AG67" s="365"/>
      <c r="AH67" s="368"/>
      <c r="AI67" s="368"/>
      <c r="AJ67" s="368"/>
      <c r="AK67" s="368"/>
      <c r="AL67" s="365"/>
      <c r="AM67" s="365"/>
      <c r="AN67" s="368"/>
      <c r="AO67" s="365"/>
      <c r="AP67" s="368"/>
      <c r="AQ67" s="368"/>
      <c r="AR67" s="368"/>
      <c r="AS67" s="368"/>
      <c r="AT67" s="368"/>
      <c r="AU67" s="365"/>
      <c r="AV67" s="365"/>
    </row>
    <row r="68" spans="1:48" s="20" customFormat="1" ht="22.5" x14ac:dyDescent="0.2">
      <c r="A68" s="357"/>
      <c r="B68" s="358" t="s">
        <v>648</v>
      </c>
      <c r="C68" s="358" t="s">
        <v>64</v>
      </c>
      <c r="D68" s="357"/>
      <c r="E68" s="357"/>
      <c r="F68" s="357"/>
      <c r="G68" s="357"/>
      <c r="H68" s="357"/>
      <c r="I68" s="357"/>
      <c r="J68" s="357"/>
      <c r="K68" s="357"/>
      <c r="L68" s="357"/>
      <c r="M68" s="365" t="s">
        <v>664</v>
      </c>
      <c r="N68" s="365" t="s">
        <v>689</v>
      </c>
      <c r="O68" s="365" t="s">
        <v>541</v>
      </c>
      <c r="P68" s="366">
        <v>388</v>
      </c>
      <c r="Q68" s="365" t="s">
        <v>666</v>
      </c>
      <c r="R68" s="366">
        <v>310</v>
      </c>
      <c r="S68" s="365" t="s">
        <v>672</v>
      </c>
      <c r="T68" s="365" t="s">
        <v>678</v>
      </c>
      <c r="U68" s="367" t="s">
        <v>64</v>
      </c>
      <c r="V68" s="367">
        <v>1</v>
      </c>
      <c r="W68" s="365" t="s">
        <v>690</v>
      </c>
      <c r="X68" s="366">
        <v>241.53</v>
      </c>
      <c r="Y68" s="365"/>
      <c r="Z68" s="367"/>
      <c r="AA68" s="366"/>
      <c r="AB68" s="366"/>
      <c r="AC68" s="366" t="s">
        <v>690</v>
      </c>
      <c r="AD68" s="366">
        <v>241.53</v>
      </c>
      <c r="AE68" s="366">
        <v>241.53</v>
      </c>
      <c r="AF68" s="367" t="s">
        <v>691</v>
      </c>
      <c r="AG68" s="365" t="s">
        <v>681</v>
      </c>
      <c r="AH68" s="368">
        <v>42767</v>
      </c>
      <c r="AI68" s="368">
        <v>42767</v>
      </c>
      <c r="AJ68" s="368">
        <v>42795</v>
      </c>
      <c r="AK68" s="368">
        <v>42830</v>
      </c>
      <c r="AL68" s="365"/>
      <c r="AM68" s="365"/>
      <c r="AN68" s="368"/>
      <c r="AO68" s="365"/>
      <c r="AP68" s="368" t="s">
        <v>892</v>
      </c>
      <c r="AQ68" s="368" t="s">
        <v>892</v>
      </c>
      <c r="AR68" s="368" t="s">
        <v>892</v>
      </c>
      <c r="AS68" s="368" t="s">
        <v>892</v>
      </c>
      <c r="AT68" s="368"/>
      <c r="AU68" s="365"/>
      <c r="AV68" s="365"/>
    </row>
    <row r="69" spans="1:48" s="20" customFormat="1" ht="33.75" x14ac:dyDescent="0.2">
      <c r="A69" s="357"/>
      <c r="B69" s="358" t="s">
        <v>648</v>
      </c>
      <c r="C69" s="358" t="s">
        <v>64</v>
      </c>
      <c r="D69" s="357"/>
      <c r="E69" s="357"/>
      <c r="F69" s="357"/>
      <c r="G69" s="357"/>
      <c r="H69" s="357"/>
      <c r="I69" s="357"/>
      <c r="J69" s="357"/>
      <c r="K69" s="357"/>
      <c r="L69" s="357"/>
      <c r="M69" s="365" t="s">
        <v>664</v>
      </c>
      <c r="N69" s="365" t="s">
        <v>692</v>
      </c>
      <c r="O69" s="365" t="s">
        <v>541</v>
      </c>
      <c r="P69" s="366">
        <v>1293</v>
      </c>
      <c r="Q69" s="365" t="s">
        <v>666</v>
      </c>
      <c r="R69" s="366">
        <v>1033</v>
      </c>
      <c r="S69" s="365" t="s">
        <v>672</v>
      </c>
      <c r="T69" s="365" t="s">
        <v>672</v>
      </c>
      <c r="U69" s="367" t="s">
        <v>64</v>
      </c>
      <c r="V69" s="367">
        <v>1</v>
      </c>
      <c r="W69" s="365" t="s">
        <v>693</v>
      </c>
      <c r="X69" s="366">
        <v>1017.08</v>
      </c>
      <c r="Y69" s="365" t="s">
        <v>693</v>
      </c>
      <c r="Z69" s="367"/>
      <c r="AA69" s="366"/>
      <c r="AB69" s="366"/>
      <c r="AC69" s="366"/>
      <c r="AD69" s="366"/>
      <c r="AE69" s="366"/>
      <c r="AF69" s="367" t="s">
        <v>694</v>
      </c>
      <c r="AG69" s="365" t="s">
        <v>681</v>
      </c>
      <c r="AH69" s="368">
        <v>42769</v>
      </c>
      <c r="AI69" s="368">
        <v>42769</v>
      </c>
      <c r="AJ69" s="368">
        <v>42793</v>
      </c>
      <c r="AK69" s="368">
        <v>42824</v>
      </c>
      <c r="AL69" s="365"/>
      <c r="AM69" s="365"/>
      <c r="AN69" s="368"/>
      <c r="AO69" s="365"/>
      <c r="AP69" s="368"/>
      <c r="AQ69" s="368"/>
      <c r="AR69" s="368"/>
      <c r="AS69" s="368"/>
      <c r="AT69" s="368"/>
      <c r="AU69" s="365"/>
      <c r="AV69" s="365" t="s">
        <v>695</v>
      </c>
    </row>
    <row r="70" spans="1:48" s="20" customFormat="1" ht="33.75" x14ac:dyDescent="0.2">
      <c r="A70" s="357"/>
      <c r="B70" s="358" t="s">
        <v>648</v>
      </c>
      <c r="C70" s="358" t="s">
        <v>64</v>
      </c>
      <c r="D70" s="357"/>
      <c r="E70" s="357"/>
      <c r="F70" s="357"/>
      <c r="G70" s="357"/>
      <c r="H70" s="357"/>
      <c r="I70" s="357"/>
      <c r="J70" s="357"/>
      <c r="K70" s="357"/>
      <c r="L70" s="357"/>
      <c r="M70" s="365" t="s">
        <v>664</v>
      </c>
      <c r="N70" s="365" t="s">
        <v>696</v>
      </c>
      <c r="O70" s="365" t="s">
        <v>541</v>
      </c>
      <c r="P70" s="366">
        <v>388</v>
      </c>
      <c r="Q70" s="365" t="s">
        <v>666</v>
      </c>
      <c r="R70" s="366">
        <v>310</v>
      </c>
      <c r="S70" s="365" t="s">
        <v>672</v>
      </c>
      <c r="T70" s="365" t="s">
        <v>672</v>
      </c>
      <c r="U70" s="367" t="s">
        <v>63</v>
      </c>
      <c r="V70" s="367">
        <v>2</v>
      </c>
      <c r="W70" s="365" t="s">
        <v>697</v>
      </c>
      <c r="X70" s="366">
        <v>225.26</v>
      </c>
      <c r="Y70" s="365"/>
      <c r="Z70" s="367"/>
      <c r="AA70" s="366"/>
      <c r="AB70" s="366"/>
      <c r="AC70" s="366" t="s">
        <v>697</v>
      </c>
      <c r="AD70" s="366">
        <v>225.26</v>
      </c>
      <c r="AE70" s="366">
        <v>225.26</v>
      </c>
      <c r="AF70" s="367" t="s">
        <v>698</v>
      </c>
      <c r="AG70" s="365" t="s">
        <v>681</v>
      </c>
      <c r="AH70" s="368">
        <v>42767</v>
      </c>
      <c r="AI70" s="368">
        <v>42767</v>
      </c>
      <c r="AJ70" s="368">
        <v>42774</v>
      </c>
      <c r="AK70" s="368">
        <v>42807</v>
      </c>
      <c r="AL70" s="365"/>
      <c r="AM70" s="365"/>
      <c r="AN70" s="368"/>
      <c r="AO70" s="365"/>
      <c r="AP70" s="368"/>
      <c r="AQ70" s="368"/>
      <c r="AR70" s="368"/>
      <c r="AS70" s="368"/>
      <c r="AT70" s="368"/>
      <c r="AU70" s="365"/>
      <c r="AV70" s="365"/>
    </row>
    <row r="71" spans="1:48" s="20" customFormat="1" ht="22.5" x14ac:dyDescent="0.2">
      <c r="A71" s="357"/>
      <c r="B71" s="358"/>
      <c r="C71" s="358"/>
      <c r="D71" s="357"/>
      <c r="E71" s="357"/>
      <c r="F71" s="357"/>
      <c r="G71" s="357"/>
      <c r="H71" s="357"/>
      <c r="I71" s="357"/>
      <c r="J71" s="357"/>
      <c r="K71" s="357"/>
      <c r="L71" s="357"/>
      <c r="M71" s="365"/>
      <c r="N71" s="365"/>
      <c r="O71" s="365"/>
      <c r="P71" s="366"/>
      <c r="Q71" s="365"/>
      <c r="R71" s="366"/>
      <c r="S71" s="365"/>
      <c r="T71" s="365"/>
      <c r="U71" s="367"/>
      <c r="V71" s="367"/>
      <c r="W71" s="365" t="s">
        <v>893</v>
      </c>
      <c r="X71" s="366">
        <v>239.55</v>
      </c>
      <c r="Y71" s="365"/>
      <c r="Z71" s="368"/>
      <c r="AA71" s="366"/>
      <c r="AB71" s="366"/>
      <c r="AC71" s="366"/>
      <c r="AD71" s="366"/>
      <c r="AE71" s="366"/>
      <c r="AF71" s="367"/>
      <c r="AG71" s="365"/>
      <c r="AH71" s="368"/>
      <c r="AI71" s="368"/>
      <c r="AJ71" s="368"/>
      <c r="AK71" s="368"/>
      <c r="AL71" s="365"/>
      <c r="AM71" s="365"/>
      <c r="AN71" s="368"/>
      <c r="AO71" s="365"/>
      <c r="AP71" s="368"/>
      <c r="AQ71" s="368"/>
      <c r="AR71" s="368"/>
      <c r="AS71" s="368"/>
      <c r="AT71" s="368"/>
      <c r="AU71" s="365"/>
      <c r="AV71" s="365"/>
    </row>
    <row r="72" spans="1:48" s="20" customFormat="1" ht="33.75" x14ac:dyDescent="0.2">
      <c r="A72" s="357"/>
      <c r="B72" s="358" t="s">
        <v>648</v>
      </c>
      <c r="C72" s="358" t="s">
        <v>64</v>
      </c>
      <c r="D72" s="357"/>
      <c r="E72" s="357"/>
      <c r="F72" s="357"/>
      <c r="G72" s="357"/>
      <c r="H72" s="357"/>
      <c r="I72" s="357"/>
      <c r="J72" s="357"/>
      <c r="K72" s="357"/>
      <c r="L72" s="357"/>
      <c r="M72" s="365" t="s">
        <v>664</v>
      </c>
      <c r="N72" s="365" t="s">
        <v>699</v>
      </c>
      <c r="O72" s="365" t="s">
        <v>541</v>
      </c>
      <c r="P72" s="366">
        <v>12936</v>
      </c>
      <c r="Q72" s="365" t="s">
        <v>666</v>
      </c>
      <c r="R72" s="366">
        <v>10335</v>
      </c>
      <c r="S72" s="365" t="s">
        <v>656</v>
      </c>
      <c r="T72" s="365" t="s">
        <v>656</v>
      </c>
      <c r="U72" s="367"/>
      <c r="V72" s="367"/>
      <c r="W72" s="365"/>
      <c r="X72" s="366"/>
      <c r="Y72" s="365"/>
      <c r="Z72" s="367"/>
      <c r="AA72" s="366"/>
      <c r="AB72" s="366"/>
      <c r="AC72" s="366"/>
      <c r="AD72" s="366"/>
      <c r="AE72" s="366"/>
      <c r="AF72" s="367" t="s">
        <v>700</v>
      </c>
      <c r="AG72" s="365" t="s">
        <v>654</v>
      </c>
      <c r="AH72" s="368">
        <v>42804</v>
      </c>
      <c r="AI72" s="368">
        <v>42804</v>
      </c>
      <c r="AJ72" s="368">
        <v>42825</v>
      </c>
      <c r="AK72" s="368">
        <v>42865</v>
      </c>
      <c r="AL72" s="365"/>
      <c r="AM72" s="365"/>
      <c r="AN72" s="368"/>
      <c r="AO72" s="365"/>
      <c r="AP72" s="368"/>
      <c r="AQ72" s="368"/>
      <c r="AR72" s="368"/>
      <c r="AS72" s="368"/>
      <c r="AT72" s="368"/>
      <c r="AU72" s="365"/>
      <c r="AV72" s="365" t="s">
        <v>676</v>
      </c>
    </row>
    <row r="73" spans="1:48" s="20" customFormat="1" ht="33.75" x14ac:dyDescent="0.2">
      <c r="A73" s="357"/>
      <c r="B73" s="358" t="s">
        <v>648</v>
      </c>
      <c r="C73" s="358" t="s">
        <v>64</v>
      </c>
      <c r="D73" s="357"/>
      <c r="E73" s="357"/>
      <c r="F73" s="357"/>
      <c r="G73" s="357"/>
      <c r="H73" s="357"/>
      <c r="I73" s="357"/>
      <c r="J73" s="357"/>
      <c r="K73" s="357"/>
      <c r="L73" s="357"/>
      <c r="M73" s="365" t="s">
        <v>664</v>
      </c>
      <c r="N73" s="365" t="s">
        <v>701</v>
      </c>
      <c r="O73" s="365" t="s">
        <v>541</v>
      </c>
      <c r="P73" s="366">
        <v>4975.59</v>
      </c>
      <c r="Q73" s="365" t="s">
        <v>666</v>
      </c>
      <c r="R73" s="366">
        <v>3975</v>
      </c>
      <c r="S73" s="365" t="s">
        <v>682</v>
      </c>
      <c r="T73" s="365" t="s">
        <v>682</v>
      </c>
      <c r="U73" s="367" t="s">
        <v>519</v>
      </c>
      <c r="V73" s="367">
        <v>6</v>
      </c>
      <c r="W73" s="365" t="s">
        <v>702</v>
      </c>
      <c r="X73" s="366">
        <v>3963.37</v>
      </c>
      <c r="Y73" s="365"/>
      <c r="Z73" s="367">
        <v>1</v>
      </c>
      <c r="AA73" s="366">
        <v>3532.43</v>
      </c>
      <c r="AB73" s="366">
        <v>3532.43</v>
      </c>
      <c r="AC73" s="366" t="s">
        <v>702</v>
      </c>
      <c r="AD73" s="366">
        <v>3532.43</v>
      </c>
      <c r="AE73" s="366">
        <v>3532.43</v>
      </c>
      <c r="AF73" s="367" t="s">
        <v>703</v>
      </c>
      <c r="AG73" s="365" t="s">
        <v>654</v>
      </c>
      <c r="AH73" s="368">
        <v>42801</v>
      </c>
      <c r="AI73" s="368">
        <v>42801</v>
      </c>
      <c r="AJ73" s="368">
        <v>42828</v>
      </c>
      <c r="AK73" s="368">
        <v>42858</v>
      </c>
      <c r="AL73" s="365"/>
      <c r="AM73" s="365"/>
      <c r="AN73" s="368"/>
      <c r="AO73" s="365"/>
      <c r="AP73" s="368"/>
      <c r="AQ73" s="368"/>
      <c r="AR73" s="368"/>
      <c r="AS73" s="368"/>
      <c r="AT73" s="368"/>
      <c r="AU73" s="365"/>
      <c r="AV73" s="365"/>
    </row>
    <row r="74" spans="1:48" s="20" customFormat="1" ht="33.75" x14ac:dyDescent="0.2">
      <c r="A74" s="357"/>
      <c r="B74" s="358"/>
      <c r="C74" s="358"/>
      <c r="D74" s="357"/>
      <c r="E74" s="357"/>
      <c r="F74" s="357"/>
      <c r="G74" s="357"/>
      <c r="H74" s="357"/>
      <c r="I74" s="357"/>
      <c r="J74" s="357"/>
      <c r="K74" s="357"/>
      <c r="L74" s="357"/>
      <c r="M74" s="365"/>
      <c r="N74" s="365"/>
      <c r="O74" s="365"/>
      <c r="P74" s="366"/>
      <c r="Q74" s="365"/>
      <c r="R74" s="366"/>
      <c r="S74" s="365"/>
      <c r="T74" s="365"/>
      <c r="U74" s="367"/>
      <c r="V74" s="367"/>
      <c r="W74" s="365" t="s">
        <v>894</v>
      </c>
      <c r="X74" s="366">
        <v>3965.32</v>
      </c>
      <c r="Y74" s="365"/>
      <c r="Z74" s="368"/>
      <c r="AA74" s="366">
        <v>3753.45</v>
      </c>
      <c r="AB74" s="366">
        <v>3753.45</v>
      </c>
      <c r="AC74" s="366"/>
      <c r="AD74" s="366"/>
      <c r="AE74" s="366"/>
      <c r="AF74" s="367"/>
      <c r="AG74" s="365"/>
      <c r="AH74" s="368"/>
      <c r="AI74" s="368"/>
      <c r="AJ74" s="368"/>
      <c r="AK74" s="368"/>
      <c r="AL74" s="365"/>
      <c r="AM74" s="365"/>
      <c r="AN74" s="368"/>
      <c r="AO74" s="365"/>
      <c r="AP74" s="368"/>
      <c r="AQ74" s="368"/>
      <c r="AR74" s="368"/>
      <c r="AS74" s="368"/>
      <c r="AT74" s="368"/>
      <c r="AU74" s="365"/>
      <c r="AV74" s="365"/>
    </row>
    <row r="75" spans="1:48" s="20" customFormat="1" ht="33.75" x14ac:dyDescent="0.2">
      <c r="A75" s="357"/>
      <c r="B75" s="358"/>
      <c r="C75" s="358"/>
      <c r="D75" s="357"/>
      <c r="E75" s="357"/>
      <c r="F75" s="357"/>
      <c r="G75" s="357"/>
      <c r="H75" s="357"/>
      <c r="I75" s="357"/>
      <c r="J75" s="357"/>
      <c r="K75" s="357"/>
      <c r="L75" s="357"/>
      <c r="M75" s="365"/>
      <c r="N75" s="365"/>
      <c r="O75" s="365"/>
      <c r="P75" s="366"/>
      <c r="Q75" s="365"/>
      <c r="R75" s="366"/>
      <c r="S75" s="365"/>
      <c r="T75" s="365"/>
      <c r="U75" s="367"/>
      <c r="V75" s="367"/>
      <c r="W75" s="365" t="s">
        <v>722</v>
      </c>
      <c r="X75" s="366">
        <v>3534.33</v>
      </c>
      <c r="Y75" s="365"/>
      <c r="Z75" s="368"/>
      <c r="AA75" s="366">
        <v>3534.33</v>
      </c>
      <c r="AB75" s="366">
        <v>3534.33</v>
      </c>
      <c r="AC75" s="366"/>
      <c r="AD75" s="366"/>
      <c r="AE75" s="366"/>
      <c r="AF75" s="367"/>
      <c r="AG75" s="365"/>
      <c r="AH75" s="368"/>
      <c r="AI75" s="368"/>
      <c r="AJ75" s="368"/>
      <c r="AK75" s="368"/>
      <c r="AL75" s="365"/>
      <c r="AM75" s="365"/>
      <c r="AN75" s="368"/>
      <c r="AO75" s="365"/>
      <c r="AP75" s="368"/>
      <c r="AQ75" s="368"/>
      <c r="AR75" s="368"/>
      <c r="AS75" s="368"/>
      <c r="AT75" s="368"/>
      <c r="AU75" s="365"/>
      <c r="AV75" s="365"/>
    </row>
    <row r="76" spans="1:48" s="20" customFormat="1" ht="33.75" x14ac:dyDescent="0.2">
      <c r="A76" s="357"/>
      <c r="B76" s="358"/>
      <c r="C76" s="358"/>
      <c r="D76" s="357"/>
      <c r="E76" s="357"/>
      <c r="F76" s="357"/>
      <c r="G76" s="357"/>
      <c r="H76" s="357"/>
      <c r="I76" s="357"/>
      <c r="J76" s="357"/>
      <c r="K76" s="357"/>
      <c r="L76" s="357"/>
      <c r="M76" s="365"/>
      <c r="N76" s="365"/>
      <c r="O76" s="365"/>
      <c r="P76" s="366"/>
      <c r="Q76" s="365"/>
      <c r="R76" s="366"/>
      <c r="S76" s="365"/>
      <c r="T76" s="365"/>
      <c r="U76" s="367"/>
      <c r="V76" s="367"/>
      <c r="W76" s="365" t="s">
        <v>895</v>
      </c>
      <c r="X76" s="366">
        <v>3477.55</v>
      </c>
      <c r="Y76" s="365" t="s">
        <v>895</v>
      </c>
      <c r="Z76" s="368"/>
      <c r="AA76" s="366"/>
      <c r="AB76" s="366"/>
      <c r="AC76" s="366"/>
      <c r="AD76" s="366"/>
      <c r="AE76" s="366"/>
      <c r="AF76" s="367"/>
      <c r="AG76" s="365"/>
      <c r="AH76" s="368"/>
      <c r="AI76" s="368"/>
      <c r="AJ76" s="368"/>
      <c r="AK76" s="368"/>
      <c r="AL76" s="365"/>
      <c r="AM76" s="365"/>
      <c r="AN76" s="368"/>
      <c r="AO76" s="365"/>
      <c r="AP76" s="368"/>
      <c r="AQ76" s="368"/>
      <c r="AR76" s="368"/>
      <c r="AS76" s="368"/>
      <c r="AT76" s="368"/>
      <c r="AU76" s="365"/>
      <c r="AV76" s="365"/>
    </row>
    <row r="77" spans="1:48" s="20" customFormat="1" ht="22.5" x14ac:dyDescent="0.2">
      <c r="A77" s="357"/>
      <c r="B77" s="358"/>
      <c r="C77" s="358"/>
      <c r="D77" s="357"/>
      <c r="E77" s="357"/>
      <c r="F77" s="357"/>
      <c r="G77" s="357"/>
      <c r="H77" s="357"/>
      <c r="I77" s="357"/>
      <c r="J77" s="357"/>
      <c r="K77" s="357"/>
      <c r="L77" s="357"/>
      <c r="M77" s="365"/>
      <c r="N77" s="365"/>
      <c r="O77" s="365"/>
      <c r="P77" s="366"/>
      <c r="Q77" s="365"/>
      <c r="R77" s="366"/>
      <c r="S77" s="365"/>
      <c r="T77" s="365"/>
      <c r="U77" s="367"/>
      <c r="V77" s="367"/>
      <c r="W77" s="365" t="s">
        <v>896</v>
      </c>
      <c r="X77" s="366">
        <v>3746.38</v>
      </c>
      <c r="Y77" s="365" t="s">
        <v>896</v>
      </c>
      <c r="Z77" s="368"/>
      <c r="AA77" s="366"/>
      <c r="AB77" s="366"/>
      <c r="AC77" s="366"/>
      <c r="AD77" s="366"/>
      <c r="AE77" s="366"/>
      <c r="AF77" s="367"/>
      <c r="AG77" s="365"/>
      <c r="AH77" s="368"/>
      <c r="AI77" s="368"/>
      <c r="AJ77" s="368"/>
      <c r="AK77" s="368"/>
      <c r="AL77" s="365"/>
      <c r="AM77" s="365"/>
      <c r="AN77" s="368"/>
      <c r="AO77" s="365"/>
      <c r="AP77" s="368"/>
      <c r="AQ77" s="368"/>
      <c r="AR77" s="368"/>
      <c r="AS77" s="368"/>
      <c r="AT77" s="368"/>
      <c r="AU77" s="365"/>
      <c r="AV77" s="365"/>
    </row>
    <row r="78" spans="1:48" s="20" customFormat="1" ht="22.5" x14ac:dyDescent="0.2">
      <c r="A78" s="357"/>
      <c r="B78" s="358"/>
      <c r="C78" s="358"/>
      <c r="D78" s="357"/>
      <c r="E78" s="357"/>
      <c r="F78" s="357"/>
      <c r="G78" s="357"/>
      <c r="H78" s="357"/>
      <c r="I78" s="357"/>
      <c r="J78" s="357"/>
      <c r="K78" s="357"/>
      <c r="L78" s="357"/>
      <c r="M78" s="365"/>
      <c r="N78" s="365"/>
      <c r="O78" s="365"/>
      <c r="P78" s="366"/>
      <c r="Q78" s="365"/>
      <c r="R78" s="366"/>
      <c r="S78" s="365"/>
      <c r="T78" s="365"/>
      <c r="U78" s="367"/>
      <c r="V78" s="367"/>
      <c r="W78" s="365" t="s">
        <v>897</v>
      </c>
      <c r="X78" s="366">
        <v>3746.42</v>
      </c>
      <c r="Y78" s="365" t="s">
        <v>897</v>
      </c>
      <c r="Z78" s="368"/>
      <c r="AA78" s="366"/>
      <c r="AB78" s="366"/>
      <c r="AC78" s="366"/>
      <c r="AD78" s="366"/>
      <c r="AE78" s="366"/>
      <c r="AF78" s="367"/>
      <c r="AG78" s="365"/>
      <c r="AH78" s="368"/>
      <c r="AI78" s="368"/>
      <c r="AJ78" s="368"/>
      <c r="AK78" s="368"/>
      <c r="AL78" s="365"/>
      <c r="AM78" s="365"/>
      <c r="AN78" s="368"/>
      <c r="AO78" s="365"/>
      <c r="AP78" s="368"/>
      <c r="AQ78" s="368"/>
      <c r="AR78" s="368"/>
      <c r="AS78" s="368"/>
      <c r="AT78" s="368"/>
      <c r="AU78" s="365"/>
      <c r="AV78" s="365"/>
    </row>
    <row r="79" spans="1:48" s="20" customFormat="1" ht="112.5" x14ac:dyDescent="0.2">
      <c r="A79" s="357"/>
      <c r="B79" s="358" t="s">
        <v>647</v>
      </c>
      <c r="C79" s="358" t="s">
        <v>64</v>
      </c>
      <c r="D79" s="357"/>
      <c r="E79" s="357"/>
      <c r="F79" s="357"/>
      <c r="G79" s="357"/>
      <c r="H79" s="357"/>
      <c r="I79" s="357"/>
      <c r="J79" s="357"/>
      <c r="K79" s="357"/>
      <c r="L79" s="357"/>
      <c r="M79" s="365" t="s">
        <v>649</v>
      </c>
      <c r="N79" s="365" t="s">
        <v>757</v>
      </c>
      <c r="O79" s="365" t="s">
        <v>541</v>
      </c>
      <c r="P79" s="366">
        <v>8227.58</v>
      </c>
      <c r="Q79" s="365" t="s">
        <v>651</v>
      </c>
      <c r="R79" s="366">
        <v>7197.97</v>
      </c>
      <c r="S79" s="365" t="s">
        <v>876</v>
      </c>
      <c r="T79" s="365" t="s">
        <v>682</v>
      </c>
      <c r="U79" s="367" t="s">
        <v>63</v>
      </c>
      <c r="V79" s="367">
        <v>2</v>
      </c>
      <c r="W79" s="365" t="s">
        <v>758</v>
      </c>
      <c r="X79" s="366">
        <v>7190.77</v>
      </c>
      <c r="Y79" s="365"/>
      <c r="Z79" s="367"/>
      <c r="AA79" s="366"/>
      <c r="AB79" s="366"/>
      <c r="AC79" s="366" t="s">
        <v>758</v>
      </c>
      <c r="AD79" s="366">
        <v>7190.77</v>
      </c>
      <c r="AE79" s="366">
        <v>7190.77</v>
      </c>
      <c r="AF79" s="367" t="s">
        <v>759</v>
      </c>
      <c r="AG79" s="365" t="s">
        <v>654</v>
      </c>
      <c r="AH79" s="368">
        <v>42797</v>
      </c>
      <c r="AI79" s="368">
        <v>42797</v>
      </c>
      <c r="AJ79" s="368">
        <v>42814</v>
      </c>
      <c r="AK79" s="368">
        <v>42849</v>
      </c>
      <c r="AL79" s="365"/>
      <c r="AM79" s="365"/>
      <c r="AN79" s="368"/>
      <c r="AO79" s="365"/>
      <c r="AP79" s="368" t="s">
        <v>898</v>
      </c>
      <c r="AQ79" s="368" t="s">
        <v>898</v>
      </c>
      <c r="AR79" s="368" t="s">
        <v>898</v>
      </c>
      <c r="AS79" s="368" t="s">
        <v>898</v>
      </c>
      <c r="AT79" s="368"/>
      <c r="AU79" s="365"/>
      <c r="AV79" s="365"/>
    </row>
    <row r="80" spans="1:48" s="20" customFormat="1" ht="22.5" x14ac:dyDescent="0.2">
      <c r="A80" s="357"/>
      <c r="B80" s="358"/>
      <c r="C80" s="358"/>
      <c r="D80" s="357"/>
      <c r="E80" s="357"/>
      <c r="F80" s="357"/>
      <c r="G80" s="357"/>
      <c r="H80" s="357"/>
      <c r="I80" s="357"/>
      <c r="J80" s="357"/>
      <c r="K80" s="357"/>
      <c r="L80" s="357"/>
      <c r="M80" s="365"/>
      <c r="N80" s="365"/>
      <c r="O80" s="365"/>
      <c r="P80" s="366"/>
      <c r="Q80" s="365"/>
      <c r="R80" s="366"/>
      <c r="S80" s="365"/>
      <c r="T80" s="365"/>
      <c r="U80" s="367"/>
      <c r="V80" s="367"/>
      <c r="W80" s="365" t="s">
        <v>728</v>
      </c>
      <c r="X80" s="366">
        <v>7197.97</v>
      </c>
      <c r="Y80" s="365"/>
      <c r="Z80" s="368"/>
      <c r="AA80" s="366"/>
      <c r="AB80" s="366"/>
      <c r="AC80" s="366"/>
      <c r="AD80" s="366"/>
      <c r="AE80" s="366"/>
      <c r="AF80" s="367"/>
      <c r="AG80" s="365"/>
      <c r="AH80" s="368"/>
      <c r="AI80" s="368"/>
      <c r="AJ80" s="368"/>
      <c r="AK80" s="368"/>
      <c r="AL80" s="365"/>
      <c r="AM80" s="365"/>
      <c r="AN80" s="368"/>
      <c r="AO80" s="365"/>
      <c r="AP80" s="368"/>
      <c r="AQ80" s="368"/>
      <c r="AR80" s="368"/>
      <c r="AS80" s="368"/>
      <c r="AT80" s="368"/>
      <c r="AU80" s="365"/>
      <c r="AV80" s="365"/>
    </row>
    <row r="81" spans="1:48" s="20" customFormat="1" ht="56.25" x14ac:dyDescent="0.2">
      <c r="A81" s="357"/>
      <c r="B81" s="358" t="s">
        <v>647</v>
      </c>
      <c r="C81" s="358" t="s">
        <v>64</v>
      </c>
      <c r="D81" s="357"/>
      <c r="E81" s="357"/>
      <c r="F81" s="357"/>
      <c r="G81" s="357"/>
      <c r="H81" s="357"/>
      <c r="I81" s="357"/>
      <c r="J81" s="357"/>
      <c r="K81" s="357"/>
      <c r="L81" s="357"/>
      <c r="M81" s="365" t="s">
        <v>649</v>
      </c>
      <c r="N81" s="365" t="s">
        <v>760</v>
      </c>
      <c r="O81" s="365" t="s">
        <v>541</v>
      </c>
      <c r="P81" s="366">
        <v>5381.6</v>
      </c>
      <c r="Q81" s="365" t="s">
        <v>651</v>
      </c>
      <c r="R81" s="366">
        <v>4729.13</v>
      </c>
      <c r="S81" s="365" t="s">
        <v>876</v>
      </c>
      <c r="T81" s="365" t="s">
        <v>683</v>
      </c>
      <c r="U81" s="367" t="s">
        <v>64</v>
      </c>
      <c r="V81" s="367">
        <v>1</v>
      </c>
      <c r="W81" s="365" t="s">
        <v>761</v>
      </c>
      <c r="X81" s="366">
        <v>4727</v>
      </c>
      <c r="Y81" s="365"/>
      <c r="Z81" s="367"/>
      <c r="AA81" s="366"/>
      <c r="AB81" s="366"/>
      <c r="AC81" s="366" t="s">
        <v>761</v>
      </c>
      <c r="AD81" s="366">
        <v>4727</v>
      </c>
      <c r="AE81" s="366">
        <v>4727</v>
      </c>
      <c r="AF81" s="367" t="s">
        <v>762</v>
      </c>
      <c r="AG81" s="365" t="s">
        <v>654</v>
      </c>
      <c r="AH81" s="368">
        <v>42797</v>
      </c>
      <c r="AI81" s="368">
        <v>42797</v>
      </c>
      <c r="AJ81" s="368">
        <v>42831</v>
      </c>
      <c r="AK81" s="368">
        <v>42891</v>
      </c>
      <c r="AL81" s="365"/>
      <c r="AM81" s="365"/>
      <c r="AN81" s="368"/>
      <c r="AO81" s="365"/>
      <c r="AP81" s="368" t="s">
        <v>899</v>
      </c>
      <c r="AQ81" s="368" t="s">
        <v>899</v>
      </c>
      <c r="AR81" s="368" t="s">
        <v>899</v>
      </c>
      <c r="AS81" s="368" t="s">
        <v>899</v>
      </c>
      <c r="AT81" s="368" t="s">
        <v>900</v>
      </c>
      <c r="AU81" s="365"/>
      <c r="AV81" s="365"/>
    </row>
    <row r="82" spans="1:48" s="20" customFormat="1" ht="56.25" x14ac:dyDescent="0.2">
      <c r="A82" s="357"/>
      <c r="B82" s="358" t="s">
        <v>647</v>
      </c>
      <c r="C82" s="358" t="s">
        <v>64</v>
      </c>
      <c r="D82" s="357"/>
      <c r="E82" s="357"/>
      <c r="F82" s="357"/>
      <c r="G82" s="357"/>
      <c r="H82" s="357"/>
      <c r="I82" s="357"/>
      <c r="J82" s="357"/>
      <c r="K82" s="357"/>
      <c r="L82" s="357"/>
      <c r="M82" s="365" t="s">
        <v>649</v>
      </c>
      <c r="N82" s="365" t="s">
        <v>763</v>
      </c>
      <c r="O82" s="365" t="s">
        <v>541</v>
      </c>
      <c r="P82" s="366">
        <v>3739.69</v>
      </c>
      <c r="Q82" s="365" t="s">
        <v>651</v>
      </c>
      <c r="R82" s="366">
        <v>3285.66</v>
      </c>
      <c r="S82" s="365" t="s">
        <v>876</v>
      </c>
      <c r="T82" s="365" t="s">
        <v>682</v>
      </c>
      <c r="U82" s="367" t="s">
        <v>59</v>
      </c>
      <c r="V82" s="367">
        <v>2</v>
      </c>
      <c r="W82" s="365" t="s">
        <v>764</v>
      </c>
      <c r="X82" s="366">
        <v>3252.81</v>
      </c>
      <c r="Y82" s="365"/>
      <c r="Z82" s="367"/>
      <c r="AA82" s="366"/>
      <c r="AB82" s="366"/>
      <c r="AC82" s="366" t="s">
        <v>764</v>
      </c>
      <c r="AD82" s="366">
        <v>3252.81</v>
      </c>
      <c r="AE82" s="366">
        <v>3252.81</v>
      </c>
      <c r="AF82" s="367" t="s">
        <v>765</v>
      </c>
      <c r="AG82" s="365" t="s">
        <v>654</v>
      </c>
      <c r="AH82" s="368">
        <v>42797</v>
      </c>
      <c r="AI82" s="368">
        <v>42797</v>
      </c>
      <c r="AJ82" s="368">
        <v>42842</v>
      </c>
      <c r="AK82" s="368">
        <v>42866</v>
      </c>
      <c r="AL82" s="365"/>
      <c r="AM82" s="365"/>
      <c r="AN82" s="368"/>
      <c r="AO82" s="365"/>
      <c r="AP82" s="368" t="s">
        <v>901</v>
      </c>
      <c r="AQ82" s="368" t="s">
        <v>901</v>
      </c>
      <c r="AR82" s="368" t="s">
        <v>901</v>
      </c>
      <c r="AS82" s="368" t="s">
        <v>901</v>
      </c>
      <c r="AT82" s="368" t="s">
        <v>902</v>
      </c>
      <c r="AU82" s="365"/>
      <c r="AV82" s="365"/>
    </row>
    <row r="83" spans="1:48" s="20" customFormat="1" ht="22.5" x14ac:dyDescent="0.2">
      <c r="A83" s="357"/>
      <c r="B83" s="358"/>
      <c r="C83" s="358"/>
      <c r="D83" s="357"/>
      <c r="E83" s="357"/>
      <c r="F83" s="357"/>
      <c r="G83" s="357"/>
      <c r="H83" s="357"/>
      <c r="I83" s="357"/>
      <c r="J83" s="357"/>
      <c r="K83" s="357"/>
      <c r="L83" s="357"/>
      <c r="M83" s="365"/>
      <c r="N83" s="365"/>
      <c r="O83" s="365"/>
      <c r="P83" s="366"/>
      <c r="Q83" s="365"/>
      <c r="R83" s="366"/>
      <c r="S83" s="365"/>
      <c r="T83" s="365"/>
      <c r="U83" s="367"/>
      <c r="V83" s="367"/>
      <c r="W83" s="365" t="s">
        <v>761</v>
      </c>
      <c r="X83" s="366">
        <v>3283</v>
      </c>
      <c r="Y83" s="365"/>
      <c r="Z83" s="368"/>
      <c r="AA83" s="366"/>
      <c r="AB83" s="366"/>
      <c r="AC83" s="366"/>
      <c r="AD83" s="366"/>
      <c r="AE83" s="366"/>
      <c r="AF83" s="367"/>
      <c r="AG83" s="365"/>
      <c r="AH83" s="368"/>
      <c r="AI83" s="368"/>
      <c r="AJ83" s="368"/>
      <c r="AK83" s="368"/>
      <c r="AL83" s="365"/>
      <c r="AM83" s="365"/>
      <c r="AN83" s="368"/>
      <c r="AO83" s="365"/>
      <c r="AP83" s="368"/>
      <c r="AQ83" s="368"/>
      <c r="AR83" s="368"/>
      <c r="AS83" s="368"/>
      <c r="AT83" s="368"/>
      <c r="AU83" s="365"/>
      <c r="AV83" s="365"/>
    </row>
    <row r="84" spans="1:48" s="20" customFormat="1" ht="45" x14ac:dyDescent="0.2">
      <c r="A84" s="357"/>
      <c r="B84" s="358" t="s">
        <v>647</v>
      </c>
      <c r="C84" s="358" t="s">
        <v>64</v>
      </c>
      <c r="D84" s="357"/>
      <c r="E84" s="357"/>
      <c r="F84" s="357"/>
      <c r="G84" s="357"/>
      <c r="H84" s="357"/>
      <c r="I84" s="357"/>
      <c r="J84" s="357"/>
      <c r="K84" s="357"/>
      <c r="L84" s="357"/>
      <c r="M84" s="365" t="s">
        <v>649</v>
      </c>
      <c r="N84" s="365" t="s">
        <v>766</v>
      </c>
      <c r="O84" s="365" t="s">
        <v>541</v>
      </c>
      <c r="P84" s="366">
        <v>872</v>
      </c>
      <c r="Q84" s="365" t="s">
        <v>651</v>
      </c>
      <c r="R84" s="366">
        <v>767.45</v>
      </c>
      <c r="S84" s="365" t="s">
        <v>876</v>
      </c>
      <c r="T84" s="365" t="s">
        <v>682</v>
      </c>
      <c r="U84" s="367"/>
      <c r="V84" s="367"/>
      <c r="W84" s="365"/>
      <c r="X84" s="366"/>
      <c r="Y84" s="365"/>
      <c r="Z84" s="367"/>
      <c r="AA84" s="366"/>
      <c r="AB84" s="366"/>
      <c r="AC84" s="366"/>
      <c r="AD84" s="366"/>
      <c r="AE84" s="366"/>
      <c r="AF84" s="367" t="s">
        <v>767</v>
      </c>
      <c r="AG84" s="365" t="s">
        <v>681</v>
      </c>
      <c r="AH84" s="368">
        <v>42793</v>
      </c>
      <c r="AI84" s="368">
        <v>42793</v>
      </c>
      <c r="AJ84" s="368">
        <v>42814</v>
      </c>
      <c r="AK84" s="368">
        <v>42849</v>
      </c>
      <c r="AL84" s="365"/>
      <c r="AM84" s="365"/>
      <c r="AN84" s="368"/>
      <c r="AO84" s="365"/>
      <c r="AP84" s="368"/>
      <c r="AQ84" s="368"/>
      <c r="AR84" s="368"/>
      <c r="AS84" s="368"/>
      <c r="AT84" s="368"/>
      <c r="AU84" s="365"/>
      <c r="AV84" s="365" t="s">
        <v>676</v>
      </c>
    </row>
    <row r="85" spans="1:48" s="20" customFormat="1" ht="67.5" x14ac:dyDescent="0.2">
      <c r="A85" s="357"/>
      <c r="B85" s="358" t="s">
        <v>647</v>
      </c>
      <c r="C85" s="358" t="s">
        <v>64</v>
      </c>
      <c r="D85" s="357"/>
      <c r="E85" s="357"/>
      <c r="F85" s="357"/>
      <c r="G85" s="357"/>
      <c r="H85" s="357"/>
      <c r="I85" s="357"/>
      <c r="J85" s="357"/>
      <c r="K85" s="357"/>
      <c r="L85" s="357"/>
      <c r="M85" s="365" t="s">
        <v>649</v>
      </c>
      <c r="N85" s="365" t="s">
        <v>768</v>
      </c>
      <c r="O85" s="365" t="s">
        <v>541</v>
      </c>
      <c r="P85" s="366">
        <v>31179.360000000001</v>
      </c>
      <c r="Q85" s="365" t="s">
        <v>651</v>
      </c>
      <c r="R85" s="366">
        <v>27420.63</v>
      </c>
      <c r="S85" s="365" t="s">
        <v>876</v>
      </c>
      <c r="T85" s="365" t="s">
        <v>877</v>
      </c>
      <c r="U85" s="367" t="s">
        <v>59</v>
      </c>
      <c r="V85" s="367">
        <v>4</v>
      </c>
      <c r="W85" s="365" t="s">
        <v>758</v>
      </c>
      <c r="X85" s="366">
        <v>27283.53</v>
      </c>
      <c r="Y85" s="365"/>
      <c r="Z85" s="367">
        <v>1</v>
      </c>
      <c r="AA85" s="366">
        <v>27280.53</v>
      </c>
      <c r="AB85" s="366">
        <v>27280.53</v>
      </c>
      <c r="AC85" s="366" t="s">
        <v>758</v>
      </c>
      <c r="AD85" s="366">
        <v>27280.53</v>
      </c>
      <c r="AE85" s="366">
        <v>27280.53</v>
      </c>
      <c r="AF85" s="367" t="s">
        <v>769</v>
      </c>
      <c r="AG85" s="365" t="s">
        <v>654</v>
      </c>
      <c r="AH85" s="368">
        <v>42782</v>
      </c>
      <c r="AI85" s="368">
        <v>42782</v>
      </c>
      <c r="AJ85" s="368">
        <v>42788</v>
      </c>
      <c r="AK85" s="368">
        <v>42797</v>
      </c>
      <c r="AL85" s="365"/>
      <c r="AM85" s="365"/>
      <c r="AN85" s="368"/>
      <c r="AO85" s="365"/>
      <c r="AP85" s="368" t="s">
        <v>903</v>
      </c>
      <c r="AQ85" s="368" t="s">
        <v>903</v>
      </c>
      <c r="AR85" s="368" t="s">
        <v>903</v>
      </c>
      <c r="AS85" s="368" t="s">
        <v>903</v>
      </c>
      <c r="AT85" s="368" t="s">
        <v>904</v>
      </c>
      <c r="AU85" s="365"/>
      <c r="AV85" s="365"/>
    </row>
    <row r="86" spans="1:48" s="20" customFormat="1" ht="22.5" x14ac:dyDescent="0.2">
      <c r="A86" s="357"/>
      <c r="B86" s="358"/>
      <c r="C86" s="358"/>
      <c r="D86" s="357"/>
      <c r="E86" s="357"/>
      <c r="F86" s="357"/>
      <c r="G86" s="357"/>
      <c r="H86" s="357"/>
      <c r="I86" s="357"/>
      <c r="J86" s="357"/>
      <c r="K86" s="357"/>
      <c r="L86" s="357"/>
      <c r="M86" s="365"/>
      <c r="N86" s="365"/>
      <c r="O86" s="365"/>
      <c r="P86" s="366"/>
      <c r="Q86" s="365"/>
      <c r="R86" s="366"/>
      <c r="S86" s="365"/>
      <c r="T86" s="365"/>
      <c r="U86" s="367"/>
      <c r="V86" s="367"/>
      <c r="W86" s="365" t="s">
        <v>719</v>
      </c>
      <c r="X86" s="366">
        <v>27283.53</v>
      </c>
      <c r="Y86" s="365"/>
      <c r="Z86" s="368"/>
      <c r="AA86" s="366">
        <v>27283.53</v>
      </c>
      <c r="AB86" s="366">
        <v>27283.53</v>
      </c>
      <c r="AC86" s="366"/>
      <c r="AD86" s="366"/>
      <c r="AE86" s="366"/>
      <c r="AF86" s="367"/>
      <c r="AG86" s="365"/>
      <c r="AH86" s="368"/>
      <c r="AI86" s="368"/>
      <c r="AJ86" s="368"/>
      <c r="AK86" s="368"/>
      <c r="AL86" s="365"/>
      <c r="AM86" s="365"/>
      <c r="AN86" s="368"/>
      <c r="AO86" s="365"/>
      <c r="AP86" s="368"/>
      <c r="AQ86" s="368"/>
      <c r="AR86" s="368"/>
      <c r="AS86" s="368"/>
      <c r="AT86" s="368"/>
      <c r="AU86" s="365"/>
      <c r="AV86" s="365"/>
    </row>
    <row r="87" spans="1:48" s="20" customFormat="1" ht="22.5" x14ac:dyDescent="0.2">
      <c r="A87" s="357"/>
      <c r="B87" s="358"/>
      <c r="C87" s="358"/>
      <c r="D87" s="357"/>
      <c r="E87" s="357"/>
      <c r="F87" s="357"/>
      <c r="G87" s="357"/>
      <c r="H87" s="357"/>
      <c r="I87" s="357"/>
      <c r="J87" s="357"/>
      <c r="K87" s="357"/>
      <c r="L87" s="357"/>
      <c r="M87" s="365"/>
      <c r="N87" s="365"/>
      <c r="O87" s="365"/>
      <c r="P87" s="366"/>
      <c r="Q87" s="365"/>
      <c r="R87" s="366"/>
      <c r="S87" s="365"/>
      <c r="T87" s="365"/>
      <c r="U87" s="367"/>
      <c r="V87" s="367"/>
      <c r="W87" s="365" t="s">
        <v>728</v>
      </c>
      <c r="X87" s="366">
        <v>27420.63</v>
      </c>
      <c r="Y87" s="365"/>
      <c r="Z87" s="368"/>
      <c r="AA87" s="366">
        <v>27420.63</v>
      </c>
      <c r="AB87" s="366">
        <v>27420.63</v>
      </c>
      <c r="AC87" s="366"/>
      <c r="AD87" s="366"/>
      <c r="AE87" s="366"/>
      <c r="AF87" s="367"/>
      <c r="AG87" s="365"/>
      <c r="AH87" s="368"/>
      <c r="AI87" s="368"/>
      <c r="AJ87" s="368"/>
      <c r="AK87" s="368"/>
      <c r="AL87" s="365"/>
      <c r="AM87" s="365"/>
      <c r="AN87" s="368"/>
      <c r="AO87" s="365"/>
      <c r="AP87" s="368"/>
      <c r="AQ87" s="368"/>
      <c r="AR87" s="368"/>
      <c r="AS87" s="368"/>
      <c r="AT87" s="368"/>
      <c r="AU87" s="365"/>
      <c r="AV87" s="365"/>
    </row>
    <row r="88" spans="1:48" s="20" customFormat="1" ht="22.5" x14ac:dyDescent="0.2">
      <c r="A88" s="357"/>
      <c r="B88" s="358"/>
      <c r="C88" s="358"/>
      <c r="D88" s="357"/>
      <c r="E88" s="357"/>
      <c r="F88" s="357"/>
      <c r="G88" s="357"/>
      <c r="H88" s="357"/>
      <c r="I88" s="357"/>
      <c r="J88" s="357"/>
      <c r="K88" s="357"/>
      <c r="L88" s="357"/>
      <c r="M88" s="365"/>
      <c r="N88" s="365"/>
      <c r="O88" s="365"/>
      <c r="P88" s="366"/>
      <c r="Q88" s="365"/>
      <c r="R88" s="366"/>
      <c r="S88" s="365"/>
      <c r="T88" s="365"/>
      <c r="U88" s="367"/>
      <c r="V88" s="367"/>
      <c r="W88" s="365" t="s">
        <v>880</v>
      </c>
      <c r="X88" s="366">
        <v>29479.41</v>
      </c>
      <c r="Y88" s="365"/>
      <c r="Z88" s="368"/>
      <c r="AA88" s="366">
        <v>29479.41</v>
      </c>
      <c r="AB88" s="366">
        <v>29479.41</v>
      </c>
      <c r="AC88" s="366"/>
      <c r="AD88" s="366"/>
      <c r="AE88" s="366"/>
      <c r="AF88" s="367"/>
      <c r="AG88" s="365"/>
      <c r="AH88" s="368"/>
      <c r="AI88" s="368"/>
      <c r="AJ88" s="368"/>
      <c r="AK88" s="368"/>
      <c r="AL88" s="365"/>
      <c r="AM88" s="365"/>
      <c r="AN88" s="368"/>
      <c r="AO88" s="365"/>
      <c r="AP88" s="368"/>
      <c r="AQ88" s="368"/>
      <c r="AR88" s="368"/>
      <c r="AS88" s="368"/>
      <c r="AT88" s="368"/>
      <c r="AU88" s="365"/>
      <c r="AV88" s="365"/>
    </row>
    <row r="89" spans="1:48" s="20" customFormat="1" ht="67.5" x14ac:dyDescent="0.2">
      <c r="A89" s="357"/>
      <c r="B89" s="358" t="s">
        <v>647</v>
      </c>
      <c r="C89" s="358" t="s">
        <v>64</v>
      </c>
      <c r="D89" s="357"/>
      <c r="E89" s="357"/>
      <c r="F89" s="357"/>
      <c r="G89" s="357"/>
      <c r="H89" s="357"/>
      <c r="I89" s="357"/>
      <c r="J89" s="357"/>
      <c r="K89" s="357"/>
      <c r="L89" s="357"/>
      <c r="M89" s="365" t="s">
        <v>649</v>
      </c>
      <c r="N89" s="365" t="s">
        <v>770</v>
      </c>
      <c r="O89" s="365" t="s">
        <v>541</v>
      </c>
      <c r="P89" s="366">
        <v>15266.45</v>
      </c>
      <c r="Q89" s="365" t="s">
        <v>651</v>
      </c>
      <c r="R89" s="366">
        <v>13429.38</v>
      </c>
      <c r="S89" s="365" t="s">
        <v>876</v>
      </c>
      <c r="T89" s="365" t="s">
        <v>877</v>
      </c>
      <c r="U89" s="367" t="s">
        <v>61</v>
      </c>
      <c r="V89" s="367">
        <v>4</v>
      </c>
      <c r="W89" s="365" t="s">
        <v>758</v>
      </c>
      <c r="X89" s="366">
        <v>13362.23</v>
      </c>
      <c r="Y89" s="365"/>
      <c r="Z89" s="367">
        <v>1</v>
      </c>
      <c r="AA89" s="366">
        <v>13359.23</v>
      </c>
      <c r="AB89" s="366">
        <v>13359.23</v>
      </c>
      <c r="AC89" s="366" t="s">
        <v>758</v>
      </c>
      <c r="AD89" s="366">
        <v>13359.23</v>
      </c>
      <c r="AE89" s="366">
        <v>13359.23</v>
      </c>
      <c r="AF89" s="367" t="s">
        <v>771</v>
      </c>
      <c r="AG89" s="365" t="s">
        <v>654</v>
      </c>
      <c r="AH89" s="368">
        <v>42782</v>
      </c>
      <c r="AI89" s="368">
        <v>42782</v>
      </c>
      <c r="AJ89" s="368">
        <v>42788</v>
      </c>
      <c r="AK89" s="368">
        <v>42797</v>
      </c>
      <c r="AL89" s="365"/>
      <c r="AM89" s="365"/>
      <c r="AN89" s="368"/>
      <c r="AO89" s="365"/>
      <c r="AP89" s="368" t="s">
        <v>903</v>
      </c>
      <c r="AQ89" s="368" t="s">
        <v>903</v>
      </c>
      <c r="AR89" s="368" t="s">
        <v>903</v>
      </c>
      <c r="AS89" s="368" t="s">
        <v>903</v>
      </c>
      <c r="AT89" s="368" t="s">
        <v>904</v>
      </c>
      <c r="AU89" s="365"/>
      <c r="AV89" s="365"/>
    </row>
    <row r="90" spans="1:48" s="20" customFormat="1" ht="22.5" x14ac:dyDescent="0.2">
      <c r="A90" s="357"/>
      <c r="B90" s="358"/>
      <c r="C90" s="358"/>
      <c r="D90" s="357"/>
      <c r="E90" s="357"/>
      <c r="F90" s="357"/>
      <c r="G90" s="357"/>
      <c r="H90" s="357"/>
      <c r="I90" s="357"/>
      <c r="J90" s="357"/>
      <c r="K90" s="357"/>
      <c r="L90" s="357"/>
      <c r="M90" s="365"/>
      <c r="N90" s="365"/>
      <c r="O90" s="365"/>
      <c r="P90" s="366"/>
      <c r="Q90" s="365"/>
      <c r="R90" s="366"/>
      <c r="S90" s="365"/>
      <c r="T90" s="365"/>
      <c r="U90" s="367"/>
      <c r="V90" s="367"/>
      <c r="W90" s="365" t="s">
        <v>719</v>
      </c>
      <c r="X90" s="366">
        <v>133625.23000000001</v>
      </c>
      <c r="Y90" s="365"/>
      <c r="Z90" s="368"/>
      <c r="AA90" s="366">
        <v>133625.23000000001</v>
      </c>
      <c r="AB90" s="366">
        <v>133625.23000000001</v>
      </c>
      <c r="AC90" s="366"/>
      <c r="AD90" s="366"/>
      <c r="AE90" s="366"/>
      <c r="AF90" s="367"/>
      <c r="AG90" s="365"/>
      <c r="AH90" s="368"/>
      <c r="AI90" s="368"/>
      <c r="AJ90" s="368"/>
      <c r="AK90" s="368"/>
      <c r="AL90" s="365"/>
      <c r="AM90" s="365"/>
      <c r="AN90" s="368"/>
      <c r="AO90" s="365"/>
      <c r="AP90" s="368"/>
      <c r="AQ90" s="368"/>
      <c r="AR90" s="368"/>
      <c r="AS90" s="368"/>
      <c r="AT90" s="368"/>
      <c r="AU90" s="365"/>
      <c r="AV90" s="365"/>
    </row>
    <row r="91" spans="1:48" s="20" customFormat="1" ht="22.5" x14ac:dyDescent="0.2">
      <c r="A91" s="357"/>
      <c r="B91" s="358"/>
      <c r="C91" s="358"/>
      <c r="D91" s="357"/>
      <c r="E91" s="357"/>
      <c r="F91" s="357"/>
      <c r="G91" s="357"/>
      <c r="H91" s="357"/>
      <c r="I91" s="357"/>
      <c r="J91" s="357"/>
      <c r="K91" s="357"/>
      <c r="L91" s="357"/>
      <c r="M91" s="365"/>
      <c r="N91" s="365"/>
      <c r="O91" s="365"/>
      <c r="P91" s="366"/>
      <c r="Q91" s="365"/>
      <c r="R91" s="366"/>
      <c r="S91" s="365"/>
      <c r="T91" s="365"/>
      <c r="U91" s="367"/>
      <c r="V91" s="367"/>
      <c r="W91" s="365" t="s">
        <v>728</v>
      </c>
      <c r="X91" s="366">
        <v>13429.38</v>
      </c>
      <c r="Y91" s="365"/>
      <c r="Z91" s="368"/>
      <c r="AA91" s="366">
        <v>13429.38</v>
      </c>
      <c r="AB91" s="366">
        <v>13429.38</v>
      </c>
      <c r="AC91" s="366"/>
      <c r="AD91" s="366"/>
      <c r="AE91" s="366"/>
      <c r="AF91" s="367"/>
      <c r="AG91" s="365"/>
      <c r="AH91" s="368"/>
      <c r="AI91" s="368"/>
      <c r="AJ91" s="368"/>
      <c r="AK91" s="368"/>
      <c r="AL91" s="365"/>
      <c r="AM91" s="365"/>
      <c r="AN91" s="368"/>
      <c r="AO91" s="365"/>
      <c r="AP91" s="368"/>
      <c r="AQ91" s="368"/>
      <c r="AR91" s="368"/>
      <c r="AS91" s="368"/>
      <c r="AT91" s="368"/>
      <c r="AU91" s="365"/>
      <c r="AV91" s="365"/>
    </row>
    <row r="92" spans="1:48" s="20" customFormat="1" ht="22.5" x14ac:dyDescent="0.2">
      <c r="A92" s="357"/>
      <c r="B92" s="358"/>
      <c r="C92" s="358"/>
      <c r="D92" s="357"/>
      <c r="E92" s="357"/>
      <c r="F92" s="357"/>
      <c r="G92" s="357"/>
      <c r="H92" s="357"/>
      <c r="I92" s="357"/>
      <c r="J92" s="357"/>
      <c r="K92" s="357"/>
      <c r="L92" s="357"/>
      <c r="M92" s="365"/>
      <c r="N92" s="365"/>
      <c r="O92" s="365"/>
      <c r="P92" s="366"/>
      <c r="Q92" s="365"/>
      <c r="R92" s="366"/>
      <c r="S92" s="365"/>
      <c r="T92" s="365"/>
      <c r="U92" s="367"/>
      <c r="V92" s="367"/>
      <c r="W92" s="365" t="s">
        <v>880</v>
      </c>
      <c r="X92" s="366">
        <v>14485.39</v>
      </c>
      <c r="Y92" s="365"/>
      <c r="Z92" s="368"/>
      <c r="AA92" s="366">
        <v>14485.39</v>
      </c>
      <c r="AB92" s="366">
        <v>14485.39</v>
      </c>
      <c r="AC92" s="366"/>
      <c r="AD92" s="366"/>
      <c r="AE92" s="366"/>
      <c r="AF92" s="367"/>
      <c r="AG92" s="365"/>
      <c r="AH92" s="368"/>
      <c r="AI92" s="368"/>
      <c r="AJ92" s="368"/>
      <c r="AK92" s="368"/>
      <c r="AL92" s="365"/>
      <c r="AM92" s="365"/>
      <c r="AN92" s="368"/>
      <c r="AO92" s="365"/>
      <c r="AP92" s="368"/>
      <c r="AQ92" s="368"/>
      <c r="AR92" s="368"/>
      <c r="AS92" s="368"/>
      <c r="AT92" s="368"/>
      <c r="AU92" s="365"/>
      <c r="AV92" s="365"/>
    </row>
    <row r="93" spans="1:48" s="20" customFormat="1" ht="33.75" x14ac:dyDescent="0.2">
      <c r="A93" s="357"/>
      <c r="B93" s="358" t="s">
        <v>647</v>
      </c>
      <c r="C93" s="358" t="s">
        <v>64</v>
      </c>
      <c r="D93" s="357"/>
      <c r="E93" s="357"/>
      <c r="F93" s="357"/>
      <c r="G93" s="357"/>
      <c r="H93" s="357"/>
      <c r="I93" s="357"/>
      <c r="J93" s="357"/>
      <c r="K93" s="357"/>
      <c r="L93" s="357"/>
      <c r="M93" s="365" t="s">
        <v>649</v>
      </c>
      <c r="N93" s="365" t="s">
        <v>772</v>
      </c>
      <c r="O93" s="365" t="s">
        <v>541</v>
      </c>
      <c r="P93" s="366">
        <v>33261.64</v>
      </c>
      <c r="Q93" s="365" t="s">
        <v>651</v>
      </c>
      <c r="R93" s="366">
        <v>29258.12</v>
      </c>
      <c r="S93" s="365" t="s">
        <v>876</v>
      </c>
      <c r="T93" s="365" t="s">
        <v>877</v>
      </c>
      <c r="U93" s="367" t="s">
        <v>58</v>
      </c>
      <c r="V93" s="367">
        <v>5</v>
      </c>
      <c r="W93" s="365" t="s">
        <v>728</v>
      </c>
      <c r="X93" s="366">
        <v>29258.12</v>
      </c>
      <c r="Y93" s="365"/>
      <c r="Z93" s="367">
        <v>1</v>
      </c>
      <c r="AA93" s="366">
        <v>29111.82</v>
      </c>
      <c r="AB93" s="366">
        <v>29111.82</v>
      </c>
      <c r="AC93" s="366" t="s">
        <v>728</v>
      </c>
      <c r="AD93" s="366">
        <v>29111.82</v>
      </c>
      <c r="AE93" s="366">
        <v>29111.82</v>
      </c>
      <c r="AF93" s="367" t="s">
        <v>773</v>
      </c>
      <c r="AG93" s="365" t="s">
        <v>654</v>
      </c>
      <c r="AH93" s="368">
        <v>42782</v>
      </c>
      <c r="AI93" s="368">
        <v>42782</v>
      </c>
      <c r="AJ93" s="368">
        <v>42788</v>
      </c>
      <c r="AK93" s="368">
        <v>42797</v>
      </c>
      <c r="AL93" s="365"/>
      <c r="AM93" s="365"/>
      <c r="AN93" s="368"/>
      <c r="AO93" s="365"/>
      <c r="AP93" s="368" t="s">
        <v>905</v>
      </c>
      <c r="AQ93" s="368" t="s">
        <v>905</v>
      </c>
      <c r="AR93" s="368" t="s">
        <v>905</v>
      </c>
      <c r="AS93" s="368" t="s">
        <v>905</v>
      </c>
      <c r="AT93" s="368" t="s">
        <v>906</v>
      </c>
      <c r="AU93" s="365"/>
      <c r="AV93" s="365"/>
    </row>
    <row r="94" spans="1:48" s="20" customFormat="1" ht="22.5" x14ac:dyDescent="0.2">
      <c r="A94" s="357"/>
      <c r="B94" s="358"/>
      <c r="C94" s="358"/>
      <c r="D94" s="357"/>
      <c r="E94" s="357"/>
      <c r="F94" s="357"/>
      <c r="G94" s="357"/>
      <c r="H94" s="357"/>
      <c r="I94" s="357"/>
      <c r="J94" s="357"/>
      <c r="K94" s="357"/>
      <c r="L94" s="357"/>
      <c r="M94" s="365"/>
      <c r="N94" s="365"/>
      <c r="O94" s="365"/>
      <c r="P94" s="366"/>
      <c r="Q94" s="365"/>
      <c r="R94" s="366"/>
      <c r="S94" s="365"/>
      <c r="T94" s="365"/>
      <c r="U94" s="367"/>
      <c r="V94" s="367"/>
      <c r="W94" s="365" t="s">
        <v>758</v>
      </c>
      <c r="X94" s="366">
        <v>29258.12</v>
      </c>
      <c r="Y94" s="365"/>
      <c r="Z94" s="368"/>
      <c r="AA94" s="366">
        <v>29258.12</v>
      </c>
      <c r="AB94" s="366">
        <v>29258.12</v>
      </c>
      <c r="AC94" s="366"/>
      <c r="AD94" s="366"/>
      <c r="AE94" s="366"/>
      <c r="AF94" s="367"/>
      <c r="AG94" s="365"/>
      <c r="AH94" s="368"/>
      <c r="AI94" s="368"/>
      <c r="AJ94" s="368"/>
      <c r="AK94" s="368"/>
      <c r="AL94" s="365"/>
      <c r="AM94" s="365"/>
      <c r="AN94" s="368"/>
      <c r="AO94" s="365"/>
      <c r="AP94" s="368"/>
      <c r="AQ94" s="368"/>
      <c r="AR94" s="368"/>
      <c r="AS94" s="368"/>
      <c r="AT94" s="368"/>
      <c r="AU94" s="365"/>
      <c r="AV94" s="365"/>
    </row>
    <row r="95" spans="1:48" s="20" customFormat="1" ht="22.5" x14ac:dyDescent="0.2">
      <c r="A95" s="357"/>
      <c r="B95" s="358"/>
      <c r="C95" s="358"/>
      <c r="D95" s="357"/>
      <c r="E95" s="357"/>
      <c r="F95" s="357"/>
      <c r="G95" s="357"/>
      <c r="H95" s="357"/>
      <c r="I95" s="357"/>
      <c r="J95" s="357"/>
      <c r="K95" s="357"/>
      <c r="L95" s="357"/>
      <c r="M95" s="365"/>
      <c r="N95" s="365"/>
      <c r="O95" s="365"/>
      <c r="P95" s="366"/>
      <c r="Q95" s="365"/>
      <c r="R95" s="366"/>
      <c r="S95" s="365"/>
      <c r="T95" s="365"/>
      <c r="U95" s="367"/>
      <c r="V95" s="367"/>
      <c r="W95" s="365" t="s">
        <v>719</v>
      </c>
      <c r="X95" s="366">
        <v>29258.12</v>
      </c>
      <c r="Y95" s="365"/>
      <c r="Z95" s="368"/>
      <c r="AA95" s="366">
        <v>29258.12</v>
      </c>
      <c r="AB95" s="366">
        <v>29258.12</v>
      </c>
      <c r="AC95" s="366"/>
      <c r="AD95" s="366"/>
      <c r="AE95" s="366"/>
      <c r="AF95" s="367"/>
      <c r="AG95" s="365"/>
      <c r="AH95" s="368"/>
      <c r="AI95" s="368"/>
      <c r="AJ95" s="368"/>
      <c r="AK95" s="368"/>
      <c r="AL95" s="365"/>
      <c r="AM95" s="365"/>
      <c r="AN95" s="368"/>
      <c r="AO95" s="365"/>
      <c r="AP95" s="368"/>
      <c r="AQ95" s="368"/>
      <c r="AR95" s="368"/>
      <c r="AS95" s="368"/>
      <c r="AT95" s="368"/>
      <c r="AU95" s="365"/>
      <c r="AV95" s="365"/>
    </row>
    <row r="96" spans="1:48" s="20" customFormat="1" ht="22.5" x14ac:dyDescent="0.2">
      <c r="A96" s="357"/>
      <c r="B96" s="358"/>
      <c r="C96" s="358"/>
      <c r="D96" s="357"/>
      <c r="E96" s="357"/>
      <c r="F96" s="357"/>
      <c r="G96" s="357"/>
      <c r="H96" s="357"/>
      <c r="I96" s="357"/>
      <c r="J96" s="357"/>
      <c r="K96" s="357"/>
      <c r="L96" s="357"/>
      <c r="M96" s="365"/>
      <c r="N96" s="365"/>
      <c r="O96" s="365"/>
      <c r="P96" s="366"/>
      <c r="Q96" s="365"/>
      <c r="R96" s="366"/>
      <c r="S96" s="365"/>
      <c r="T96" s="365"/>
      <c r="U96" s="367"/>
      <c r="V96" s="367"/>
      <c r="W96" s="365" t="s">
        <v>880</v>
      </c>
      <c r="X96" s="366">
        <v>29258.12</v>
      </c>
      <c r="Y96" s="365"/>
      <c r="Z96" s="368"/>
      <c r="AA96" s="366">
        <v>29258.12</v>
      </c>
      <c r="AB96" s="366">
        <v>29258.12</v>
      </c>
      <c r="AC96" s="366"/>
      <c r="AD96" s="366"/>
      <c r="AE96" s="366"/>
      <c r="AF96" s="367"/>
      <c r="AG96" s="365"/>
      <c r="AH96" s="368"/>
      <c r="AI96" s="368"/>
      <c r="AJ96" s="368"/>
      <c r="AK96" s="368"/>
      <c r="AL96" s="365"/>
      <c r="AM96" s="365"/>
      <c r="AN96" s="368"/>
      <c r="AO96" s="365"/>
      <c r="AP96" s="368"/>
      <c r="AQ96" s="368"/>
      <c r="AR96" s="368"/>
      <c r="AS96" s="368"/>
      <c r="AT96" s="368"/>
      <c r="AU96" s="365"/>
      <c r="AV96" s="365"/>
    </row>
    <row r="97" spans="1:48" s="20" customFormat="1" ht="22.5" x14ac:dyDescent="0.2">
      <c r="A97" s="357"/>
      <c r="B97" s="358"/>
      <c r="C97" s="358"/>
      <c r="D97" s="357"/>
      <c r="E97" s="357"/>
      <c r="F97" s="357"/>
      <c r="G97" s="357"/>
      <c r="H97" s="357"/>
      <c r="I97" s="357"/>
      <c r="J97" s="357"/>
      <c r="K97" s="357"/>
      <c r="L97" s="357"/>
      <c r="M97" s="365"/>
      <c r="N97" s="365"/>
      <c r="O97" s="365"/>
      <c r="P97" s="366"/>
      <c r="Q97" s="365"/>
      <c r="R97" s="366"/>
      <c r="S97" s="365"/>
      <c r="T97" s="365"/>
      <c r="U97" s="367"/>
      <c r="V97" s="367"/>
      <c r="W97" s="365" t="s">
        <v>652</v>
      </c>
      <c r="X97" s="366">
        <v>29258.12</v>
      </c>
      <c r="Y97" s="365"/>
      <c r="Z97" s="368"/>
      <c r="AA97" s="366">
        <v>29258.12</v>
      </c>
      <c r="AB97" s="366">
        <v>29258.12</v>
      </c>
      <c r="AC97" s="366"/>
      <c r="AD97" s="366"/>
      <c r="AE97" s="366"/>
      <c r="AF97" s="367"/>
      <c r="AG97" s="365"/>
      <c r="AH97" s="368"/>
      <c r="AI97" s="368"/>
      <c r="AJ97" s="368"/>
      <c r="AK97" s="368"/>
      <c r="AL97" s="365"/>
      <c r="AM97" s="365"/>
      <c r="AN97" s="368"/>
      <c r="AO97" s="365"/>
      <c r="AP97" s="368"/>
      <c r="AQ97" s="368"/>
      <c r="AR97" s="368"/>
      <c r="AS97" s="368"/>
      <c r="AT97" s="368"/>
      <c r="AU97" s="365"/>
      <c r="AV97" s="365"/>
    </row>
    <row r="98" spans="1:48" s="20" customFormat="1" ht="33.75" x14ac:dyDescent="0.2">
      <c r="A98" s="357"/>
      <c r="B98" s="358" t="s">
        <v>647</v>
      </c>
      <c r="C98" s="358" t="s">
        <v>64</v>
      </c>
      <c r="D98" s="357"/>
      <c r="E98" s="357"/>
      <c r="F98" s="357"/>
      <c r="G98" s="357"/>
      <c r="H98" s="357"/>
      <c r="I98" s="357"/>
      <c r="J98" s="357"/>
      <c r="K98" s="357"/>
      <c r="L98" s="357"/>
      <c r="M98" s="365" t="s">
        <v>649</v>
      </c>
      <c r="N98" s="365" t="s">
        <v>774</v>
      </c>
      <c r="O98" s="365" t="s">
        <v>541</v>
      </c>
      <c r="P98" s="366">
        <v>30814.12</v>
      </c>
      <c r="Q98" s="365" t="s">
        <v>651</v>
      </c>
      <c r="R98" s="366">
        <v>27068.47</v>
      </c>
      <c r="S98" s="365" t="s">
        <v>876</v>
      </c>
      <c r="T98" s="365" t="s">
        <v>877</v>
      </c>
      <c r="U98" s="367" t="s">
        <v>72</v>
      </c>
      <c r="V98" s="367">
        <v>8</v>
      </c>
      <c r="W98" s="365" t="s">
        <v>764</v>
      </c>
      <c r="X98" s="366">
        <v>26797.79</v>
      </c>
      <c r="Y98" s="365"/>
      <c r="Z98" s="367">
        <v>1</v>
      </c>
      <c r="AA98" s="366">
        <v>26797.79</v>
      </c>
      <c r="AB98" s="366">
        <v>26797.79</v>
      </c>
      <c r="AC98" s="366" t="s">
        <v>764</v>
      </c>
      <c r="AD98" s="366">
        <v>26797.79</v>
      </c>
      <c r="AE98" s="366">
        <v>26797.79</v>
      </c>
      <c r="AF98" s="367" t="s">
        <v>775</v>
      </c>
      <c r="AG98" s="365" t="s">
        <v>654</v>
      </c>
      <c r="AH98" s="368">
        <v>42782</v>
      </c>
      <c r="AI98" s="368">
        <v>42782</v>
      </c>
      <c r="AJ98" s="368">
        <v>42793</v>
      </c>
      <c r="AK98" s="368">
        <v>42797</v>
      </c>
      <c r="AL98" s="365"/>
      <c r="AM98" s="365"/>
      <c r="AN98" s="368"/>
      <c r="AO98" s="365"/>
      <c r="AP98" s="368" t="s">
        <v>892</v>
      </c>
      <c r="AQ98" s="368" t="s">
        <v>892</v>
      </c>
      <c r="AR98" s="368" t="s">
        <v>892</v>
      </c>
      <c r="AS98" s="368" t="s">
        <v>892</v>
      </c>
      <c r="AT98" s="368" t="s">
        <v>907</v>
      </c>
      <c r="AU98" s="365"/>
      <c r="AV98" s="365"/>
    </row>
    <row r="99" spans="1:48" s="20" customFormat="1" ht="22.5" x14ac:dyDescent="0.2">
      <c r="A99" s="357"/>
      <c r="B99" s="358"/>
      <c r="C99" s="358"/>
      <c r="D99" s="357"/>
      <c r="E99" s="357"/>
      <c r="F99" s="357"/>
      <c r="G99" s="357"/>
      <c r="H99" s="357"/>
      <c r="I99" s="357"/>
      <c r="J99" s="357"/>
      <c r="K99" s="357"/>
      <c r="L99" s="357"/>
      <c r="M99" s="365"/>
      <c r="N99" s="365"/>
      <c r="O99" s="365"/>
      <c r="P99" s="366"/>
      <c r="Q99" s="365"/>
      <c r="R99" s="366"/>
      <c r="S99" s="365"/>
      <c r="T99" s="365"/>
      <c r="U99" s="367"/>
      <c r="V99" s="367"/>
      <c r="W99" s="365" t="s">
        <v>728</v>
      </c>
      <c r="X99" s="366">
        <v>27068.47</v>
      </c>
      <c r="Y99" s="365"/>
      <c r="Z99" s="368"/>
      <c r="AA99" s="366">
        <v>27068.47</v>
      </c>
      <c r="AB99" s="366">
        <v>27068.47</v>
      </c>
      <c r="AC99" s="366"/>
      <c r="AD99" s="366"/>
      <c r="AE99" s="366"/>
      <c r="AF99" s="367"/>
      <c r="AG99" s="365"/>
      <c r="AH99" s="368"/>
      <c r="AI99" s="368"/>
      <c r="AJ99" s="368"/>
      <c r="AK99" s="368"/>
      <c r="AL99" s="365"/>
      <c r="AM99" s="365"/>
      <c r="AN99" s="368"/>
      <c r="AO99" s="365"/>
      <c r="AP99" s="368"/>
      <c r="AQ99" s="368"/>
      <c r="AR99" s="368"/>
      <c r="AS99" s="368"/>
      <c r="AT99" s="368"/>
      <c r="AU99" s="365"/>
      <c r="AV99" s="365"/>
    </row>
    <row r="100" spans="1:48" s="20" customFormat="1" ht="22.5" x14ac:dyDescent="0.2">
      <c r="A100" s="357"/>
      <c r="B100" s="358"/>
      <c r="C100" s="358"/>
      <c r="D100" s="357"/>
      <c r="E100" s="357"/>
      <c r="F100" s="357"/>
      <c r="G100" s="357"/>
      <c r="H100" s="357"/>
      <c r="I100" s="357"/>
      <c r="J100" s="357"/>
      <c r="K100" s="357"/>
      <c r="L100" s="357"/>
      <c r="M100" s="365"/>
      <c r="N100" s="365"/>
      <c r="O100" s="365"/>
      <c r="P100" s="366"/>
      <c r="Q100" s="365"/>
      <c r="R100" s="366"/>
      <c r="S100" s="365"/>
      <c r="T100" s="365"/>
      <c r="U100" s="367"/>
      <c r="V100" s="367"/>
      <c r="W100" s="365" t="s">
        <v>758</v>
      </c>
      <c r="X100" s="366">
        <v>27068.47</v>
      </c>
      <c r="Y100" s="365"/>
      <c r="Z100" s="368"/>
      <c r="AA100" s="366">
        <v>27068.47</v>
      </c>
      <c r="AB100" s="366">
        <v>27068.47</v>
      </c>
      <c r="AC100" s="366"/>
      <c r="AD100" s="366"/>
      <c r="AE100" s="366"/>
      <c r="AF100" s="367"/>
      <c r="AG100" s="365"/>
      <c r="AH100" s="368"/>
      <c r="AI100" s="368"/>
      <c r="AJ100" s="368"/>
      <c r="AK100" s="368"/>
      <c r="AL100" s="365"/>
      <c r="AM100" s="365"/>
      <c r="AN100" s="368"/>
      <c r="AO100" s="365"/>
      <c r="AP100" s="368"/>
      <c r="AQ100" s="368"/>
      <c r="AR100" s="368"/>
      <c r="AS100" s="368"/>
      <c r="AT100" s="368"/>
      <c r="AU100" s="365"/>
      <c r="AV100" s="365"/>
    </row>
    <row r="101" spans="1:48" s="20" customFormat="1" ht="22.5" x14ac:dyDescent="0.2">
      <c r="A101" s="357"/>
      <c r="B101" s="358"/>
      <c r="C101" s="358"/>
      <c r="D101" s="357"/>
      <c r="E101" s="357"/>
      <c r="F101" s="357"/>
      <c r="G101" s="357"/>
      <c r="H101" s="357"/>
      <c r="I101" s="357"/>
      <c r="J101" s="357"/>
      <c r="K101" s="357"/>
      <c r="L101" s="357"/>
      <c r="M101" s="365"/>
      <c r="N101" s="365"/>
      <c r="O101" s="365"/>
      <c r="P101" s="366"/>
      <c r="Q101" s="365"/>
      <c r="R101" s="366"/>
      <c r="S101" s="365"/>
      <c r="T101" s="365"/>
      <c r="U101" s="367"/>
      <c r="V101" s="367"/>
      <c r="W101" s="365" t="s">
        <v>719</v>
      </c>
      <c r="X101" s="366">
        <v>27068.47</v>
      </c>
      <c r="Y101" s="365"/>
      <c r="Z101" s="368"/>
      <c r="AA101" s="366">
        <v>27068.47</v>
      </c>
      <c r="AB101" s="366">
        <v>27068.47</v>
      </c>
      <c r="AC101" s="366"/>
      <c r="AD101" s="366"/>
      <c r="AE101" s="366"/>
      <c r="AF101" s="367"/>
      <c r="AG101" s="365"/>
      <c r="AH101" s="368"/>
      <c r="AI101" s="368"/>
      <c r="AJ101" s="368"/>
      <c r="AK101" s="368"/>
      <c r="AL101" s="365"/>
      <c r="AM101" s="365"/>
      <c r="AN101" s="368"/>
      <c r="AO101" s="365"/>
      <c r="AP101" s="368"/>
      <c r="AQ101" s="368"/>
      <c r="AR101" s="368"/>
      <c r="AS101" s="368"/>
      <c r="AT101" s="368"/>
      <c r="AU101" s="365"/>
      <c r="AV101" s="365"/>
    </row>
    <row r="102" spans="1:48" s="20" customFormat="1" ht="22.5" x14ac:dyDescent="0.2">
      <c r="A102" s="357"/>
      <c r="B102" s="358"/>
      <c r="C102" s="358"/>
      <c r="D102" s="357"/>
      <c r="E102" s="357"/>
      <c r="F102" s="357"/>
      <c r="G102" s="357"/>
      <c r="H102" s="357"/>
      <c r="I102" s="357"/>
      <c r="J102" s="357"/>
      <c r="K102" s="357"/>
      <c r="L102" s="357"/>
      <c r="M102" s="365"/>
      <c r="N102" s="365"/>
      <c r="O102" s="365"/>
      <c r="P102" s="366"/>
      <c r="Q102" s="365"/>
      <c r="R102" s="366"/>
      <c r="S102" s="365"/>
      <c r="T102" s="365"/>
      <c r="U102" s="367"/>
      <c r="V102" s="367"/>
      <c r="W102" s="365" t="s">
        <v>880</v>
      </c>
      <c r="X102" s="366">
        <v>27068.47</v>
      </c>
      <c r="Y102" s="365"/>
      <c r="Z102" s="368"/>
      <c r="AA102" s="366">
        <v>27068.47</v>
      </c>
      <c r="AB102" s="366">
        <v>27068.47</v>
      </c>
      <c r="AC102" s="366"/>
      <c r="AD102" s="366"/>
      <c r="AE102" s="366"/>
      <c r="AF102" s="367"/>
      <c r="AG102" s="365"/>
      <c r="AH102" s="368"/>
      <c r="AI102" s="368"/>
      <c r="AJ102" s="368"/>
      <c r="AK102" s="368"/>
      <c r="AL102" s="365"/>
      <c r="AM102" s="365"/>
      <c r="AN102" s="368"/>
      <c r="AO102" s="365"/>
      <c r="AP102" s="368"/>
      <c r="AQ102" s="368"/>
      <c r="AR102" s="368"/>
      <c r="AS102" s="368"/>
      <c r="AT102" s="368"/>
      <c r="AU102" s="365"/>
      <c r="AV102" s="365"/>
    </row>
    <row r="103" spans="1:48" s="20" customFormat="1" ht="22.5" x14ac:dyDescent="0.2">
      <c r="A103" s="357"/>
      <c r="B103" s="358"/>
      <c r="C103" s="358"/>
      <c r="D103" s="357"/>
      <c r="E103" s="357"/>
      <c r="F103" s="357"/>
      <c r="G103" s="357"/>
      <c r="H103" s="357"/>
      <c r="I103" s="357"/>
      <c r="J103" s="357"/>
      <c r="K103" s="357"/>
      <c r="L103" s="357"/>
      <c r="M103" s="365"/>
      <c r="N103" s="365"/>
      <c r="O103" s="365"/>
      <c r="P103" s="366"/>
      <c r="Q103" s="365"/>
      <c r="R103" s="366"/>
      <c r="S103" s="365"/>
      <c r="T103" s="365"/>
      <c r="U103" s="367"/>
      <c r="V103" s="367"/>
      <c r="W103" s="365" t="s">
        <v>652</v>
      </c>
      <c r="X103" s="366">
        <v>27068.47</v>
      </c>
      <c r="Y103" s="365"/>
      <c r="Z103" s="368"/>
      <c r="AA103" s="366">
        <v>27068.47</v>
      </c>
      <c r="AB103" s="366">
        <v>27068.47</v>
      </c>
      <c r="AC103" s="366"/>
      <c r="AD103" s="366"/>
      <c r="AE103" s="366"/>
      <c r="AF103" s="367"/>
      <c r="AG103" s="365"/>
      <c r="AH103" s="368"/>
      <c r="AI103" s="368"/>
      <c r="AJ103" s="368"/>
      <c r="AK103" s="368"/>
      <c r="AL103" s="365"/>
      <c r="AM103" s="365"/>
      <c r="AN103" s="368"/>
      <c r="AO103" s="365"/>
      <c r="AP103" s="368"/>
      <c r="AQ103" s="368"/>
      <c r="AR103" s="368"/>
      <c r="AS103" s="368"/>
      <c r="AT103" s="368"/>
      <c r="AU103" s="365"/>
      <c r="AV103" s="365"/>
    </row>
    <row r="104" spans="1:48" s="20" customFormat="1" ht="22.5" x14ac:dyDescent="0.2">
      <c r="A104" s="357"/>
      <c r="B104" s="358"/>
      <c r="C104" s="358"/>
      <c r="D104" s="357"/>
      <c r="E104" s="357"/>
      <c r="F104" s="357"/>
      <c r="G104" s="357"/>
      <c r="H104" s="357"/>
      <c r="I104" s="357"/>
      <c r="J104" s="357"/>
      <c r="K104" s="357"/>
      <c r="L104" s="357"/>
      <c r="M104" s="365"/>
      <c r="N104" s="365"/>
      <c r="O104" s="365"/>
      <c r="P104" s="366"/>
      <c r="Q104" s="365"/>
      <c r="R104" s="366"/>
      <c r="S104" s="365"/>
      <c r="T104" s="365"/>
      <c r="U104" s="367"/>
      <c r="V104" s="367"/>
      <c r="W104" s="365" t="s">
        <v>908</v>
      </c>
      <c r="X104" s="366">
        <v>27068.47</v>
      </c>
      <c r="Y104" s="365"/>
      <c r="Z104" s="368"/>
      <c r="AA104" s="366">
        <v>27068.47</v>
      </c>
      <c r="AB104" s="366">
        <v>27068.47</v>
      </c>
      <c r="AC104" s="366"/>
      <c r="AD104" s="366"/>
      <c r="AE104" s="366"/>
      <c r="AF104" s="367"/>
      <c r="AG104" s="365"/>
      <c r="AH104" s="368"/>
      <c r="AI104" s="368"/>
      <c r="AJ104" s="368"/>
      <c r="AK104" s="368"/>
      <c r="AL104" s="365"/>
      <c r="AM104" s="365"/>
      <c r="AN104" s="368"/>
      <c r="AO104" s="365"/>
      <c r="AP104" s="368"/>
      <c r="AQ104" s="368"/>
      <c r="AR104" s="368"/>
      <c r="AS104" s="368"/>
      <c r="AT104" s="368"/>
      <c r="AU104" s="365"/>
      <c r="AV104" s="365"/>
    </row>
    <row r="105" spans="1:48" s="20" customFormat="1" ht="22.5" x14ac:dyDescent="0.2">
      <c r="A105" s="357"/>
      <c r="B105" s="358"/>
      <c r="C105" s="358"/>
      <c r="D105" s="357"/>
      <c r="E105" s="357"/>
      <c r="F105" s="357"/>
      <c r="G105" s="357"/>
      <c r="H105" s="357"/>
      <c r="I105" s="357"/>
      <c r="J105" s="357"/>
      <c r="K105" s="357"/>
      <c r="L105" s="357"/>
      <c r="M105" s="365"/>
      <c r="N105" s="365"/>
      <c r="O105" s="365"/>
      <c r="P105" s="366"/>
      <c r="Q105" s="365"/>
      <c r="R105" s="366"/>
      <c r="S105" s="365"/>
      <c r="T105" s="365"/>
      <c r="U105" s="367"/>
      <c r="V105" s="367"/>
      <c r="W105" s="365" t="s">
        <v>824</v>
      </c>
      <c r="X105" s="366">
        <v>27068.47</v>
      </c>
      <c r="Y105" s="365"/>
      <c r="Z105" s="368"/>
      <c r="AA105" s="366">
        <v>27068.47</v>
      </c>
      <c r="AB105" s="366">
        <v>27068.47</v>
      </c>
      <c r="AC105" s="366"/>
      <c r="AD105" s="366"/>
      <c r="AE105" s="366"/>
      <c r="AF105" s="367"/>
      <c r="AG105" s="365"/>
      <c r="AH105" s="368"/>
      <c r="AI105" s="368"/>
      <c r="AJ105" s="368"/>
      <c r="AK105" s="368"/>
      <c r="AL105" s="365"/>
      <c r="AM105" s="365"/>
      <c r="AN105" s="368"/>
      <c r="AO105" s="365"/>
      <c r="AP105" s="368"/>
      <c r="AQ105" s="368"/>
      <c r="AR105" s="368"/>
      <c r="AS105" s="368"/>
      <c r="AT105" s="368"/>
      <c r="AU105" s="365"/>
      <c r="AV105" s="365"/>
    </row>
    <row r="106" spans="1:48" s="20" customFormat="1" ht="67.5" x14ac:dyDescent="0.2">
      <c r="A106" s="357"/>
      <c r="B106" s="358" t="s">
        <v>647</v>
      </c>
      <c r="C106" s="358" t="s">
        <v>64</v>
      </c>
      <c r="D106" s="357"/>
      <c r="E106" s="357"/>
      <c r="F106" s="357"/>
      <c r="G106" s="357"/>
      <c r="H106" s="357"/>
      <c r="I106" s="357"/>
      <c r="J106" s="357"/>
      <c r="K106" s="357"/>
      <c r="L106" s="357"/>
      <c r="M106" s="365" t="s">
        <v>649</v>
      </c>
      <c r="N106" s="365" t="s">
        <v>776</v>
      </c>
      <c r="O106" s="365" t="s">
        <v>541</v>
      </c>
      <c r="P106" s="366">
        <v>1367.67</v>
      </c>
      <c r="Q106" s="365" t="s">
        <v>651</v>
      </c>
      <c r="R106" s="366">
        <v>1200.8699999999999</v>
      </c>
      <c r="S106" s="365" t="s">
        <v>876</v>
      </c>
      <c r="T106" s="365" t="s">
        <v>682</v>
      </c>
      <c r="U106" s="367"/>
      <c r="V106" s="367"/>
      <c r="W106" s="365"/>
      <c r="X106" s="366"/>
      <c r="Y106" s="365"/>
      <c r="Z106" s="367"/>
      <c r="AA106" s="366"/>
      <c r="AB106" s="366"/>
      <c r="AC106" s="366"/>
      <c r="AD106" s="366"/>
      <c r="AE106" s="366"/>
      <c r="AF106" s="367" t="s">
        <v>777</v>
      </c>
      <c r="AG106" s="365" t="s">
        <v>681</v>
      </c>
      <c r="AH106" s="368">
        <v>42627</v>
      </c>
      <c r="AI106" s="368">
        <v>42627</v>
      </c>
      <c r="AJ106" s="368">
        <v>42793</v>
      </c>
      <c r="AK106" s="368">
        <v>42793</v>
      </c>
      <c r="AL106" s="365"/>
      <c r="AM106" s="365"/>
      <c r="AN106" s="368"/>
      <c r="AO106" s="365"/>
      <c r="AP106" s="368"/>
      <c r="AQ106" s="368"/>
      <c r="AR106" s="368"/>
      <c r="AS106" s="368"/>
      <c r="AT106" s="368"/>
      <c r="AU106" s="365"/>
      <c r="AV106" s="365" t="s">
        <v>778</v>
      </c>
    </row>
    <row r="107" spans="1:48" s="20" customFormat="1" ht="22.5" x14ac:dyDescent="0.2">
      <c r="A107" s="357"/>
      <c r="B107" s="358" t="s">
        <v>648</v>
      </c>
      <c r="C107" s="358" t="s">
        <v>64</v>
      </c>
      <c r="D107" s="357"/>
      <c r="E107" s="357"/>
      <c r="F107" s="357"/>
      <c r="G107" s="357"/>
      <c r="H107" s="357"/>
      <c r="I107" s="357"/>
      <c r="J107" s="357"/>
      <c r="K107" s="357"/>
      <c r="L107" s="357"/>
      <c r="M107" s="365" t="s">
        <v>664</v>
      </c>
      <c r="N107" s="365" t="s">
        <v>704</v>
      </c>
      <c r="O107" s="365" t="s">
        <v>541</v>
      </c>
      <c r="P107" s="366">
        <v>129</v>
      </c>
      <c r="Q107" s="365" t="s">
        <v>666</v>
      </c>
      <c r="R107" s="366">
        <v>103</v>
      </c>
      <c r="S107" s="365" t="s">
        <v>672</v>
      </c>
      <c r="T107" s="365" t="s">
        <v>672</v>
      </c>
      <c r="U107" s="367" t="s">
        <v>63</v>
      </c>
      <c r="V107" s="367">
        <v>2</v>
      </c>
      <c r="W107" s="365" t="s">
        <v>705</v>
      </c>
      <c r="X107" s="366">
        <v>101.66</v>
      </c>
      <c r="Y107" s="365"/>
      <c r="Z107" s="367">
        <v>1</v>
      </c>
      <c r="AA107" s="366">
        <v>101.66</v>
      </c>
      <c r="AB107" s="366">
        <v>101.66</v>
      </c>
      <c r="AC107" s="366" t="s">
        <v>705</v>
      </c>
      <c r="AD107" s="366">
        <v>101.66</v>
      </c>
      <c r="AE107" s="366">
        <v>101.66</v>
      </c>
      <c r="AF107" s="367" t="s">
        <v>706</v>
      </c>
      <c r="AG107" s="365" t="s">
        <v>681</v>
      </c>
      <c r="AH107" s="368">
        <v>42769</v>
      </c>
      <c r="AI107" s="368">
        <v>42769</v>
      </c>
      <c r="AJ107" s="368">
        <v>42776</v>
      </c>
      <c r="AK107" s="368">
        <v>42797</v>
      </c>
      <c r="AL107" s="365"/>
      <c r="AM107" s="365"/>
      <c r="AN107" s="368"/>
      <c r="AO107" s="365"/>
      <c r="AP107" s="368"/>
      <c r="AQ107" s="368"/>
      <c r="AR107" s="368"/>
      <c r="AS107" s="368"/>
      <c r="AT107" s="368"/>
      <c r="AU107" s="365"/>
      <c r="AV107" s="365"/>
    </row>
    <row r="108" spans="1:48" s="20" customFormat="1" ht="33.75" x14ac:dyDescent="0.2">
      <c r="A108" s="357"/>
      <c r="B108" s="358"/>
      <c r="C108" s="358"/>
      <c r="D108" s="357"/>
      <c r="E108" s="357"/>
      <c r="F108" s="357"/>
      <c r="G108" s="357"/>
      <c r="H108" s="357"/>
      <c r="I108" s="357"/>
      <c r="J108" s="357"/>
      <c r="K108" s="357"/>
      <c r="L108" s="357"/>
      <c r="M108" s="365"/>
      <c r="N108" s="365"/>
      <c r="O108" s="365"/>
      <c r="P108" s="366"/>
      <c r="Q108" s="365"/>
      <c r="R108" s="366"/>
      <c r="S108" s="365"/>
      <c r="T108" s="365"/>
      <c r="U108" s="367"/>
      <c r="V108" s="367"/>
      <c r="W108" s="365" t="s">
        <v>895</v>
      </c>
      <c r="X108" s="366">
        <v>102.15</v>
      </c>
      <c r="Y108" s="365"/>
      <c r="Z108" s="368"/>
      <c r="AA108" s="366">
        <v>102.15</v>
      </c>
      <c r="AB108" s="366">
        <v>102.15</v>
      </c>
      <c r="AC108" s="366"/>
      <c r="AD108" s="366"/>
      <c r="AE108" s="366"/>
      <c r="AF108" s="367"/>
      <c r="AG108" s="365"/>
      <c r="AH108" s="368"/>
      <c r="AI108" s="368"/>
      <c r="AJ108" s="368"/>
      <c r="AK108" s="368"/>
      <c r="AL108" s="365"/>
      <c r="AM108" s="365"/>
      <c r="AN108" s="368"/>
      <c r="AO108" s="365"/>
      <c r="AP108" s="368"/>
      <c r="AQ108" s="368"/>
      <c r="AR108" s="368"/>
      <c r="AS108" s="368"/>
      <c r="AT108" s="368"/>
      <c r="AU108" s="365"/>
      <c r="AV108" s="365"/>
    </row>
    <row r="109" spans="1:48" s="20" customFormat="1" ht="112.5" x14ac:dyDescent="0.2">
      <c r="A109" s="357"/>
      <c r="B109" s="358" t="s">
        <v>647</v>
      </c>
      <c r="C109" s="358" t="s">
        <v>64</v>
      </c>
      <c r="D109" s="357"/>
      <c r="E109" s="357"/>
      <c r="F109" s="357"/>
      <c r="G109" s="357"/>
      <c r="H109" s="357"/>
      <c r="I109" s="357"/>
      <c r="J109" s="357"/>
      <c r="K109" s="357"/>
      <c r="L109" s="357"/>
      <c r="M109" s="365" t="s">
        <v>747</v>
      </c>
      <c r="N109" s="365" t="s">
        <v>779</v>
      </c>
      <c r="O109" s="365" t="s">
        <v>541</v>
      </c>
      <c r="P109" s="366">
        <v>3177.66</v>
      </c>
      <c r="Q109" s="365" t="s">
        <v>666</v>
      </c>
      <c r="R109" s="366">
        <v>2805.72</v>
      </c>
      <c r="S109" s="365" t="s">
        <v>876</v>
      </c>
      <c r="T109" s="365" t="s">
        <v>682</v>
      </c>
      <c r="U109" s="367" t="s">
        <v>59</v>
      </c>
      <c r="V109" s="367">
        <v>2</v>
      </c>
      <c r="W109" s="365" t="s">
        <v>780</v>
      </c>
      <c r="X109" s="366">
        <v>2800.95</v>
      </c>
      <c r="Y109" s="365" t="s">
        <v>780</v>
      </c>
      <c r="Z109" s="367"/>
      <c r="AA109" s="366"/>
      <c r="AB109" s="366"/>
      <c r="AC109" s="366"/>
      <c r="AD109" s="366"/>
      <c r="AE109" s="366"/>
      <c r="AF109" s="367" t="s">
        <v>781</v>
      </c>
      <c r="AG109" s="365" t="s">
        <v>654</v>
      </c>
      <c r="AH109" s="368">
        <v>42662</v>
      </c>
      <c r="AI109" s="368">
        <v>42662</v>
      </c>
      <c r="AJ109" s="368">
        <v>43046</v>
      </c>
      <c r="AK109" s="368">
        <v>42755</v>
      </c>
      <c r="AL109" s="365"/>
      <c r="AM109" s="365"/>
      <c r="AN109" s="368"/>
      <c r="AO109" s="365"/>
      <c r="AP109" s="368"/>
      <c r="AQ109" s="368"/>
      <c r="AR109" s="368"/>
      <c r="AS109" s="368"/>
      <c r="AT109" s="368"/>
      <c r="AU109" s="365"/>
      <c r="AV109" s="365" t="s">
        <v>782</v>
      </c>
    </row>
    <row r="110" spans="1:48" s="20" customFormat="1" ht="22.5" x14ac:dyDescent="0.2">
      <c r="A110" s="357"/>
      <c r="B110" s="358"/>
      <c r="C110" s="358"/>
      <c r="D110" s="357"/>
      <c r="E110" s="357"/>
      <c r="F110" s="357"/>
      <c r="G110" s="357"/>
      <c r="H110" s="357"/>
      <c r="I110" s="357"/>
      <c r="J110" s="357"/>
      <c r="K110" s="357"/>
      <c r="L110" s="357"/>
      <c r="M110" s="365"/>
      <c r="N110" s="365"/>
      <c r="O110" s="365"/>
      <c r="P110" s="366"/>
      <c r="Q110" s="365"/>
      <c r="R110" s="366"/>
      <c r="S110" s="365"/>
      <c r="T110" s="365"/>
      <c r="U110" s="367"/>
      <c r="V110" s="367"/>
      <c r="W110" s="365" t="s">
        <v>784</v>
      </c>
      <c r="X110" s="366">
        <v>2805.72</v>
      </c>
      <c r="Y110" s="365" t="s">
        <v>784</v>
      </c>
      <c r="Z110" s="368"/>
      <c r="AA110" s="366"/>
      <c r="AB110" s="366"/>
      <c r="AC110" s="366"/>
      <c r="AD110" s="366"/>
      <c r="AE110" s="366"/>
      <c r="AF110" s="367"/>
      <c r="AG110" s="365"/>
      <c r="AH110" s="368"/>
      <c r="AI110" s="368"/>
      <c r="AJ110" s="368"/>
      <c r="AK110" s="368"/>
      <c r="AL110" s="365"/>
      <c r="AM110" s="365"/>
      <c r="AN110" s="368"/>
      <c r="AO110" s="365"/>
      <c r="AP110" s="368"/>
      <c r="AQ110" s="368"/>
      <c r="AR110" s="368"/>
      <c r="AS110" s="368"/>
      <c r="AT110" s="368"/>
      <c r="AU110" s="365"/>
      <c r="AV110" s="365"/>
    </row>
    <row r="111" spans="1:48" s="20" customFormat="1" ht="90" x14ac:dyDescent="0.2">
      <c r="A111" s="357"/>
      <c r="B111" s="358" t="s">
        <v>647</v>
      </c>
      <c r="C111" s="358" t="s">
        <v>64</v>
      </c>
      <c r="D111" s="357"/>
      <c r="E111" s="357"/>
      <c r="F111" s="357"/>
      <c r="G111" s="357"/>
      <c r="H111" s="357"/>
      <c r="I111" s="357"/>
      <c r="J111" s="357"/>
      <c r="K111" s="357"/>
      <c r="L111" s="357"/>
      <c r="M111" s="365" t="s">
        <v>747</v>
      </c>
      <c r="N111" s="365" t="s">
        <v>783</v>
      </c>
      <c r="O111" s="365" t="s">
        <v>541</v>
      </c>
      <c r="P111" s="366">
        <v>4102.99</v>
      </c>
      <c r="Q111" s="365" t="s">
        <v>666</v>
      </c>
      <c r="R111" s="366">
        <v>3611.81</v>
      </c>
      <c r="S111" s="365" t="s">
        <v>876</v>
      </c>
      <c r="T111" s="365" t="s">
        <v>682</v>
      </c>
      <c r="U111" s="367" t="s">
        <v>58</v>
      </c>
      <c r="V111" s="367">
        <v>2</v>
      </c>
      <c r="W111" s="365" t="s">
        <v>784</v>
      </c>
      <c r="X111" s="366">
        <v>3608.2</v>
      </c>
      <c r="Y111" s="365" t="s">
        <v>784</v>
      </c>
      <c r="Z111" s="367"/>
      <c r="AA111" s="366"/>
      <c r="AB111" s="366"/>
      <c r="AC111" s="366"/>
      <c r="AD111" s="366"/>
      <c r="AE111" s="366"/>
      <c r="AF111" s="367" t="s">
        <v>785</v>
      </c>
      <c r="AG111" s="365" t="s">
        <v>654</v>
      </c>
      <c r="AH111" s="368">
        <v>42661</v>
      </c>
      <c r="AI111" s="368">
        <v>42661</v>
      </c>
      <c r="AJ111" s="368">
        <v>42677</v>
      </c>
      <c r="AK111" s="368">
        <v>42755</v>
      </c>
      <c r="AL111" s="365"/>
      <c r="AM111" s="365"/>
      <c r="AN111" s="368"/>
      <c r="AO111" s="365"/>
      <c r="AP111" s="368"/>
      <c r="AQ111" s="368"/>
      <c r="AR111" s="368"/>
      <c r="AS111" s="368"/>
      <c r="AT111" s="368"/>
      <c r="AU111" s="365"/>
      <c r="AV111" s="365" t="s">
        <v>782</v>
      </c>
    </row>
    <row r="112" spans="1:48" s="20" customFormat="1" ht="22.5" x14ac:dyDescent="0.2">
      <c r="A112" s="357"/>
      <c r="B112" s="358"/>
      <c r="C112" s="358"/>
      <c r="D112" s="357"/>
      <c r="E112" s="357"/>
      <c r="F112" s="357"/>
      <c r="G112" s="357"/>
      <c r="H112" s="357"/>
      <c r="I112" s="357"/>
      <c r="J112" s="357"/>
      <c r="K112" s="357"/>
      <c r="L112" s="357"/>
      <c r="M112" s="365"/>
      <c r="N112" s="365"/>
      <c r="O112" s="365"/>
      <c r="P112" s="366"/>
      <c r="Q112" s="365"/>
      <c r="R112" s="366"/>
      <c r="S112" s="365"/>
      <c r="T112" s="365"/>
      <c r="U112" s="367"/>
      <c r="V112" s="367"/>
      <c r="W112" s="365" t="s">
        <v>758</v>
      </c>
      <c r="X112" s="366">
        <v>3611.81</v>
      </c>
      <c r="Y112" s="365" t="s">
        <v>758</v>
      </c>
      <c r="Z112" s="368"/>
      <c r="AA112" s="366"/>
      <c r="AB112" s="366"/>
      <c r="AC112" s="366"/>
      <c r="AD112" s="366"/>
      <c r="AE112" s="366"/>
      <c r="AF112" s="367"/>
      <c r="AG112" s="365"/>
      <c r="AH112" s="368"/>
      <c r="AI112" s="368"/>
      <c r="AJ112" s="368"/>
      <c r="AK112" s="368"/>
      <c r="AL112" s="365"/>
      <c r="AM112" s="365"/>
      <c r="AN112" s="368"/>
      <c r="AO112" s="365"/>
      <c r="AP112" s="368"/>
      <c r="AQ112" s="368"/>
      <c r="AR112" s="368"/>
      <c r="AS112" s="368"/>
      <c r="AT112" s="368"/>
      <c r="AU112" s="365"/>
      <c r="AV112" s="365"/>
    </row>
    <row r="113" spans="1:48" s="20" customFormat="1" ht="67.5" x14ac:dyDescent="0.2">
      <c r="A113" s="357"/>
      <c r="B113" s="358" t="s">
        <v>647</v>
      </c>
      <c r="C113" s="358" t="s">
        <v>64</v>
      </c>
      <c r="D113" s="357"/>
      <c r="E113" s="357"/>
      <c r="F113" s="357"/>
      <c r="G113" s="357"/>
      <c r="H113" s="357"/>
      <c r="I113" s="357"/>
      <c r="J113" s="357"/>
      <c r="K113" s="357"/>
      <c r="L113" s="357"/>
      <c r="M113" s="365" t="s">
        <v>649</v>
      </c>
      <c r="N113" s="365" t="s">
        <v>786</v>
      </c>
      <c r="O113" s="365" t="s">
        <v>541</v>
      </c>
      <c r="P113" s="366">
        <v>5023.8500000000004</v>
      </c>
      <c r="Q113" s="365" t="s">
        <v>651</v>
      </c>
      <c r="R113" s="366">
        <v>4398.43</v>
      </c>
      <c r="S113" s="365" t="s">
        <v>876</v>
      </c>
      <c r="T113" s="365" t="s">
        <v>682</v>
      </c>
      <c r="U113" s="367" t="s">
        <v>62</v>
      </c>
      <c r="V113" s="367">
        <v>3</v>
      </c>
      <c r="W113" s="365" t="s">
        <v>787</v>
      </c>
      <c r="X113" s="366">
        <v>4398.43</v>
      </c>
      <c r="Y113" s="365"/>
      <c r="Z113" s="367"/>
      <c r="AA113" s="366"/>
      <c r="AB113" s="366"/>
      <c r="AC113" s="366"/>
      <c r="AD113" s="366"/>
      <c r="AE113" s="366"/>
      <c r="AF113" s="367" t="s">
        <v>788</v>
      </c>
      <c r="AG113" s="365" t="s">
        <v>654</v>
      </c>
      <c r="AH113" s="368">
        <v>42719</v>
      </c>
      <c r="AI113" s="368">
        <v>42719</v>
      </c>
      <c r="AJ113" s="368">
        <v>42744</v>
      </c>
      <c r="AK113" s="368">
        <v>42783</v>
      </c>
      <c r="AL113" s="365"/>
      <c r="AM113" s="365"/>
      <c r="AN113" s="368"/>
      <c r="AO113" s="365"/>
      <c r="AP113" s="368"/>
      <c r="AQ113" s="368"/>
      <c r="AR113" s="368"/>
      <c r="AS113" s="368"/>
      <c r="AT113" s="368"/>
      <c r="AU113" s="365"/>
      <c r="AV113" s="365" t="s">
        <v>789</v>
      </c>
    </row>
    <row r="114" spans="1:48" s="20" customFormat="1" ht="22.5" x14ac:dyDescent="0.2">
      <c r="A114" s="357"/>
      <c r="B114" s="358"/>
      <c r="C114" s="358"/>
      <c r="D114" s="357"/>
      <c r="E114" s="357"/>
      <c r="F114" s="357"/>
      <c r="G114" s="357"/>
      <c r="H114" s="357"/>
      <c r="I114" s="357"/>
      <c r="J114" s="357"/>
      <c r="K114" s="357"/>
      <c r="L114" s="357"/>
      <c r="M114" s="365"/>
      <c r="N114" s="365"/>
      <c r="O114" s="365"/>
      <c r="P114" s="366"/>
      <c r="Q114" s="365"/>
      <c r="R114" s="366"/>
      <c r="S114" s="365"/>
      <c r="T114" s="365"/>
      <c r="U114" s="367"/>
      <c r="V114" s="367"/>
      <c r="W114" s="365" t="s">
        <v>909</v>
      </c>
      <c r="X114" s="366">
        <v>4386.43</v>
      </c>
      <c r="Y114" s="365" t="s">
        <v>909</v>
      </c>
      <c r="Z114" s="368"/>
      <c r="AA114" s="366"/>
      <c r="AB114" s="366"/>
      <c r="AC114" s="366"/>
      <c r="AD114" s="366"/>
      <c r="AE114" s="366"/>
      <c r="AF114" s="367"/>
      <c r="AG114" s="365"/>
      <c r="AH114" s="368"/>
      <c r="AI114" s="368"/>
      <c r="AJ114" s="368"/>
      <c r="AK114" s="368"/>
      <c r="AL114" s="365"/>
      <c r="AM114" s="365"/>
      <c r="AN114" s="368"/>
      <c r="AO114" s="365"/>
      <c r="AP114" s="368"/>
      <c r="AQ114" s="368"/>
      <c r="AR114" s="368"/>
      <c r="AS114" s="368"/>
      <c r="AT114" s="368"/>
      <c r="AU114" s="365"/>
      <c r="AV114" s="365"/>
    </row>
    <row r="115" spans="1:48" s="20" customFormat="1" ht="11.25" x14ac:dyDescent="0.2">
      <c r="A115" s="357"/>
      <c r="B115" s="358"/>
      <c r="C115" s="358"/>
      <c r="D115" s="357"/>
      <c r="E115" s="357"/>
      <c r="F115" s="357"/>
      <c r="G115" s="357"/>
      <c r="H115" s="357"/>
      <c r="I115" s="357"/>
      <c r="J115" s="357"/>
      <c r="K115" s="357"/>
      <c r="L115" s="357"/>
      <c r="M115" s="365"/>
      <c r="N115" s="365"/>
      <c r="O115" s="365"/>
      <c r="P115" s="366"/>
      <c r="Q115" s="365"/>
      <c r="R115" s="366"/>
      <c r="S115" s="365"/>
      <c r="T115" s="365"/>
      <c r="U115" s="367"/>
      <c r="V115" s="367"/>
      <c r="W115" s="365" t="s">
        <v>910</v>
      </c>
      <c r="X115" s="366">
        <v>4398.43</v>
      </c>
      <c r="Y115" s="365" t="s">
        <v>910</v>
      </c>
      <c r="Z115" s="368"/>
      <c r="AA115" s="366"/>
      <c r="AB115" s="366"/>
      <c r="AC115" s="366"/>
      <c r="AD115" s="366"/>
      <c r="AE115" s="366"/>
      <c r="AF115" s="367"/>
      <c r="AG115" s="365"/>
      <c r="AH115" s="368"/>
      <c r="AI115" s="368"/>
      <c r="AJ115" s="368"/>
      <c r="AK115" s="368"/>
      <c r="AL115" s="365"/>
      <c r="AM115" s="365"/>
      <c r="AN115" s="368"/>
      <c r="AO115" s="365"/>
      <c r="AP115" s="368"/>
      <c r="AQ115" s="368"/>
      <c r="AR115" s="368"/>
      <c r="AS115" s="368"/>
      <c r="AT115" s="368"/>
      <c r="AU115" s="365"/>
      <c r="AV115" s="365"/>
    </row>
    <row r="116" spans="1:48" s="20" customFormat="1" ht="45" x14ac:dyDescent="0.2">
      <c r="A116" s="357"/>
      <c r="B116" s="358" t="s">
        <v>647</v>
      </c>
      <c r="C116" s="358" t="s">
        <v>64</v>
      </c>
      <c r="D116" s="357"/>
      <c r="E116" s="357"/>
      <c r="F116" s="357"/>
      <c r="G116" s="357"/>
      <c r="H116" s="357"/>
      <c r="I116" s="357"/>
      <c r="J116" s="357"/>
      <c r="K116" s="357"/>
      <c r="L116" s="357"/>
      <c r="M116" s="365" t="s">
        <v>707</v>
      </c>
      <c r="N116" s="365" t="s">
        <v>708</v>
      </c>
      <c r="O116" s="365" t="s">
        <v>541</v>
      </c>
      <c r="P116" s="366">
        <v>34193.18</v>
      </c>
      <c r="Q116" s="365" t="s">
        <v>651</v>
      </c>
      <c r="R116" s="366">
        <v>29914.2</v>
      </c>
      <c r="S116" s="365" t="s">
        <v>876</v>
      </c>
      <c r="T116" s="365" t="s">
        <v>656</v>
      </c>
      <c r="U116" s="367" t="s">
        <v>61</v>
      </c>
      <c r="V116" s="367">
        <v>4</v>
      </c>
      <c r="W116" s="365" t="s">
        <v>709</v>
      </c>
      <c r="X116" s="366">
        <v>29814.2</v>
      </c>
      <c r="Y116" s="365"/>
      <c r="Z116" s="367"/>
      <c r="AA116" s="366"/>
      <c r="AB116" s="366"/>
      <c r="AC116" s="366"/>
      <c r="AD116" s="366"/>
      <c r="AE116" s="366"/>
      <c r="AF116" s="367" t="s">
        <v>710</v>
      </c>
      <c r="AG116" s="365" t="s">
        <v>654</v>
      </c>
      <c r="AH116" s="368">
        <v>42473</v>
      </c>
      <c r="AI116" s="368">
        <v>42473</v>
      </c>
      <c r="AJ116" s="368">
        <v>42720</v>
      </c>
      <c r="AK116" s="368">
        <v>42767</v>
      </c>
      <c r="AL116" s="365"/>
      <c r="AM116" s="365"/>
      <c r="AN116" s="368"/>
      <c r="AO116" s="365"/>
      <c r="AP116" s="368"/>
      <c r="AQ116" s="368"/>
      <c r="AR116" s="368"/>
      <c r="AS116" s="368"/>
      <c r="AT116" s="368"/>
      <c r="AU116" s="365"/>
      <c r="AV116" s="365" t="s">
        <v>711</v>
      </c>
    </row>
    <row r="117" spans="1:48" s="20" customFormat="1" ht="22.5" x14ac:dyDescent="0.2">
      <c r="A117" s="357"/>
      <c r="B117" s="358"/>
      <c r="C117" s="358"/>
      <c r="D117" s="357"/>
      <c r="E117" s="357"/>
      <c r="F117" s="357"/>
      <c r="G117" s="357"/>
      <c r="H117" s="357"/>
      <c r="I117" s="357"/>
      <c r="J117" s="357"/>
      <c r="K117" s="357"/>
      <c r="L117" s="357"/>
      <c r="M117" s="365"/>
      <c r="N117" s="365"/>
      <c r="O117" s="365"/>
      <c r="P117" s="366"/>
      <c r="Q117" s="365"/>
      <c r="R117" s="366"/>
      <c r="S117" s="365"/>
      <c r="T117" s="365"/>
      <c r="U117" s="367"/>
      <c r="V117" s="367"/>
      <c r="W117" s="365" t="s">
        <v>911</v>
      </c>
      <c r="X117" s="366">
        <v>26474.01</v>
      </c>
      <c r="Y117" s="365"/>
      <c r="Z117" s="368"/>
      <c r="AA117" s="366"/>
      <c r="AB117" s="366"/>
      <c r="AC117" s="366"/>
      <c r="AD117" s="366"/>
      <c r="AE117" s="366"/>
      <c r="AF117" s="367"/>
      <c r="AG117" s="365"/>
      <c r="AH117" s="368"/>
      <c r="AI117" s="368"/>
      <c r="AJ117" s="368"/>
      <c r="AK117" s="368"/>
      <c r="AL117" s="365"/>
      <c r="AM117" s="365"/>
      <c r="AN117" s="368"/>
      <c r="AO117" s="365"/>
      <c r="AP117" s="368"/>
      <c r="AQ117" s="368"/>
      <c r="AR117" s="368"/>
      <c r="AS117" s="368"/>
      <c r="AT117" s="368"/>
      <c r="AU117" s="365"/>
      <c r="AV117" s="365"/>
    </row>
    <row r="118" spans="1:48" s="20" customFormat="1" ht="56.25" x14ac:dyDescent="0.2">
      <c r="A118" s="357"/>
      <c r="B118" s="358"/>
      <c r="C118" s="358"/>
      <c r="D118" s="357"/>
      <c r="E118" s="357"/>
      <c r="F118" s="357"/>
      <c r="G118" s="357"/>
      <c r="H118" s="357"/>
      <c r="I118" s="357"/>
      <c r="J118" s="357"/>
      <c r="K118" s="357"/>
      <c r="L118" s="357"/>
      <c r="M118" s="365"/>
      <c r="N118" s="365"/>
      <c r="O118" s="365"/>
      <c r="P118" s="366"/>
      <c r="Q118" s="365"/>
      <c r="R118" s="366"/>
      <c r="S118" s="365"/>
      <c r="T118" s="365"/>
      <c r="U118" s="367"/>
      <c r="V118" s="367"/>
      <c r="W118" s="365" t="s">
        <v>912</v>
      </c>
      <c r="X118" s="366">
        <v>29914.2</v>
      </c>
      <c r="Y118" s="365"/>
      <c r="Z118" s="368"/>
      <c r="AA118" s="366"/>
      <c r="AB118" s="366"/>
      <c r="AC118" s="366"/>
      <c r="AD118" s="366"/>
      <c r="AE118" s="366"/>
      <c r="AF118" s="367"/>
      <c r="AG118" s="365"/>
      <c r="AH118" s="368"/>
      <c r="AI118" s="368"/>
      <c r="AJ118" s="368"/>
      <c r="AK118" s="368"/>
      <c r="AL118" s="365"/>
      <c r="AM118" s="365"/>
      <c r="AN118" s="368"/>
      <c r="AO118" s="365"/>
      <c r="AP118" s="368"/>
      <c r="AQ118" s="368"/>
      <c r="AR118" s="368"/>
      <c r="AS118" s="368"/>
      <c r="AT118" s="368"/>
      <c r="AU118" s="365"/>
      <c r="AV118" s="365"/>
    </row>
    <row r="119" spans="1:48" s="20" customFormat="1" ht="22.5" x14ac:dyDescent="0.2">
      <c r="A119" s="357"/>
      <c r="B119" s="358"/>
      <c r="C119" s="358"/>
      <c r="D119" s="357"/>
      <c r="E119" s="357"/>
      <c r="F119" s="357"/>
      <c r="G119" s="357"/>
      <c r="H119" s="357"/>
      <c r="I119" s="357"/>
      <c r="J119" s="357"/>
      <c r="K119" s="357"/>
      <c r="L119" s="357"/>
      <c r="M119" s="365"/>
      <c r="N119" s="365"/>
      <c r="O119" s="365"/>
      <c r="P119" s="366"/>
      <c r="Q119" s="365"/>
      <c r="R119" s="366"/>
      <c r="S119" s="365"/>
      <c r="T119" s="365"/>
      <c r="U119" s="367"/>
      <c r="V119" s="367"/>
      <c r="W119" s="365" t="s">
        <v>913</v>
      </c>
      <c r="X119" s="366">
        <v>27113.55</v>
      </c>
      <c r="Y119" s="365"/>
      <c r="Z119" s="368"/>
      <c r="AA119" s="366"/>
      <c r="AB119" s="366"/>
      <c r="AC119" s="366"/>
      <c r="AD119" s="366"/>
      <c r="AE119" s="366"/>
      <c r="AF119" s="367"/>
      <c r="AG119" s="365"/>
      <c r="AH119" s="368"/>
      <c r="AI119" s="368"/>
      <c r="AJ119" s="368"/>
      <c r="AK119" s="368"/>
      <c r="AL119" s="365"/>
      <c r="AM119" s="365"/>
      <c r="AN119" s="368"/>
      <c r="AO119" s="365"/>
      <c r="AP119" s="368"/>
      <c r="AQ119" s="368"/>
      <c r="AR119" s="368"/>
      <c r="AS119" s="368"/>
      <c r="AT119" s="368"/>
      <c r="AU119" s="365"/>
      <c r="AV119" s="365"/>
    </row>
    <row r="120" spans="1:48" s="20" customFormat="1" ht="22.5" x14ac:dyDescent="0.2">
      <c r="A120" s="357"/>
      <c r="B120" s="358" t="s">
        <v>648</v>
      </c>
      <c r="C120" s="358" t="s">
        <v>64</v>
      </c>
      <c r="D120" s="357"/>
      <c r="E120" s="357"/>
      <c r="F120" s="357"/>
      <c r="G120" s="357"/>
      <c r="H120" s="357"/>
      <c r="I120" s="357"/>
      <c r="J120" s="357"/>
      <c r="K120" s="357"/>
      <c r="L120" s="357"/>
      <c r="M120" s="365" t="s">
        <v>664</v>
      </c>
      <c r="N120" s="365" t="s">
        <v>712</v>
      </c>
      <c r="O120" s="365" t="s">
        <v>541</v>
      </c>
      <c r="P120" s="366">
        <v>3184</v>
      </c>
      <c r="Q120" s="365" t="s">
        <v>666</v>
      </c>
      <c r="R120" s="366">
        <v>2544</v>
      </c>
      <c r="S120" s="365" t="s">
        <v>682</v>
      </c>
      <c r="T120" s="365" t="s">
        <v>682</v>
      </c>
      <c r="U120" s="367" t="s">
        <v>498</v>
      </c>
      <c r="V120" s="367">
        <v>2</v>
      </c>
      <c r="W120" s="365" t="s">
        <v>690</v>
      </c>
      <c r="X120" s="366">
        <v>2095.25</v>
      </c>
      <c r="Y120" s="365"/>
      <c r="Z120" s="367"/>
      <c r="AA120" s="366"/>
      <c r="AB120" s="366"/>
      <c r="AC120" s="366" t="s">
        <v>690</v>
      </c>
      <c r="AD120" s="366">
        <v>2095.25</v>
      </c>
      <c r="AE120" s="366">
        <v>2095.25</v>
      </c>
      <c r="AF120" s="367" t="s">
        <v>713</v>
      </c>
      <c r="AG120" s="365" t="s">
        <v>654</v>
      </c>
      <c r="AH120" s="368">
        <v>42807</v>
      </c>
      <c r="AI120" s="368">
        <v>42807</v>
      </c>
      <c r="AJ120" s="368">
        <v>42823</v>
      </c>
      <c r="AK120" s="368">
        <v>42860</v>
      </c>
      <c r="AL120" s="365"/>
      <c r="AM120" s="365"/>
      <c r="AN120" s="368"/>
      <c r="AO120" s="365"/>
      <c r="AP120" s="368"/>
      <c r="AQ120" s="368"/>
      <c r="AR120" s="368"/>
      <c r="AS120" s="368"/>
      <c r="AT120" s="368"/>
      <c r="AU120" s="365"/>
      <c r="AV120" s="365"/>
    </row>
    <row r="121" spans="1:48" s="20" customFormat="1" ht="22.5" x14ac:dyDescent="0.2">
      <c r="A121" s="357"/>
      <c r="B121" s="358"/>
      <c r="C121" s="358"/>
      <c r="D121" s="357"/>
      <c r="E121" s="357"/>
      <c r="F121" s="357"/>
      <c r="G121" s="357"/>
      <c r="H121" s="357"/>
      <c r="I121" s="357"/>
      <c r="J121" s="357"/>
      <c r="K121" s="357"/>
      <c r="L121" s="357"/>
      <c r="M121" s="365"/>
      <c r="N121" s="365"/>
      <c r="O121" s="365"/>
      <c r="P121" s="366"/>
      <c r="Q121" s="365"/>
      <c r="R121" s="366"/>
      <c r="S121" s="365"/>
      <c r="T121" s="365"/>
      <c r="U121" s="367"/>
      <c r="V121" s="367"/>
      <c r="W121" s="365" t="s">
        <v>684</v>
      </c>
      <c r="X121" s="366">
        <v>2100.25</v>
      </c>
      <c r="Y121" s="365"/>
      <c r="Z121" s="368"/>
      <c r="AA121" s="366"/>
      <c r="AB121" s="366"/>
      <c r="AC121" s="366"/>
      <c r="AD121" s="366"/>
      <c r="AE121" s="366"/>
      <c r="AF121" s="367"/>
      <c r="AG121" s="365"/>
      <c r="AH121" s="368"/>
      <c r="AI121" s="368"/>
      <c r="AJ121" s="368"/>
      <c r="AK121" s="368"/>
      <c r="AL121" s="365"/>
      <c r="AM121" s="365"/>
      <c r="AN121" s="368"/>
      <c r="AO121" s="365"/>
      <c r="AP121" s="368"/>
      <c r="AQ121" s="368"/>
      <c r="AR121" s="368"/>
      <c r="AS121" s="368"/>
      <c r="AT121" s="368"/>
      <c r="AU121" s="365"/>
      <c r="AV121" s="365"/>
    </row>
    <row r="122" spans="1:48" s="20" customFormat="1" ht="56.25" x14ac:dyDescent="0.2">
      <c r="A122" s="357"/>
      <c r="B122" s="358" t="s">
        <v>647</v>
      </c>
      <c r="C122" s="358" t="s">
        <v>64</v>
      </c>
      <c r="D122" s="357"/>
      <c r="E122" s="357"/>
      <c r="F122" s="357"/>
      <c r="G122" s="357"/>
      <c r="H122" s="357"/>
      <c r="I122" s="357"/>
      <c r="J122" s="357"/>
      <c r="K122" s="357"/>
      <c r="L122" s="357"/>
      <c r="M122" s="365" t="s">
        <v>664</v>
      </c>
      <c r="N122" s="365" t="s">
        <v>790</v>
      </c>
      <c r="O122" s="365" t="s">
        <v>541</v>
      </c>
      <c r="P122" s="366">
        <v>2060</v>
      </c>
      <c r="Q122" s="365" t="s">
        <v>666</v>
      </c>
      <c r="R122" s="366">
        <v>1813</v>
      </c>
      <c r="S122" s="365" t="s">
        <v>876</v>
      </c>
      <c r="T122" s="365" t="s">
        <v>682</v>
      </c>
      <c r="U122" s="367" t="s">
        <v>63</v>
      </c>
      <c r="V122" s="367">
        <v>2</v>
      </c>
      <c r="W122" s="365" t="s">
        <v>684</v>
      </c>
      <c r="X122" s="366">
        <v>1653.3</v>
      </c>
      <c r="Y122" s="365"/>
      <c r="Z122" s="367">
        <v>1</v>
      </c>
      <c r="AA122" s="366">
        <v>1653.3</v>
      </c>
      <c r="AB122" s="366">
        <v>1653.3</v>
      </c>
      <c r="AC122" s="366" t="s">
        <v>684</v>
      </c>
      <c r="AD122" s="366">
        <v>1653.3</v>
      </c>
      <c r="AE122" s="366">
        <v>1653.3</v>
      </c>
      <c r="AF122" s="367" t="s">
        <v>791</v>
      </c>
      <c r="AG122" s="365" t="s">
        <v>681</v>
      </c>
      <c r="AH122" s="368">
        <v>42809</v>
      </c>
      <c r="AI122" s="368">
        <v>42809</v>
      </c>
      <c r="AJ122" s="368">
        <v>42825</v>
      </c>
      <c r="AK122" s="368">
        <v>42860</v>
      </c>
      <c r="AL122" s="365"/>
      <c r="AM122" s="365"/>
      <c r="AN122" s="368"/>
      <c r="AO122" s="365"/>
      <c r="AP122" s="368"/>
      <c r="AQ122" s="368"/>
      <c r="AR122" s="368"/>
      <c r="AS122" s="368"/>
      <c r="AT122" s="368"/>
      <c r="AU122" s="365"/>
      <c r="AV122" s="365"/>
    </row>
    <row r="123" spans="1:48" s="20" customFormat="1" ht="22.5" x14ac:dyDescent="0.2">
      <c r="A123" s="369"/>
      <c r="B123" s="370"/>
      <c r="C123" s="370"/>
      <c r="D123" s="369"/>
      <c r="E123" s="369"/>
      <c r="F123" s="369"/>
      <c r="G123" s="369"/>
      <c r="H123" s="369"/>
      <c r="I123" s="369"/>
      <c r="J123" s="369"/>
      <c r="K123" s="369"/>
      <c r="L123" s="369"/>
      <c r="M123" s="371"/>
      <c r="N123" s="371"/>
      <c r="O123" s="371"/>
      <c r="P123" s="372"/>
      <c r="Q123" s="371"/>
      <c r="R123" s="372"/>
      <c r="S123" s="371"/>
      <c r="T123" s="371"/>
      <c r="U123" s="373"/>
      <c r="V123" s="373"/>
      <c r="W123" s="371" t="s">
        <v>914</v>
      </c>
      <c r="X123" s="372">
        <v>1746.82</v>
      </c>
      <c r="Y123" s="371"/>
      <c r="Z123" s="374"/>
      <c r="AA123" s="372">
        <v>1746.82</v>
      </c>
      <c r="AB123" s="372">
        <v>1746.82</v>
      </c>
      <c r="AC123" s="372"/>
      <c r="AD123" s="372"/>
      <c r="AE123" s="372"/>
      <c r="AF123" s="373"/>
      <c r="AG123" s="371"/>
      <c r="AH123" s="374"/>
      <c r="AI123" s="374"/>
      <c r="AJ123" s="374"/>
      <c r="AK123" s="374"/>
      <c r="AL123" s="371"/>
      <c r="AM123" s="371"/>
      <c r="AN123" s="374"/>
      <c r="AO123" s="371"/>
      <c r="AP123" s="374"/>
      <c r="AQ123" s="374"/>
      <c r="AR123" s="374"/>
      <c r="AS123" s="374"/>
      <c r="AT123" s="374"/>
      <c r="AU123" s="371"/>
      <c r="AV123" s="371"/>
    </row>
    <row r="124" spans="1:48" s="20" customFormat="1" ht="67.5" x14ac:dyDescent="0.2">
      <c r="A124" s="369"/>
      <c r="B124" s="370" t="s">
        <v>647</v>
      </c>
      <c r="C124" s="370" t="s">
        <v>64</v>
      </c>
      <c r="D124" s="369"/>
      <c r="E124" s="369"/>
      <c r="F124" s="369"/>
      <c r="G124" s="369"/>
      <c r="H124" s="369"/>
      <c r="I124" s="369"/>
      <c r="J124" s="369"/>
      <c r="K124" s="369"/>
      <c r="L124" s="369"/>
      <c r="M124" s="371" t="s">
        <v>664</v>
      </c>
      <c r="N124" s="371" t="s">
        <v>792</v>
      </c>
      <c r="O124" s="371" t="s">
        <v>541</v>
      </c>
      <c r="P124" s="372">
        <v>790</v>
      </c>
      <c r="Q124" s="371" t="s">
        <v>666</v>
      </c>
      <c r="R124" s="372">
        <v>695</v>
      </c>
      <c r="S124" s="371" t="s">
        <v>876</v>
      </c>
      <c r="T124" s="371" t="s">
        <v>682</v>
      </c>
      <c r="U124" s="373" t="s">
        <v>61</v>
      </c>
      <c r="V124" s="373">
        <v>4</v>
      </c>
      <c r="W124" s="371" t="s">
        <v>690</v>
      </c>
      <c r="X124" s="372">
        <v>627.12</v>
      </c>
      <c r="Y124" s="371"/>
      <c r="Z124" s="373"/>
      <c r="AA124" s="372"/>
      <c r="AB124" s="372"/>
      <c r="AC124" s="372" t="s">
        <v>690</v>
      </c>
      <c r="AD124" s="372">
        <v>627.12</v>
      </c>
      <c r="AE124" s="372">
        <v>627.12</v>
      </c>
      <c r="AF124" s="373" t="s">
        <v>793</v>
      </c>
      <c r="AG124" s="371" t="s">
        <v>681</v>
      </c>
      <c r="AH124" s="374">
        <v>42809</v>
      </c>
      <c r="AI124" s="374">
        <v>42809</v>
      </c>
      <c r="AJ124" s="374">
        <v>42825</v>
      </c>
      <c r="AK124" s="374">
        <v>42860</v>
      </c>
      <c r="AL124" s="371"/>
      <c r="AM124" s="371"/>
      <c r="AN124" s="374"/>
      <c r="AO124" s="371"/>
      <c r="AP124" s="374"/>
      <c r="AQ124" s="374"/>
      <c r="AR124" s="374"/>
      <c r="AS124" s="374"/>
      <c r="AT124" s="374"/>
      <c r="AU124" s="371"/>
      <c r="AV124" s="371"/>
    </row>
    <row r="125" spans="1:48" s="20" customFormat="1" ht="22.5" x14ac:dyDescent="0.2">
      <c r="A125" s="369"/>
      <c r="B125" s="370"/>
      <c r="C125" s="370"/>
      <c r="D125" s="369"/>
      <c r="E125" s="369"/>
      <c r="F125" s="369"/>
      <c r="G125" s="369"/>
      <c r="H125" s="369"/>
      <c r="I125" s="369"/>
      <c r="J125" s="369"/>
      <c r="K125" s="369"/>
      <c r="L125" s="369"/>
      <c r="M125" s="371"/>
      <c r="N125" s="371"/>
      <c r="O125" s="371"/>
      <c r="P125" s="372"/>
      <c r="Q125" s="371"/>
      <c r="R125" s="372"/>
      <c r="S125" s="371"/>
      <c r="T125" s="371"/>
      <c r="U125" s="373"/>
      <c r="V125" s="373"/>
      <c r="W125" s="371" t="s">
        <v>684</v>
      </c>
      <c r="X125" s="372">
        <v>652.79999999999995</v>
      </c>
      <c r="Y125" s="371"/>
      <c r="Z125" s="374"/>
      <c r="AA125" s="372"/>
      <c r="AB125" s="372"/>
      <c r="AC125" s="372"/>
      <c r="AD125" s="372"/>
      <c r="AE125" s="372"/>
      <c r="AF125" s="373"/>
      <c r="AG125" s="371"/>
      <c r="AH125" s="374"/>
      <c r="AI125" s="374"/>
      <c r="AJ125" s="374"/>
      <c r="AK125" s="374"/>
      <c r="AL125" s="371"/>
      <c r="AM125" s="371"/>
      <c r="AN125" s="374"/>
      <c r="AO125" s="371"/>
      <c r="AP125" s="374"/>
      <c r="AQ125" s="374"/>
      <c r="AR125" s="374"/>
      <c r="AS125" s="374"/>
      <c r="AT125" s="374"/>
      <c r="AU125" s="371"/>
      <c r="AV125" s="371"/>
    </row>
    <row r="126" spans="1:48" s="20" customFormat="1" ht="22.5" x14ac:dyDescent="0.2">
      <c r="A126" s="369"/>
      <c r="B126" s="370"/>
      <c r="C126" s="370"/>
      <c r="D126" s="369"/>
      <c r="E126" s="369"/>
      <c r="F126" s="369"/>
      <c r="G126" s="369"/>
      <c r="H126" s="369"/>
      <c r="I126" s="369"/>
      <c r="J126" s="369"/>
      <c r="K126" s="369"/>
      <c r="L126" s="369"/>
      <c r="M126" s="371"/>
      <c r="N126" s="371"/>
      <c r="O126" s="371"/>
      <c r="P126" s="372"/>
      <c r="Q126" s="371"/>
      <c r="R126" s="372"/>
      <c r="S126" s="371"/>
      <c r="T126" s="371"/>
      <c r="U126" s="373"/>
      <c r="V126" s="373"/>
      <c r="W126" s="371" t="s">
        <v>897</v>
      </c>
      <c r="X126" s="372">
        <v>662.4</v>
      </c>
      <c r="Y126" s="371" t="s">
        <v>897</v>
      </c>
      <c r="Z126" s="374"/>
      <c r="AA126" s="372"/>
      <c r="AB126" s="372"/>
      <c r="AC126" s="372"/>
      <c r="AD126" s="372"/>
      <c r="AE126" s="372"/>
      <c r="AF126" s="373"/>
      <c r="AG126" s="371"/>
      <c r="AH126" s="374"/>
      <c r="AI126" s="374"/>
      <c r="AJ126" s="374"/>
      <c r="AK126" s="374"/>
      <c r="AL126" s="371"/>
      <c r="AM126" s="371"/>
      <c r="AN126" s="374"/>
      <c r="AO126" s="371"/>
      <c r="AP126" s="374"/>
      <c r="AQ126" s="374"/>
      <c r="AR126" s="374"/>
      <c r="AS126" s="374"/>
      <c r="AT126" s="374"/>
      <c r="AU126" s="371"/>
      <c r="AV126" s="371"/>
    </row>
    <row r="127" spans="1:48" s="20" customFormat="1" ht="22.5" x14ac:dyDescent="0.2">
      <c r="A127" s="369"/>
      <c r="B127" s="370"/>
      <c r="C127" s="370"/>
      <c r="D127" s="369"/>
      <c r="E127" s="369"/>
      <c r="F127" s="369"/>
      <c r="G127" s="369"/>
      <c r="H127" s="369"/>
      <c r="I127" s="369"/>
      <c r="J127" s="369"/>
      <c r="K127" s="369"/>
      <c r="L127" s="369"/>
      <c r="M127" s="371"/>
      <c r="N127" s="371"/>
      <c r="O127" s="371"/>
      <c r="P127" s="372"/>
      <c r="Q127" s="371"/>
      <c r="R127" s="372"/>
      <c r="S127" s="371"/>
      <c r="T127" s="371"/>
      <c r="U127" s="373"/>
      <c r="V127" s="373"/>
      <c r="W127" s="371" t="s">
        <v>915</v>
      </c>
      <c r="X127" s="372">
        <v>585.6</v>
      </c>
      <c r="Y127" s="371" t="s">
        <v>915</v>
      </c>
      <c r="Z127" s="374"/>
      <c r="AA127" s="372"/>
      <c r="AB127" s="372"/>
      <c r="AC127" s="372"/>
      <c r="AD127" s="372"/>
      <c r="AE127" s="372"/>
      <c r="AF127" s="373"/>
      <c r="AG127" s="371"/>
      <c r="AH127" s="374"/>
      <c r="AI127" s="374"/>
      <c r="AJ127" s="374"/>
      <c r="AK127" s="374"/>
      <c r="AL127" s="371"/>
      <c r="AM127" s="371"/>
      <c r="AN127" s="374"/>
      <c r="AO127" s="371"/>
      <c r="AP127" s="374"/>
      <c r="AQ127" s="374"/>
      <c r="AR127" s="374"/>
      <c r="AS127" s="374"/>
      <c r="AT127" s="374"/>
      <c r="AU127" s="371"/>
      <c r="AV127" s="371"/>
    </row>
    <row r="128" spans="1:48" s="20" customFormat="1" ht="56.25" x14ac:dyDescent="0.2">
      <c r="A128" s="369"/>
      <c r="B128" s="370" t="s">
        <v>648</v>
      </c>
      <c r="C128" s="370" t="s">
        <v>64</v>
      </c>
      <c r="D128" s="369"/>
      <c r="E128" s="369"/>
      <c r="F128" s="369"/>
      <c r="G128" s="369"/>
      <c r="H128" s="369"/>
      <c r="I128" s="369"/>
      <c r="J128" s="369"/>
      <c r="K128" s="369"/>
      <c r="L128" s="369"/>
      <c r="M128" s="371" t="s">
        <v>664</v>
      </c>
      <c r="N128" s="371" t="s">
        <v>714</v>
      </c>
      <c r="O128" s="371" t="s">
        <v>541</v>
      </c>
      <c r="P128" s="372">
        <v>1293</v>
      </c>
      <c r="Q128" s="371" t="s">
        <v>666</v>
      </c>
      <c r="R128" s="372">
        <v>1033</v>
      </c>
      <c r="S128" s="371" t="s">
        <v>682</v>
      </c>
      <c r="T128" s="371" t="s">
        <v>682</v>
      </c>
      <c r="U128" s="373" t="s">
        <v>61</v>
      </c>
      <c r="V128" s="373">
        <v>4</v>
      </c>
      <c r="W128" s="371" t="s">
        <v>715</v>
      </c>
      <c r="X128" s="372">
        <v>981.29</v>
      </c>
      <c r="Y128" s="371"/>
      <c r="Z128" s="373"/>
      <c r="AA128" s="372"/>
      <c r="AB128" s="372"/>
      <c r="AC128" s="372"/>
      <c r="AD128" s="372"/>
      <c r="AE128" s="372"/>
      <c r="AF128" s="373" t="s">
        <v>716</v>
      </c>
      <c r="AG128" s="371" t="s">
        <v>681</v>
      </c>
      <c r="AH128" s="374">
        <v>42807</v>
      </c>
      <c r="AI128" s="374">
        <v>42807</v>
      </c>
      <c r="AJ128" s="374">
        <v>42823</v>
      </c>
      <c r="AK128" s="374">
        <v>42860</v>
      </c>
      <c r="AL128" s="371"/>
      <c r="AM128" s="371"/>
      <c r="AN128" s="374"/>
      <c r="AO128" s="371"/>
      <c r="AP128" s="374"/>
      <c r="AQ128" s="374"/>
      <c r="AR128" s="374"/>
      <c r="AS128" s="374"/>
      <c r="AT128" s="374"/>
      <c r="AU128" s="371"/>
      <c r="AV128" s="371" t="s">
        <v>717</v>
      </c>
    </row>
    <row r="129" spans="1:48" s="20" customFormat="1" ht="22.5" x14ac:dyDescent="0.2">
      <c r="A129" s="369"/>
      <c r="B129" s="370"/>
      <c r="C129" s="370"/>
      <c r="D129" s="369"/>
      <c r="E129" s="369"/>
      <c r="F129" s="369"/>
      <c r="G129" s="369"/>
      <c r="H129" s="369"/>
      <c r="I129" s="369"/>
      <c r="J129" s="369"/>
      <c r="K129" s="369"/>
      <c r="L129" s="369"/>
      <c r="M129" s="371"/>
      <c r="N129" s="371"/>
      <c r="O129" s="371"/>
      <c r="P129" s="372"/>
      <c r="Q129" s="371"/>
      <c r="R129" s="372"/>
      <c r="S129" s="371"/>
      <c r="T129" s="371"/>
      <c r="U129" s="373"/>
      <c r="V129" s="373"/>
      <c r="W129" s="371" t="s">
        <v>897</v>
      </c>
      <c r="X129" s="372">
        <v>349.56</v>
      </c>
      <c r="Y129" s="371" t="s">
        <v>897</v>
      </c>
      <c r="Z129" s="374"/>
      <c r="AA129" s="372"/>
      <c r="AB129" s="372"/>
      <c r="AC129" s="372"/>
      <c r="AD129" s="372"/>
      <c r="AE129" s="372"/>
      <c r="AF129" s="373"/>
      <c r="AG129" s="371"/>
      <c r="AH129" s="374"/>
      <c r="AI129" s="374"/>
      <c r="AJ129" s="374"/>
      <c r="AK129" s="374"/>
      <c r="AL129" s="371"/>
      <c r="AM129" s="371"/>
      <c r="AN129" s="374"/>
      <c r="AO129" s="371"/>
      <c r="AP129" s="374"/>
      <c r="AQ129" s="374"/>
      <c r="AR129" s="374"/>
      <c r="AS129" s="374"/>
      <c r="AT129" s="374"/>
      <c r="AU129" s="371"/>
      <c r="AV129" s="371"/>
    </row>
    <row r="130" spans="1:48" s="20" customFormat="1" ht="56.25" x14ac:dyDescent="0.2">
      <c r="A130" s="369"/>
      <c r="B130" s="370"/>
      <c r="C130" s="370"/>
      <c r="D130" s="369"/>
      <c r="E130" s="369"/>
      <c r="F130" s="369"/>
      <c r="G130" s="369"/>
      <c r="H130" s="369"/>
      <c r="I130" s="369"/>
      <c r="J130" s="369"/>
      <c r="K130" s="369"/>
      <c r="L130" s="369"/>
      <c r="M130" s="371"/>
      <c r="N130" s="371"/>
      <c r="O130" s="371"/>
      <c r="P130" s="372"/>
      <c r="Q130" s="371"/>
      <c r="R130" s="372"/>
      <c r="S130" s="371"/>
      <c r="T130" s="371"/>
      <c r="U130" s="373"/>
      <c r="V130" s="373"/>
      <c r="W130" s="371" t="s">
        <v>916</v>
      </c>
      <c r="X130" s="372">
        <v>860.31</v>
      </c>
      <c r="Y130" s="371" t="s">
        <v>916</v>
      </c>
      <c r="Z130" s="374"/>
      <c r="AA130" s="372"/>
      <c r="AB130" s="372"/>
      <c r="AC130" s="372"/>
      <c r="AD130" s="372"/>
      <c r="AE130" s="372"/>
      <c r="AF130" s="373"/>
      <c r="AG130" s="371"/>
      <c r="AH130" s="374"/>
      <c r="AI130" s="374"/>
      <c r="AJ130" s="374"/>
      <c r="AK130" s="374"/>
      <c r="AL130" s="371"/>
      <c r="AM130" s="371"/>
      <c r="AN130" s="374"/>
      <c r="AO130" s="371"/>
      <c r="AP130" s="374"/>
      <c r="AQ130" s="374"/>
      <c r="AR130" s="374"/>
      <c r="AS130" s="374"/>
      <c r="AT130" s="374"/>
      <c r="AU130" s="371"/>
      <c r="AV130" s="371"/>
    </row>
    <row r="131" spans="1:48" s="20" customFormat="1" ht="22.5" x14ac:dyDescent="0.2">
      <c r="A131" s="369"/>
      <c r="B131" s="370"/>
      <c r="C131" s="370"/>
      <c r="D131" s="369"/>
      <c r="E131" s="369"/>
      <c r="F131" s="369"/>
      <c r="G131" s="369"/>
      <c r="H131" s="369"/>
      <c r="I131" s="369"/>
      <c r="J131" s="369"/>
      <c r="K131" s="369"/>
      <c r="L131" s="369"/>
      <c r="M131" s="371"/>
      <c r="N131" s="371"/>
      <c r="O131" s="371"/>
      <c r="P131" s="372"/>
      <c r="Q131" s="371"/>
      <c r="R131" s="372"/>
      <c r="S131" s="371"/>
      <c r="T131" s="371"/>
      <c r="U131" s="373"/>
      <c r="V131" s="373"/>
      <c r="W131" s="371" t="s">
        <v>917</v>
      </c>
      <c r="X131" s="372">
        <v>702.49</v>
      </c>
      <c r="Y131" s="371" t="s">
        <v>917</v>
      </c>
      <c r="Z131" s="374"/>
      <c r="AA131" s="372"/>
      <c r="AB131" s="372"/>
      <c r="AC131" s="372"/>
      <c r="AD131" s="372"/>
      <c r="AE131" s="372"/>
      <c r="AF131" s="373"/>
      <c r="AG131" s="371"/>
      <c r="AH131" s="374"/>
      <c r="AI131" s="374"/>
      <c r="AJ131" s="374"/>
      <c r="AK131" s="374"/>
      <c r="AL131" s="371"/>
      <c r="AM131" s="371"/>
      <c r="AN131" s="374"/>
      <c r="AO131" s="371"/>
      <c r="AP131" s="374"/>
      <c r="AQ131" s="374"/>
      <c r="AR131" s="374"/>
      <c r="AS131" s="374"/>
      <c r="AT131" s="374"/>
      <c r="AU131" s="371"/>
      <c r="AV131" s="371"/>
    </row>
    <row r="132" spans="1:48" s="20" customFormat="1" ht="67.5" x14ac:dyDescent="0.2">
      <c r="A132" s="369"/>
      <c r="B132" s="370" t="s">
        <v>647</v>
      </c>
      <c r="C132" s="370" t="s">
        <v>64</v>
      </c>
      <c r="D132" s="369"/>
      <c r="E132" s="369"/>
      <c r="F132" s="369"/>
      <c r="G132" s="369"/>
      <c r="H132" s="369"/>
      <c r="I132" s="369"/>
      <c r="J132" s="369"/>
      <c r="K132" s="369"/>
      <c r="L132" s="369"/>
      <c r="M132" s="371" t="s">
        <v>649</v>
      </c>
      <c r="N132" s="371" t="s">
        <v>718</v>
      </c>
      <c r="O132" s="371" t="s">
        <v>541</v>
      </c>
      <c r="P132" s="372">
        <v>21911.99</v>
      </c>
      <c r="Q132" s="371" t="s">
        <v>651</v>
      </c>
      <c r="R132" s="372">
        <v>19236.169999999998</v>
      </c>
      <c r="S132" s="371" t="s">
        <v>876</v>
      </c>
      <c r="T132" s="371" t="s">
        <v>877</v>
      </c>
      <c r="U132" s="373" t="s">
        <v>61</v>
      </c>
      <c r="V132" s="373">
        <v>4</v>
      </c>
      <c r="W132" s="371" t="s">
        <v>719</v>
      </c>
      <c r="X132" s="372">
        <v>19236.169999999998</v>
      </c>
      <c r="Y132" s="371"/>
      <c r="Z132" s="373">
        <v>1</v>
      </c>
      <c r="AA132" s="372">
        <v>19235.169999999998</v>
      </c>
      <c r="AB132" s="372">
        <v>19235.169999999998</v>
      </c>
      <c r="AC132" s="372" t="s">
        <v>719</v>
      </c>
      <c r="AD132" s="372">
        <v>19235.169999999998</v>
      </c>
      <c r="AE132" s="372">
        <v>19235.169999999998</v>
      </c>
      <c r="AF132" s="373" t="s">
        <v>720</v>
      </c>
      <c r="AG132" s="371" t="s">
        <v>654</v>
      </c>
      <c r="AH132" s="374">
        <v>42783</v>
      </c>
      <c r="AI132" s="374">
        <v>42783</v>
      </c>
      <c r="AJ132" s="374">
        <v>42794</v>
      </c>
      <c r="AK132" s="374">
        <v>42804</v>
      </c>
      <c r="AL132" s="371"/>
      <c r="AM132" s="371"/>
      <c r="AN132" s="374"/>
      <c r="AO132" s="371"/>
      <c r="AP132" s="374"/>
      <c r="AQ132" s="374"/>
      <c r="AR132" s="374"/>
      <c r="AS132" s="374"/>
      <c r="AT132" s="374"/>
      <c r="AU132" s="371"/>
      <c r="AV132" s="371"/>
    </row>
    <row r="133" spans="1:48" s="20" customFormat="1" ht="22.5" x14ac:dyDescent="0.2">
      <c r="A133" s="369"/>
      <c r="B133" s="370"/>
      <c r="C133" s="370"/>
      <c r="D133" s="369"/>
      <c r="E133" s="369"/>
      <c r="F133" s="369"/>
      <c r="G133" s="369"/>
      <c r="H133" s="369"/>
      <c r="I133" s="369"/>
      <c r="J133" s="369"/>
      <c r="K133" s="369"/>
      <c r="L133" s="369"/>
      <c r="M133" s="371"/>
      <c r="N133" s="371"/>
      <c r="O133" s="371"/>
      <c r="P133" s="372"/>
      <c r="Q133" s="371"/>
      <c r="R133" s="372"/>
      <c r="S133" s="371"/>
      <c r="T133" s="371"/>
      <c r="U133" s="373"/>
      <c r="V133" s="373"/>
      <c r="W133" s="371" t="s">
        <v>728</v>
      </c>
      <c r="X133" s="372">
        <v>19236.169999999998</v>
      </c>
      <c r="Y133" s="371"/>
      <c r="Z133" s="374"/>
      <c r="AA133" s="372">
        <v>19236.189999999999</v>
      </c>
      <c r="AB133" s="372">
        <v>19236.189999999999</v>
      </c>
      <c r="AC133" s="372"/>
      <c r="AD133" s="372"/>
      <c r="AE133" s="372"/>
      <c r="AF133" s="373"/>
      <c r="AG133" s="371"/>
      <c r="AH133" s="374"/>
      <c r="AI133" s="374"/>
      <c r="AJ133" s="374"/>
      <c r="AK133" s="374"/>
      <c r="AL133" s="371"/>
      <c r="AM133" s="371"/>
      <c r="AN133" s="374"/>
      <c r="AO133" s="371"/>
      <c r="AP133" s="374"/>
      <c r="AQ133" s="374"/>
      <c r="AR133" s="374"/>
      <c r="AS133" s="374"/>
      <c r="AT133" s="374"/>
      <c r="AU133" s="371"/>
      <c r="AV133" s="371"/>
    </row>
    <row r="134" spans="1:48" s="20" customFormat="1" ht="22.5" x14ac:dyDescent="0.2">
      <c r="A134" s="369"/>
      <c r="B134" s="370"/>
      <c r="C134" s="370"/>
      <c r="D134" s="369"/>
      <c r="E134" s="369"/>
      <c r="F134" s="369"/>
      <c r="G134" s="369"/>
      <c r="H134" s="369"/>
      <c r="I134" s="369"/>
      <c r="J134" s="369"/>
      <c r="K134" s="369"/>
      <c r="L134" s="369"/>
      <c r="M134" s="371"/>
      <c r="N134" s="371"/>
      <c r="O134" s="371"/>
      <c r="P134" s="372"/>
      <c r="Q134" s="371"/>
      <c r="R134" s="372"/>
      <c r="S134" s="371"/>
      <c r="T134" s="371"/>
      <c r="U134" s="373"/>
      <c r="V134" s="373"/>
      <c r="W134" s="371" t="s">
        <v>758</v>
      </c>
      <c r="X134" s="372">
        <v>19236.169999999998</v>
      </c>
      <c r="Y134" s="371"/>
      <c r="Z134" s="374"/>
      <c r="AA134" s="372">
        <v>19236.189999999999</v>
      </c>
      <c r="AB134" s="372">
        <v>19236.189999999999</v>
      </c>
      <c r="AC134" s="372"/>
      <c r="AD134" s="372"/>
      <c r="AE134" s="372"/>
      <c r="AF134" s="373"/>
      <c r="AG134" s="371"/>
      <c r="AH134" s="374"/>
      <c r="AI134" s="374"/>
      <c r="AJ134" s="374"/>
      <c r="AK134" s="374"/>
      <c r="AL134" s="371"/>
      <c r="AM134" s="371"/>
      <c r="AN134" s="374"/>
      <c r="AO134" s="371"/>
      <c r="AP134" s="374"/>
      <c r="AQ134" s="374"/>
      <c r="AR134" s="374"/>
      <c r="AS134" s="374"/>
      <c r="AT134" s="374"/>
      <c r="AU134" s="371"/>
      <c r="AV134" s="371"/>
    </row>
    <row r="135" spans="1:48" s="20" customFormat="1" ht="22.5" x14ac:dyDescent="0.2">
      <c r="A135" s="369"/>
      <c r="B135" s="370"/>
      <c r="C135" s="370"/>
      <c r="D135" s="369"/>
      <c r="E135" s="369"/>
      <c r="F135" s="369"/>
      <c r="G135" s="369"/>
      <c r="H135" s="369"/>
      <c r="I135" s="369"/>
      <c r="J135" s="369"/>
      <c r="K135" s="369"/>
      <c r="L135" s="369"/>
      <c r="M135" s="371"/>
      <c r="N135" s="371"/>
      <c r="O135" s="371"/>
      <c r="P135" s="372"/>
      <c r="Q135" s="371"/>
      <c r="R135" s="372"/>
      <c r="S135" s="371"/>
      <c r="T135" s="371"/>
      <c r="U135" s="373"/>
      <c r="V135" s="373"/>
      <c r="W135" s="371" t="s">
        <v>880</v>
      </c>
      <c r="X135" s="372">
        <v>19236.169999999998</v>
      </c>
      <c r="Y135" s="371"/>
      <c r="Z135" s="374"/>
      <c r="AA135" s="372">
        <v>19236.189999999999</v>
      </c>
      <c r="AB135" s="372">
        <v>19236.189999999999</v>
      </c>
      <c r="AC135" s="372"/>
      <c r="AD135" s="372"/>
      <c r="AE135" s="372"/>
      <c r="AF135" s="373"/>
      <c r="AG135" s="371"/>
      <c r="AH135" s="374"/>
      <c r="AI135" s="374"/>
      <c r="AJ135" s="374"/>
      <c r="AK135" s="374"/>
      <c r="AL135" s="371"/>
      <c r="AM135" s="371"/>
      <c r="AN135" s="374"/>
      <c r="AO135" s="371"/>
      <c r="AP135" s="374"/>
      <c r="AQ135" s="374"/>
      <c r="AR135" s="374"/>
      <c r="AS135" s="374"/>
      <c r="AT135" s="374"/>
      <c r="AU135" s="371"/>
      <c r="AV135" s="371"/>
    </row>
    <row r="136" spans="1:48" s="20" customFormat="1" ht="45" x14ac:dyDescent="0.2">
      <c r="A136" s="369"/>
      <c r="B136" s="370" t="s">
        <v>648</v>
      </c>
      <c r="C136" s="370" t="s">
        <v>64</v>
      </c>
      <c r="D136" s="369"/>
      <c r="E136" s="369"/>
      <c r="F136" s="369"/>
      <c r="G136" s="369"/>
      <c r="H136" s="369"/>
      <c r="I136" s="369"/>
      <c r="J136" s="369"/>
      <c r="K136" s="369"/>
      <c r="L136" s="369"/>
      <c r="M136" s="371" t="s">
        <v>664</v>
      </c>
      <c r="N136" s="371" t="s">
        <v>721</v>
      </c>
      <c r="O136" s="371" t="s">
        <v>541</v>
      </c>
      <c r="P136" s="372">
        <v>4635</v>
      </c>
      <c r="Q136" s="371" t="s">
        <v>666</v>
      </c>
      <c r="R136" s="372">
        <v>4100</v>
      </c>
      <c r="S136" s="371" t="s">
        <v>876</v>
      </c>
      <c r="T136" s="371" t="s">
        <v>918</v>
      </c>
      <c r="U136" s="373" t="s">
        <v>493</v>
      </c>
      <c r="V136" s="373">
        <v>5</v>
      </c>
      <c r="W136" s="371" t="s">
        <v>722</v>
      </c>
      <c r="X136" s="372">
        <v>3327.53</v>
      </c>
      <c r="Y136" s="371"/>
      <c r="Z136" s="374" t="s">
        <v>64</v>
      </c>
      <c r="AA136" s="372">
        <v>3284.75</v>
      </c>
      <c r="AB136" s="372">
        <v>3284.75</v>
      </c>
      <c r="AC136" s="372" t="s">
        <v>722</v>
      </c>
      <c r="AD136" s="372">
        <v>3284.75</v>
      </c>
      <c r="AE136" s="372">
        <v>3284.75</v>
      </c>
      <c r="AF136" s="373" t="s">
        <v>723</v>
      </c>
      <c r="AG136" s="371" t="s">
        <v>654</v>
      </c>
      <c r="AH136" s="374">
        <v>42719</v>
      </c>
      <c r="AI136" s="374">
        <v>42719</v>
      </c>
      <c r="AJ136" s="374">
        <v>42744</v>
      </c>
      <c r="AK136" s="374">
        <v>42796</v>
      </c>
      <c r="AL136" s="371"/>
      <c r="AM136" s="371"/>
      <c r="AN136" s="374"/>
      <c r="AO136" s="371"/>
      <c r="AP136" s="374"/>
      <c r="AQ136" s="374"/>
      <c r="AR136" s="374"/>
      <c r="AS136" s="374"/>
      <c r="AT136" s="374"/>
      <c r="AU136" s="371"/>
      <c r="AV136" s="371"/>
    </row>
    <row r="137" spans="1:48" s="20" customFormat="1" ht="33.75" x14ac:dyDescent="0.2">
      <c r="A137" s="369"/>
      <c r="B137" s="370"/>
      <c r="C137" s="370"/>
      <c r="D137" s="369"/>
      <c r="E137" s="369"/>
      <c r="F137" s="369"/>
      <c r="G137" s="369"/>
      <c r="H137" s="369"/>
      <c r="I137" s="369"/>
      <c r="J137" s="369"/>
      <c r="K137" s="369"/>
      <c r="L137" s="369"/>
      <c r="M137" s="371"/>
      <c r="N137" s="371"/>
      <c r="O137" s="371"/>
      <c r="P137" s="372"/>
      <c r="Q137" s="371"/>
      <c r="R137" s="372"/>
      <c r="S137" s="371"/>
      <c r="T137" s="371"/>
      <c r="U137" s="373"/>
      <c r="V137" s="373"/>
      <c r="W137" s="371" t="s">
        <v>919</v>
      </c>
      <c r="X137" s="372">
        <v>4088.34</v>
      </c>
      <c r="Y137" s="371"/>
      <c r="Z137" s="374"/>
      <c r="AA137" s="372">
        <v>2985.65</v>
      </c>
      <c r="AB137" s="372">
        <v>2985.65</v>
      </c>
      <c r="AC137" s="372"/>
      <c r="AD137" s="372"/>
      <c r="AE137" s="372"/>
      <c r="AF137" s="373"/>
      <c r="AG137" s="371"/>
      <c r="AH137" s="374"/>
      <c r="AI137" s="374"/>
      <c r="AJ137" s="374"/>
      <c r="AK137" s="374"/>
      <c r="AL137" s="371"/>
      <c r="AM137" s="371"/>
      <c r="AN137" s="374"/>
      <c r="AO137" s="371"/>
      <c r="AP137" s="374"/>
      <c r="AQ137" s="374"/>
      <c r="AR137" s="374"/>
      <c r="AS137" s="374"/>
      <c r="AT137" s="374"/>
      <c r="AU137" s="371"/>
      <c r="AV137" s="371"/>
    </row>
    <row r="138" spans="1:48" s="20" customFormat="1" ht="33.75" x14ac:dyDescent="0.2">
      <c r="A138" s="369"/>
      <c r="B138" s="370"/>
      <c r="C138" s="370"/>
      <c r="D138" s="369"/>
      <c r="E138" s="369"/>
      <c r="F138" s="369"/>
      <c r="G138" s="369"/>
      <c r="H138" s="369"/>
      <c r="I138" s="369"/>
      <c r="J138" s="369"/>
      <c r="K138" s="369"/>
      <c r="L138" s="369"/>
      <c r="M138" s="371"/>
      <c r="N138" s="371"/>
      <c r="O138" s="371"/>
      <c r="P138" s="372"/>
      <c r="Q138" s="371"/>
      <c r="R138" s="372"/>
      <c r="S138" s="371"/>
      <c r="T138" s="371"/>
      <c r="U138" s="373"/>
      <c r="V138" s="373"/>
      <c r="W138" s="371" t="s">
        <v>702</v>
      </c>
      <c r="X138" s="372">
        <v>4094.11</v>
      </c>
      <c r="Y138" s="371"/>
      <c r="Z138" s="374"/>
      <c r="AA138" s="372">
        <v>3023.09</v>
      </c>
      <c r="AB138" s="372">
        <v>3023.09</v>
      </c>
      <c r="AC138" s="372"/>
      <c r="AD138" s="372"/>
      <c r="AE138" s="372"/>
      <c r="AF138" s="373"/>
      <c r="AG138" s="371"/>
      <c r="AH138" s="374"/>
      <c r="AI138" s="374"/>
      <c r="AJ138" s="374"/>
      <c r="AK138" s="374"/>
      <c r="AL138" s="371"/>
      <c r="AM138" s="371"/>
      <c r="AN138" s="374"/>
      <c r="AO138" s="371"/>
      <c r="AP138" s="374"/>
      <c r="AQ138" s="374"/>
      <c r="AR138" s="374"/>
      <c r="AS138" s="374"/>
      <c r="AT138" s="374"/>
      <c r="AU138" s="371"/>
      <c r="AV138" s="371"/>
    </row>
    <row r="139" spans="1:48" s="20" customFormat="1" ht="22.5" x14ac:dyDescent="0.2">
      <c r="A139" s="369"/>
      <c r="B139" s="370"/>
      <c r="C139" s="370"/>
      <c r="D139" s="369"/>
      <c r="E139" s="369"/>
      <c r="F139" s="369"/>
      <c r="G139" s="369"/>
      <c r="H139" s="369"/>
      <c r="I139" s="369"/>
      <c r="J139" s="369"/>
      <c r="K139" s="369"/>
      <c r="L139" s="369"/>
      <c r="M139" s="371"/>
      <c r="N139" s="371"/>
      <c r="O139" s="371"/>
      <c r="P139" s="372"/>
      <c r="Q139" s="371"/>
      <c r="R139" s="372"/>
      <c r="S139" s="371"/>
      <c r="T139" s="371"/>
      <c r="U139" s="373"/>
      <c r="V139" s="373"/>
      <c r="W139" s="371" t="s">
        <v>920</v>
      </c>
      <c r="X139" s="372">
        <v>2859.21</v>
      </c>
      <c r="Y139" s="371" t="s">
        <v>920</v>
      </c>
      <c r="Z139" s="374"/>
      <c r="AA139" s="372"/>
      <c r="AB139" s="372"/>
      <c r="AC139" s="372"/>
      <c r="AD139" s="372"/>
      <c r="AE139" s="372"/>
      <c r="AF139" s="373"/>
      <c r="AG139" s="371"/>
      <c r="AH139" s="374"/>
      <c r="AI139" s="374"/>
      <c r="AJ139" s="374"/>
      <c r="AK139" s="374"/>
      <c r="AL139" s="371"/>
      <c r="AM139" s="371"/>
      <c r="AN139" s="374"/>
      <c r="AO139" s="371"/>
      <c r="AP139" s="374"/>
      <c r="AQ139" s="374"/>
      <c r="AR139" s="374"/>
      <c r="AS139" s="374"/>
      <c r="AT139" s="374"/>
      <c r="AU139" s="371"/>
      <c r="AV139" s="371"/>
    </row>
    <row r="140" spans="1:48" s="20" customFormat="1" ht="22.5" x14ac:dyDescent="0.2">
      <c r="A140" s="369"/>
      <c r="B140" s="370"/>
      <c r="C140" s="370"/>
      <c r="D140" s="369"/>
      <c r="E140" s="369"/>
      <c r="F140" s="369"/>
      <c r="G140" s="369"/>
      <c r="H140" s="369"/>
      <c r="I140" s="369"/>
      <c r="J140" s="369"/>
      <c r="K140" s="369"/>
      <c r="L140" s="369"/>
      <c r="M140" s="371"/>
      <c r="N140" s="371"/>
      <c r="O140" s="371"/>
      <c r="P140" s="372"/>
      <c r="Q140" s="371"/>
      <c r="R140" s="372"/>
      <c r="S140" s="371"/>
      <c r="T140" s="371"/>
      <c r="U140" s="373"/>
      <c r="V140" s="373"/>
      <c r="W140" s="371" t="s">
        <v>921</v>
      </c>
      <c r="X140" s="372">
        <v>3206.88</v>
      </c>
      <c r="Y140" s="371" t="s">
        <v>921</v>
      </c>
      <c r="Z140" s="374"/>
      <c r="AA140" s="372"/>
      <c r="AB140" s="372"/>
      <c r="AC140" s="372"/>
      <c r="AD140" s="372"/>
      <c r="AE140" s="372"/>
      <c r="AF140" s="373"/>
      <c r="AG140" s="371"/>
      <c r="AH140" s="374"/>
      <c r="AI140" s="374"/>
      <c r="AJ140" s="374"/>
      <c r="AK140" s="374"/>
      <c r="AL140" s="371"/>
      <c r="AM140" s="371"/>
      <c r="AN140" s="374"/>
      <c r="AO140" s="371"/>
      <c r="AP140" s="374"/>
      <c r="AQ140" s="374"/>
      <c r="AR140" s="374"/>
      <c r="AS140" s="374"/>
      <c r="AT140" s="374"/>
      <c r="AU140" s="371"/>
      <c r="AV140" s="371"/>
    </row>
    <row r="141" spans="1:48" s="20" customFormat="1" ht="33.75" x14ac:dyDescent="0.2">
      <c r="A141" s="369"/>
      <c r="B141" s="370" t="s">
        <v>647</v>
      </c>
      <c r="C141" s="370" t="s">
        <v>64</v>
      </c>
      <c r="D141" s="369"/>
      <c r="E141" s="369"/>
      <c r="F141" s="369"/>
      <c r="G141" s="369"/>
      <c r="H141" s="369"/>
      <c r="I141" s="369"/>
      <c r="J141" s="369"/>
      <c r="K141" s="369"/>
      <c r="L141" s="369"/>
      <c r="M141" s="371" t="s">
        <v>664</v>
      </c>
      <c r="N141" s="371" t="s">
        <v>724</v>
      </c>
      <c r="O141" s="371" t="s">
        <v>541</v>
      </c>
      <c r="P141" s="372">
        <v>113770</v>
      </c>
      <c r="Q141" s="371" t="s">
        <v>666</v>
      </c>
      <c r="R141" s="372">
        <v>100637</v>
      </c>
      <c r="S141" s="371" t="s">
        <v>876</v>
      </c>
      <c r="T141" s="371" t="s">
        <v>918</v>
      </c>
      <c r="U141" s="373" t="s">
        <v>494</v>
      </c>
      <c r="V141" s="373">
        <v>4</v>
      </c>
      <c r="W141" s="371" t="s">
        <v>725</v>
      </c>
      <c r="X141" s="372">
        <v>100635</v>
      </c>
      <c r="Y141" s="371"/>
      <c r="Z141" s="374" t="s">
        <v>64</v>
      </c>
      <c r="AA141" s="372">
        <v>98000</v>
      </c>
      <c r="AB141" s="372">
        <v>98000</v>
      </c>
      <c r="AC141" s="372" t="s">
        <v>725</v>
      </c>
      <c r="AD141" s="372">
        <v>98000</v>
      </c>
      <c r="AE141" s="372">
        <v>98000</v>
      </c>
      <c r="AF141" s="373" t="s">
        <v>726</v>
      </c>
      <c r="AG141" s="371" t="s">
        <v>654</v>
      </c>
      <c r="AH141" s="374">
        <v>42734</v>
      </c>
      <c r="AI141" s="374">
        <v>42734</v>
      </c>
      <c r="AJ141" s="374">
        <v>42751</v>
      </c>
      <c r="AK141" s="374">
        <v>42821</v>
      </c>
      <c r="AL141" s="371"/>
      <c r="AM141" s="371"/>
      <c r="AN141" s="374"/>
      <c r="AO141" s="371"/>
      <c r="AP141" s="374"/>
      <c r="AQ141" s="374"/>
      <c r="AR141" s="374"/>
      <c r="AS141" s="374"/>
      <c r="AT141" s="374"/>
      <c r="AU141" s="371"/>
      <c r="AV141" s="371"/>
    </row>
    <row r="142" spans="1:48" s="20" customFormat="1" ht="22.5" x14ac:dyDescent="0.2">
      <c r="A142" s="369"/>
      <c r="B142" s="370"/>
      <c r="C142" s="370"/>
      <c r="D142" s="369"/>
      <c r="E142" s="369"/>
      <c r="F142" s="369"/>
      <c r="G142" s="369"/>
      <c r="H142" s="369"/>
      <c r="I142" s="369"/>
      <c r="J142" s="369"/>
      <c r="K142" s="369"/>
      <c r="L142" s="369"/>
      <c r="M142" s="371"/>
      <c r="N142" s="371"/>
      <c r="O142" s="371"/>
      <c r="P142" s="372"/>
      <c r="Q142" s="371"/>
      <c r="R142" s="372"/>
      <c r="S142" s="371"/>
      <c r="T142" s="371"/>
      <c r="U142" s="373"/>
      <c r="V142" s="373"/>
      <c r="W142" s="371" t="s">
        <v>684</v>
      </c>
      <c r="X142" s="372">
        <v>100637</v>
      </c>
      <c r="Y142" s="371"/>
      <c r="Z142" s="374"/>
      <c r="AA142" s="372">
        <v>100637</v>
      </c>
      <c r="AB142" s="372">
        <v>100637</v>
      </c>
      <c r="AC142" s="372"/>
      <c r="AD142" s="372"/>
      <c r="AE142" s="372"/>
      <c r="AF142" s="373"/>
      <c r="AG142" s="371"/>
      <c r="AH142" s="374"/>
      <c r="AI142" s="374"/>
      <c r="AJ142" s="374"/>
      <c r="AK142" s="374"/>
      <c r="AL142" s="371"/>
      <c r="AM142" s="371"/>
      <c r="AN142" s="374"/>
      <c r="AO142" s="371"/>
      <c r="AP142" s="374"/>
      <c r="AQ142" s="374"/>
      <c r="AR142" s="374"/>
      <c r="AS142" s="374"/>
      <c r="AT142" s="374"/>
      <c r="AU142" s="371"/>
      <c r="AV142" s="371"/>
    </row>
    <row r="143" spans="1:48" s="20" customFormat="1" ht="33.75" x14ac:dyDescent="0.2">
      <c r="A143" s="369"/>
      <c r="B143" s="370"/>
      <c r="C143" s="370"/>
      <c r="D143" s="369"/>
      <c r="E143" s="369"/>
      <c r="F143" s="369"/>
      <c r="G143" s="369"/>
      <c r="H143" s="369"/>
      <c r="I143" s="369"/>
      <c r="J143" s="369"/>
      <c r="K143" s="369"/>
      <c r="L143" s="369"/>
      <c r="M143" s="371"/>
      <c r="N143" s="371"/>
      <c r="O143" s="371"/>
      <c r="P143" s="372"/>
      <c r="Q143" s="371"/>
      <c r="R143" s="372"/>
      <c r="S143" s="371"/>
      <c r="T143" s="371"/>
      <c r="U143" s="373"/>
      <c r="V143" s="373"/>
      <c r="W143" s="371" t="s">
        <v>922</v>
      </c>
      <c r="X143" s="372">
        <v>71596.91</v>
      </c>
      <c r="Y143" s="371" t="s">
        <v>922</v>
      </c>
      <c r="Z143" s="374"/>
      <c r="AA143" s="372"/>
      <c r="AB143" s="372"/>
      <c r="AC143" s="372"/>
      <c r="AD143" s="372"/>
      <c r="AE143" s="372"/>
      <c r="AF143" s="373"/>
      <c r="AG143" s="371"/>
      <c r="AH143" s="374"/>
      <c r="AI143" s="374"/>
      <c r="AJ143" s="374"/>
      <c r="AK143" s="374"/>
      <c r="AL143" s="371"/>
      <c r="AM143" s="371"/>
      <c r="AN143" s="374"/>
      <c r="AO143" s="371"/>
      <c r="AP143" s="374"/>
      <c r="AQ143" s="374"/>
      <c r="AR143" s="374"/>
      <c r="AS143" s="374"/>
      <c r="AT143" s="374"/>
      <c r="AU143" s="371"/>
      <c r="AV143" s="371"/>
    </row>
    <row r="144" spans="1:48" s="20" customFormat="1" ht="22.5" x14ac:dyDescent="0.2">
      <c r="A144" s="369"/>
      <c r="B144" s="370"/>
      <c r="C144" s="370"/>
      <c r="D144" s="369"/>
      <c r="E144" s="369"/>
      <c r="F144" s="369"/>
      <c r="G144" s="369"/>
      <c r="H144" s="369"/>
      <c r="I144" s="369"/>
      <c r="J144" s="369"/>
      <c r="K144" s="369"/>
      <c r="L144" s="369"/>
      <c r="M144" s="371"/>
      <c r="N144" s="371"/>
      <c r="O144" s="371"/>
      <c r="P144" s="372"/>
      <c r="Q144" s="371"/>
      <c r="R144" s="372"/>
      <c r="S144" s="371"/>
      <c r="T144" s="371"/>
      <c r="U144" s="373"/>
      <c r="V144" s="373"/>
      <c r="W144" s="371" t="s">
        <v>923</v>
      </c>
      <c r="X144" s="372">
        <v>73760.25</v>
      </c>
      <c r="Y144" s="371" t="s">
        <v>923</v>
      </c>
      <c r="Z144" s="374"/>
      <c r="AA144" s="372"/>
      <c r="AB144" s="372"/>
      <c r="AC144" s="372"/>
      <c r="AD144" s="372"/>
      <c r="AE144" s="372"/>
      <c r="AF144" s="373"/>
      <c r="AG144" s="371"/>
      <c r="AH144" s="374"/>
      <c r="AI144" s="374"/>
      <c r="AJ144" s="374"/>
      <c r="AK144" s="374"/>
      <c r="AL144" s="371"/>
      <c r="AM144" s="371"/>
      <c r="AN144" s="374"/>
      <c r="AO144" s="371"/>
      <c r="AP144" s="374"/>
      <c r="AQ144" s="374"/>
      <c r="AR144" s="374"/>
      <c r="AS144" s="374"/>
      <c r="AT144" s="374"/>
      <c r="AU144" s="371"/>
      <c r="AV144" s="371"/>
    </row>
    <row r="145" spans="1:48" s="20" customFormat="1" ht="45" x14ac:dyDescent="0.2">
      <c r="A145" s="369"/>
      <c r="B145" s="370" t="s">
        <v>647</v>
      </c>
      <c r="C145" s="370" t="s">
        <v>64</v>
      </c>
      <c r="D145" s="369"/>
      <c r="E145" s="369"/>
      <c r="F145" s="369"/>
      <c r="G145" s="369"/>
      <c r="H145" s="369"/>
      <c r="I145" s="369"/>
      <c r="J145" s="369"/>
      <c r="K145" s="369"/>
      <c r="L145" s="369"/>
      <c r="M145" s="371" t="s">
        <v>649</v>
      </c>
      <c r="N145" s="371" t="s">
        <v>727</v>
      </c>
      <c r="O145" s="371" t="s">
        <v>541</v>
      </c>
      <c r="P145" s="372">
        <v>30543.27</v>
      </c>
      <c r="Q145" s="371" t="s">
        <v>651</v>
      </c>
      <c r="R145" s="372">
        <v>26816.18</v>
      </c>
      <c r="S145" s="371" t="s">
        <v>876</v>
      </c>
      <c r="T145" s="371" t="s">
        <v>682</v>
      </c>
      <c r="U145" s="373" t="s">
        <v>61</v>
      </c>
      <c r="V145" s="373">
        <v>2</v>
      </c>
      <c r="W145" s="371" t="s">
        <v>728</v>
      </c>
      <c r="X145" s="372">
        <v>26682.07</v>
      </c>
      <c r="Y145" s="371"/>
      <c r="Z145" s="373">
        <v>1</v>
      </c>
      <c r="AA145" s="372">
        <v>26682.07</v>
      </c>
      <c r="AB145" s="372">
        <v>26682.07</v>
      </c>
      <c r="AC145" s="372" t="s">
        <v>728</v>
      </c>
      <c r="AD145" s="372">
        <v>26682.07</v>
      </c>
      <c r="AE145" s="372">
        <v>26682.07</v>
      </c>
      <c r="AF145" s="373" t="s">
        <v>729</v>
      </c>
      <c r="AG145" s="371" t="s">
        <v>654</v>
      </c>
      <c r="AH145" s="374">
        <v>42823</v>
      </c>
      <c r="AI145" s="374">
        <v>42823</v>
      </c>
      <c r="AJ145" s="374">
        <v>42838</v>
      </c>
      <c r="AK145" s="374">
        <v>42867</v>
      </c>
      <c r="AL145" s="371"/>
      <c r="AM145" s="371"/>
      <c r="AN145" s="374"/>
      <c r="AO145" s="371"/>
      <c r="AP145" s="374" t="s">
        <v>924</v>
      </c>
      <c r="AQ145" s="374" t="s">
        <v>924</v>
      </c>
      <c r="AR145" s="374" t="s">
        <v>924</v>
      </c>
      <c r="AS145" s="374" t="s">
        <v>924</v>
      </c>
      <c r="AT145" s="374"/>
      <c r="AU145" s="371"/>
      <c r="AV145" s="371"/>
    </row>
    <row r="146" spans="1:48" s="20" customFormat="1" ht="22.5" x14ac:dyDescent="0.2">
      <c r="A146" s="369"/>
      <c r="B146" s="370"/>
      <c r="C146" s="370"/>
      <c r="D146" s="369"/>
      <c r="E146" s="369"/>
      <c r="F146" s="369"/>
      <c r="G146" s="369"/>
      <c r="H146" s="369"/>
      <c r="I146" s="369"/>
      <c r="J146" s="369"/>
      <c r="K146" s="369"/>
      <c r="L146" s="369"/>
      <c r="M146" s="371"/>
      <c r="N146" s="371"/>
      <c r="O146" s="371"/>
      <c r="P146" s="372"/>
      <c r="Q146" s="371"/>
      <c r="R146" s="372"/>
      <c r="S146" s="371"/>
      <c r="T146" s="371"/>
      <c r="U146" s="373"/>
      <c r="V146" s="373"/>
      <c r="W146" s="371" t="s">
        <v>758</v>
      </c>
      <c r="X146" s="372">
        <v>26816.15</v>
      </c>
      <c r="Y146" s="371"/>
      <c r="Z146" s="374"/>
      <c r="AA146" s="372">
        <v>26816.15</v>
      </c>
      <c r="AB146" s="372">
        <v>26816.15</v>
      </c>
      <c r="AC146" s="372"/>
      <c r="AD146" s="372"/>
      <c r="AE146" s="372"/>
      <c r="AF146" s="373"/>
      <c r="AG146" s="371"/>
      <c r="AH146" s="374"/>
      <c r="AI146" s="374"/>
      <c r="AJ146" s="374"/>
      <c r="AK146" s="374"/>
      <c r="AL146" s="371"/>
      <c r="AM146" s="371"/>
      <c r="AN146" s="374"/>
      <c r="AO146" s="371"/>
      <c r="AP146" s="374"/>
      <c r="AQ146" s="374"/>
      <c r="AR146" s="374"/>
      <c r="AS146" s="374"/>
      <c r="AT146" s="374"/>
      <c r="AU146" s="371"/>
      <c r="AV146" s="371"/>
    </row>
    <row r="147" spans="1:48" s="20" customFormat="1" ht="56.25" x14ac:dyDescent="0.2">
      <c r="A147" s="369"/>
      <c r="B147" s="370" t="s">
        <v>647</v>
      </c>
      <c r="C147" s="370" t="s">
        <v>64</v>
      </c>
      <c r="D147" s="369"/>
      <c r="E147" s="369"/>
      <c r="F147" s="369"/>
      <c r="G147" s="369"/>
      <c r="H147" s="369"/>
      <c r="I147" s="369"/>
      <c r="J147" s="369"/>
      <c r="K147" s="369"/>
      <c r="L147" s="369"/>
      <c r="M147" s="371" t="s">
        <v>649</v>
      </c>
      <c r="N147" s="371" t="s">
        <v>730</v>
      </c>
      <c r="O147" s="371" t="s">
        <v>541</v>
      </c>
      <c r="P147" s="372">
        <v>51616.97</v>
      </c>
      <c r="Q147" s="371" t="s">
        <v>651</v>
      </c>
      <c r="R147" s="372">
        <v>45368.26</v>
      </c>
      <c r="S147" s="371" t="s">
        <v>876</v>
      </c>
      <c r="T147" s="371" t="s">
        <v>877</v>
      </c>
      <c r="U147" s="373" t="s">
        <v>59</v>
      </c>
      <c r="V147" s="373">
        <v>2</v>
      </c>
      <c r="W147" s="371" t="s">
        <v>657</v>
      </c>
      <c r="X147" s="372">
        <v>45235.26</v>
      </c>
      <c r="Y147" s="371"/>
      <c r="Z147" s="373">
        <v>1</v>
      </c>
      <c r="AA147" s="372">
        <v>45135.26</v>
      </c>
      <c r="AB147" s="372">
        <v>45135.26</v>
      </c>
      <c r="AC147" s="372" t="s">
        <v>657</v>
      </c>
      <c r="AD147" s="372">
        <v>45135.26</v>
      </c>
      <c r="AE147" s="372">
        <v>45135.26</v>
      </c>
      <c r="AF147" s="373" t="s">
        <v>731</v>
      </c>
      <c r="AG147" s="371" t="s">
        <v>654</v>
      </c>
      <c r="AH147" s="374">
        <v>42825</v>
      </c>
      <c r="AI147" s="374">
        <v>42825</v>
      </c>
      <c r="AJ147" s="374">
        <v>42836</v>
      </c>
      <c r="AK147" s="374">
        <v>42846</v>
      </c>
      <c r="AL147" s="371"/>
      <c r="AM147" s="371"/>
      <c r="AN147" s="374"/>
      <c r="AO147" s="371"/>
      <c r="AP147" s="374" t="s">
        <v>924</v>
      </c>
      <c r="AQ147" s="374" t="s">
        <v>924</v>
      </c>
      <c r="AR147" s="374" t="s">
        <v>924</v>
      </c>
      <c r="AS147" s="374" t="s">
        <v>924</v>
      </c>
      <c r="AT147" s="374" t="s">
        <v>925</v>
      </c>
      <c r="AU147" s="371"/>
      <c r="AV147" s="371"/>
    </row>
    <row r="148" spans="1:48" s="20" customFormat="1" ht="22.5" x14ac:dyDescent="0.2">
      <c r="A148" s="369"/>
      <c r="B148" s="370"/>
      <c r="C148" s="370"/>
      <c r="D148" s="369"/>
      <c r="E148" s="369"/>
      <c r="F148" s="369"/>
      <c r="G148" s="369"/>
      <c r="H148" s="369"/>
      <c r="I148" s="369"/>
      <c r="J148" s="369"/>
      <c r="K148" s="369"/>
      <c r="L148" s="369"/>
      <c r="M148" s="371"/>
      <c r="N148" s="371"/>
      <c r="O148" s="371"/>
      <c r="P148" s="372"/>
      <c r="Q148" s="371"/>
      <c r="R148" s="372"/>
      <c r="S148" s="371"/>
      <c r="T148" s="371"/>
      <c r="U148" s="373"/>
      <c r="V148" s="373"/>
      <c r="W148" s="371" t="s">
        <v>728</v>
      </c>
      <c r="X148" s="372">
        <v>45141.42</v>
      </c>
      <c r="Y148" s="371"/>
      <c r="Z148" s="374"/>
      <c r="AA148" s="372">
        <v>45141.42</v>
      </c>
      <c r="AB148" s="372">
        <v>45141.42</v>
      </c>
      <c r="AC148" s="372"/>
      <c r="AD148" s="372"/>
      <c r="AE148" s="372"/>
      <c r="AF148" s="373"/>
      <c r="AG148" s="371"/>
      <c r="AH148" s="374"/>
      <c r="AI148" s="374"/>
      <c r="AJ148" s="374"/>
      <c r="AK148" s="374"/>
      <c r="AL148" s="371"/>
      <c r="AM148" s="371"/>
      <c r="AN148" s="374"/>
      <c r="AO148" s="371"/>
      <c r="AP148" s="374"/>
      <c r="AQ148" s="374"/>
      <c r="AR148" s="374"/>
      <c r="AS148" s="374"/>
      <c r="AT148" s="374"/>
      <c r="AU148" s="371"/>
      <c r="AV148" s="371"/>
    </row>
    <row r="149" spans="1:48" s="20" customFormat="1" ht="56.25" x14ac:dyDescent="0.2">
      <c r="A149" s="369"/>
      <c r="B149" s="370" t="s">
        <v>647</v>
      </c>
      <c r="C149" s="370" t="s">
        <v>64</v>
      </c>
      <c r="D149" s="369"/>
      <c r="E149" s="369"/>
      <c r="F149" s="369"/>
      <c r="G149" s="369"/>
      <c r="H149" s="369"/>
      <c r="I149" s="369"/>
      <c r="J149" s="369"/>
      <c r="K149" s="369"/>
      <c r="L149" s="369"/>
      <c r="M149" s="371" t="s">
        <v>649</v>
      </c>
      <c r="N149" s="371" t="s">
        <v>732</v>
      </c>
      <c r="O149" s="371" t="s">
        <v>541</v>
      </c>
      <c r="P149" s="372">
        <v>4680.8500000000004</v>
      </c>
      <c r="Q149" s="371" t="s">
        <v>651</v>
      </c>
      <c r="R149" s="372">
        <v>4115.76</v>
      </c>
      <c r="S149" s="371" t="s">
        <v>876</v>
      </c>
      <c r="T149" s="371" t="s">
        <v>877</v>
      </c>
      <c r="U149" s="373" t="s">
        <v>59</v>
      </c>
      <c r="V149" s="373">
        <v>2</v>
      </c>
      <c r="W149" s="371" t="s">
        <v>657</v>
      </c>
      <c r="X149" s="372">
        <v>4111.29</v>
      </c>
      <c r="Y149" s="371"/>
      <c r="Z149" s="373">
        <v>1</v>
      </c>
      <c r="AA149" s="372">
        <v>4111.29</v>
      </c>
      <c r="AB149" s="372">
        <v>4111.29</v>
      </c>
      <c r="AC149" s="372" t="s">
        <v>657</v>
      </c>
      <c r="AD149" s="372">
        <v>4111.29</v>
      </c>
      <c r="AE149" s="372">
        <v>4111.29</v>
      </c>
      <c r="AF149" s="373" t="s">
        <v>733</v>
      </c>
      <c r="AG149" s="371" t="s">
        <v>654</v>
      </c>
      <c r="AH149" s="374">
        <v>42825</v>
      </c>
      <c r="AI149" s="374">
        <v>42825</v>
      </c>
      <c r="AJ149" s="374">
        <v>42836</v>
      </c>
      <c r="AK149" s="374">
        <v>42846</v>
      </c>
      <c r="AL149" s="371"/>
      <c r="AM149" s="371"/>
      <c r="AN149" s="374"/>
      <c r="AO149" s="371"/>
      <c r="AP149" s="374" t="s">
        <v>924</v>
      </c>
      <c r="AQ149" s="374" t="s">
        <v>924</v>
      </c>
      <c r="AR149" s="374" t="s">
        <v>924</v>
      </c>
      <c r="AS149" s="374" t="s">
        <v>924</v>
      </c>
      <c r="AT149" s="374"/>
      <c r="AU149" s="371"/>
      <c r="AV149" s="371"/>
    </row>
    <row r="150" spans="1:48" s="20" customFormat="1" ht="22.5" x14ac:dyDescent="0.2">
      <c r="A150" s="369"/>
      <c r="B150" s="370"/>
      <c r="C150" s="370"/>
      <c r="D150" s="369"/>
      <c r="E150" s="369"/>
      <c r="F150" s="369"/>
      <c r="G150" s="369"/>
      <c r="H150" s="369"/>
      <c r="I150" s="369"/>
      <c r="J150" s="369"/>
      <c r="K150" s="369"/>
      <c r="L150" s="369"/>
      <c r="M150" s="371"/>
      <c r="N150" s="371"/>
      <c r="O150" s="371"/>
      <c r="P150" s="372"/>
      <c r="Q150" s="371"/>
      <c r="R150" s="372"/>
      <c r="S150" s="371"/>
      <c r="T150" s="371"/>
      <c r="U150" s="373"/>
      <c r="V150" s="373"/>
      <c r="W150" s="371" t="s">
        <v>728</v>
      </c>
      <c r="X150" s="372">
        <v>4115.76</v>
      </c>
      <c r="Y150" s="371"/>
      <c r="Z150" s="374"/>
      <c r="AA150" s="372">
        <v>4115.76</v>
      </c>
      <c r="AB150" s="372">
        <v>4115.76</v>
      </c>
      <c r="AC150" s="372"/>
      <c r="AD150" s="372"/>
      <c r="AE150" s="372"/>
      <c r="AF150" s="373"/>
      <c r="AG150" s="371"/>
      <c r="AH150" s="374"/>
      <c r="AI150" s="374"/>
      <c r="AJ150" s="374"/>
      <c r="AK150" s="374"/>
      <c r="AL150" s="371"/>
      <c r="AM150" s="371"/>
      <c r="AN150" s="374"/>
      <c r="AO150" s="371"/>
      <c r="AP150" s="374"/>
      <c r="AQ150" s="374"/>
      <c r="AR150" s="374"/>
      <c r="AS150" s="374"/>
      <c r="AT150" s="374"/>
      <c r="AU150" s="371"/>
      <c r="AV150" s="371"/>
    </row>
    <row r="151" spans="1:48" s="20" customFormat="1" ht="45" x14ac:dyDescent="0.2">
      <c r="A151" s="369"/>
      <c r="B151" s="370" t="s">
        <v>647</v>
      </c>
      <c r="C151" s="370" t="s">
        <v>64</v>
      </c>
      <c r="D151" s="369"/>
      <c r="E151" s="369"/>
      <c r="F151" s="369"/>
      <c r="G151" s="369"/>
      <c r="H151" s="369"/>
      <c r="I151" s="369"/>
      <c r="J151" s="369"/>
      <c r="K151" s="369"/>
      <c r="L151" s="369"/>
      <c r="M151" s="371" t="s">
        <v>649</v>
      </c>
      <c r="N151" s="371" t="s">
        <v>794</v>
      </c>
      <c r="O151" s="371" t="s">
        <v>541</v>
      </c>
      <c r="P151" s="372">
        <v>16472.439999999999</v>
      </c>
      <c r="Q151" s="371" t="s">
        <v>651</v>
      </c>
      <c r="R151" s="372">
        <v>14504.7</v>
      </c>
      <c r="S151" s="371" t="s">
        <v>876</v>
      </c>
      <c r="T151" s="371" t="s">
        <v>877</v>
      </c>
      <c r="U151" s="373" t="s">
        <v>58</v>
      </c>
      <c r="V151" s="373">
        <v>3</v>
      </c>
      <c r="W151" s="371" t="s">
        <v>657</v>
      </c>
      <c r="X151" s="372">
        <v>14499.7</v>
      </c>
      <c r="Y151" s="371"/>
      <c r="Z151" s="373">
        <v>1</v>
      </c>
      <c r="AA151" s="372">
        <v>14499.7</v>
      </c>
      <c r="AB151" s="372">
        <v>14499.7</v>
      </c>
      <c r="AC151" s="372" t="s">
        <v>657</v>
      </c>
      <c r="AD151" s="372">
        <v>14499.7</v>
      </c>
      <c r="AE151" s="372">
        <v>14499.7</v>
      </c>
      <c r="AF151" s="373" t="s">
        <v>795</v>
      </c>
      <c r="AG151" s="371" t="s">
        <v>654</v>
      </c>
      <c r="AH151" s="374">
        <v>42831</v>
      </c>
      <c r="AI151" s="374">
        <v>42831</v>
      </c>
      <c r="AJ151" s="374">
        <v>42837</v>
      </c>
      <c r="AK151" s="374">
        <v>42852</v>
      </c>
      <c r="AL151" s="371"/>
      <c r="AM151" s="371"/>
      <c r="AN151" s="374"/>
      <c r="AO151" s="371"/>
      <c r="AP151" s="374" t="s">
        <v>924</v>
      </c>
      <c r="AQ151" s="374" t="s">
        <v>924</v>
      </c>
      <c r="AR151" s="374" t="s">
        <v>924</v>
      </c>
      <c r="AS151" s="374" t="s">
        <v>924</v>
      </c>
      <c r="AT151" s="374" t="s">
        <v>925</v>
      </c>
      <c r="AU151" s="371"/>
      <c r="AV151" s="371"/>
    </row>
    <row r="152" spans="1:48" s="20" customFormat="1" ht="22.5" x14ac:dyDescent="0.2">
      <c r="A152" s="369"/>
      <c r="B152" s="370"/>
      <c r="C152" s="370"/>
      <c r="D152" s="369"/>
      <c r="E152" s="369"/>
      <c r="F152" s="369"/>
      <c r="G152" s="369"/>
      <c r="H152" s="369"/>
      <c r="I152" s="369"/>
      <c r="J152" s="369"/>
      <c r="K152" s="369"/>
      <c r="L152" s="369"/>
      <c r="M152" s="371"/>
      <c r="N152" s="371"/>
      <c r="O152" s="371"/>
      <c r="P152" s="372"/>
      <c r="Q152" s="371"/>
      <c r="R152" s="372"/>
      <c r="S152" s="371"/>
      <c r="T152" s="371"/>
      <c r="U152" s="373"/>
      <c r="V152" s="373"/>
      <c r="W152" s="371" t="s">
        <v>728</v>
      </c>
      <c r="X152" s="372">
        <v>14504.7</v>
      </c>
      <c r="Y152" s="371"/>
      <c r="Z152" s="374"/>
      <c r="AA152" s="372">
        <v>14504.7</v>
      </c>
      <c r="AB152" s="372">
        <v>14504.7</v>
      </c>
      <c r="AC152" s="372"/>
      <c r="AD152" s="372"/>
      <c r="AE152" s="372"/>
      <c r="AF152" s="373"/>
      <c r="AG152" s="371"/>
      <c r="AH152" s="374"/>
      <c r="AI152" s="374"/>
      <c r="AJ152" s="374"/>
      <c r="AK152" s="374"/>
      <c r="AL152" s="371"/>
      <c r="AM152" s="371"/>
      <c r="AN152" s="374"/>
      <c r="AO152" s="371"/>
      <c r="AP152" s="374"/>
      <c r="AQ152" s="374"/>
      <c r="AR152" s="374"/>
      <c r="AS152" s="374"/>
      <c r="AT152" s="374"/>
      <c r="AU152" s="371"/>
      <c r="AV152" s="371"/>
    </row>
    <row r="153" spans="1:48" s="20" customFormat="1" ht="22.5" x14ac:dyDescent="0.2">
      <c r="A153" s="369"/>
      <c r="B153" s="370"/>
      <c r="C153" s="370"/>
      <c r="D153" s="369"/>
      <c r="E153" s="369"/>
      <c r="F153" s="369"/>
      <c r="G153" s="369"/>
      <c r="H153" s="369"/>
      <c r="I153" s="369"/>
      <c r="J153" s="369"/>
      <c r="K153" s="369"/>
      <c r="L153" s="369"/>
      <c r="M153" s="371"/>
      <c r="N153" s="371"/>
      <c r="O153" s="371"/>
      <c r="P153" s="372"/>
      <c r="Q153" s="371"/>
      <c r="R153" s="372"/>
      <c r="S153" s="371"/>
      <c r="T153" s="371"/>
      <c r="U153" s="373"/>
      <c r="V153" s="373"/>
      <c r="W153" s="371" t="s">
        <v>758</v>
      </c>
      <c r="X153" s="372">
        <v>14504.7</v>
      </c>
      <c r="Y153" s="371" t="s">
        <v>758</v>
      </c>
      <c r="Z153" s="374"/>
      <c r="AA153" s="372"/>
      <c r="AB153" s="372"/>
      <c r="AC153" s="372"/>
      <c r="AD153" s="372"/>
      <c r="AE153" s="372"/>
      <c r="AF153" s="373"/>
      <c r="AG153" s="371"/>
      <c r="AH153" s="374"/>
      <c r="AI153" s="374"/>
      <c r="AJ153" s="374"/>
      <c r="AK153" s="374"/>
      <c r="AL153" s="371"/>
      <c r="AM153" s="371"/>
      <c r="AN153" s="374"/>
      <c r="AO153" s="371"/>
      <c r="AP153" s="374"/>
      <c r="AQ153" s="374"/>
      <c r="AR153" s="374"/>
      <c r="AS153" s="374"/>
      <c r="AT153" s="374"/>
      <c r="AU153" s="371"/>
      <c r="AV153" s="371"/>
    </row>
    <row r="154" spans="1:48" s="20" customFormat="1" ht="33.75" x14ac:dyDescent="0.2">
      <c r="A154" s="369"/>
      <c r="B154" s="370" t="s">
        <v>647</v>
      </c>
      <c r="C154" s="370" t="s">
        <v>64</v>
      </c>
      <c r="D154" s="369"/>
      <c r="E154" s="369"/>
      <c r="F154" s="369"/>
      <c r="G154" s="369"/>
      <c r="H154" s="369"/>
      <c r="I154" s="369"/>
      <c r="J154" s="369"/>
      <c r="K154" s="369"/>
      <c r="L154" s="369"/>
      <c r="M154" s="371" t="s">
        <v>649</v>
      </c>
      <c r="N154" s="371" t="s">
        <v>796</v>
      </c>
      <c r="O154" s="371" t="s">
        <v>541</v>
      </c>
      <c r="P154" s="372">
        <v>31773.25</v>
      </c>
      <c r="Q154" s="371" t="s">
        <v>651</v>
      </c>
      <c r="R154" s="372">
        <v>27934.18</v>
      </c>
      <c r="S154" s="371" t="s">
        <v>876</v>
      </c>
      <c r="T154" s="371" t="s">
        <v>877</v>
      </c>
      <c r="U154" s="373" t="s">
        <v>58</v>
      </c>
      <c r="V154" s="373">
        <v>2</v>
      </c>
      <c r="W154" s="371" t="s">
        <v>728</v>
      </c>
      <c r="X154" s="372">
        <v>27934.18</v>
      </c>
      <c r="Y154" s="371"/>
      <c r="Z154" s="373">
        <v>1</v>
      </c>
      <c r="AA154" s="372">
        <v>27934.18</v>
      </c>
      <c r="AB154" s="372">
        <v>27934.18</v>
      </c>
      <c r="AC154" s="372" t="s">
        <v>728</v>
      </c>
      <c r="AD154" s="372">
        <v>27934.18</v>
      </c>
      <c r="AE154" s="372">
        <v>27934.18</v>
      </c>
      <c r="AF154" s="373" t="s">
        <v>797</v>
      </c>
      <c r="AG154" s="371" t="s">
        <v>654</v>
      </c>
      <c r="AH154" s="374">
        <v>42832</v>
      </c>
      <c r="AI154" s="374">
        <v>42832</v>
      </c>
      <c r="AJ154" s="374">
        <v>42838</v>
      </c>
      <c r="AK154" s="374" t="s">
        <v>926</v>
      </c>
      <c r="AL154" s="371"/>
      <c r="AM154" s="371"/>
      <c r="AN154" s="374"/>
      <c r="AO154" s="371"/>
      <c r="AP154" s="374" t="s">
        <v>924</v>
      </c>
      <c r="AQ154" s="374" t="s">
        <v>924</v>
      </c>
      <c r="AR154" s="374" t="s">
        <v>924</v>
      </c>
      <c r="AS154" s="374" t="s">
        <v>924</v>
      </c>
      <c r="AT154" s="374"/>
      <c r="AU154" s="371"/>
      <c r="AV154" s="371"/>
    </row>
    <row r="155" spans="1:48" s="20" customFormat="1" ht="22.5" x14ac:dyDescent="0.2">
      <c r="A155" s="357"/>
      <c r="B155" s="358"/>
      <c r="C155" s="358"/>
      <c r="D155" s="357"/>
      <c r="E155" s="357"/>
      <c r="F155" s="357"/>
      <c r="G155" s="357"/>
      <c r="H155" s="357"/>
      <c r="I155" s="357"/>
      <c r="J155" s="357"/>
      <c r="K155" s="357"/>
      <c r="L155" s="357"/>
      <c r="M155" s="365"/>
      <c r="N155" s="365"/>
      <c r="O155" s="365"/>
      <c r="P155" s="366"/>
      <c r="Q155" s="365"/>
      <c r="R155" s="366"/>
      <c r="S155" s="365"/>
      <c r="T155" s="365"/>
      <c r="U155" s="367"/>
      <c r="V155" s="367"/>
      <c r="W155" s="365" t="s">
        <v>758</v>
      </c>
      <c r="X155" s="366">
        <v>27934.18</v>
      </c>
      <c r="Y155" s="365"/>
      <c r="Z155" s="368"/>
      <c r="AA155" s="366">
        <v>27934.18</v>
      </c>
      <c r="AB155" s="366">
        <v>27934.18</v>
      </c>
      <c r="AC155" s="366"/>
      <c r="AD155" s="366"/>
      <c r="AE155" s="366"/>
      <c r="AF155" s="367"/>
      <c r="AG155" s="365"/>
      <c r="AH155" s="368"/>
      <c r="AI155" s="368"/>
      <c r="AJ155" s="368"/>
      <c r="AK155" s="368"/>
      <c r="AL155" s="365"/>
      <c r="AM155" s="365"/>
      <c r="AN155" s="368"/>
      <c r="AO155" s="365"/>
      <c r="AP155" s="368"/>
      <c r="AQ155" s="368"/>
      <c r="AR155" s="368"/>
      <c r="AS155" s="368"/>
      <c r="AT155" s="368"/>
      <c r="AU155" s="365"/>
      <c r="AV155" s="365"/>
    </row>
    <row r="156" spans="1:48" s="20" customFormat="1" ht="45" x14ac:dyDescent="0.2">
      <c r="A156" s="369"/>
      <c r="B156" s="370" t="s">
        <v>647</v>
      </c>
      <c r="C156" s="370" t="s">
        <v>64</v>
      </c>
      <c r="D156" s="369"/>
      <c r="E156" s="369"/>
      <c r="F156" s="369"/>
      <c r="G156" s="369"/>
      <c r="H156" s="369"/>
      <c r="I156" s="369"/>
      <c r="J156" s="369"/>
      <c r="K156" s="369"/>
      <c r="L156" s="369"/>
      <c r="M156" s="371" t="s">
        <v>649</v>
      </c>
      <c r="N156" s="371" t="s">
        <v>798</v>
      </c>
      <c r="O156" s="371" t="s">
        <v>541</v>
      </c>
      <c r="P156" s="372">
        <v>10536.73</v>
      </c>
      <c r="Q156" s="371" t="s">
        <v>651</v>
      </c>
      <c r="R156" s="372">
        <v>9264.14</v>
      </c>
      <c r="S156" s="371" t="s">
        <v>876</v>
      </c>
      <c r="T156" s="371" t="s">
        <v>877</v>
      </c>
      <c r="U156" s="373" t="s">
        <v>61</v>
      </c>
      <c r="V156" s="373">
        <v>3</v>
      </c>
      <c r="W156" s="371" t="s">
        <v>799</v>
      </c>
      <c r="X156" s="372">
        <v>9217.82</v>
      </c>
      <c r="Y156" s="371"/>
      <c r="Z156" s="373">
        <v>1</v>
      </c>
      <c r="AA156" s="372">
        <v>9217.82</v>
      </c>
      <c r="AB156" s="372">
        <v>9217.82</v>
      </c>
      <c r="AC156" s="372" t="s">
        <v>799</v>
      </c>
      <c r="AD156" s="372">
        <v>9217.82</v>
      </c>
      <c r="AE156" s="372">
        <v>9217.82</v>
      </c>
      <c r="AF156" s="373" t="s">
        <v>800</v>
      </c>
      <c r="AG156" s="371" t="s">
        <v>654</v>
      </c>
      <c r="AH156" s="374">
        <v>42832</v>
      </c>
      <c r="AI156" s="374">
        <v>42832</v>
      </c>
      <c r="AJ156" s="374">
        <v>42838</v>
      </c>
      <c r="AK156" s="374">
        <v>42852</v>
      </c>
      <c r="AL156" s="371"/>
      <c r="AM156" s="371"/>
      <c r="AN156" s="374"/>
      <c r="AO156" s="371"/>
      <c r="AP156" s="374" t="s">
        <v>927</v>
      </c>
      <c r="AQ156" s="374" t="s">
        <v>927</v>
      </c>
      <c r="AR156" s="374" t="s">
        <v>927</v>
      </c>
      <c r="AS156" s="374" t="s">
        <v>927</v>
      </c>
      <c r="AT156" s="374"/>
      <c r="AU156" s="371"/>
      <c r="AV156" s="371"/>
    </row>
    <row r="157" spans="1:48" s="20" customFormat="1" ht="22.5" x14ac:dyDescent="0.2">
      <c r="A157" s="369"/>
      <c r="B157" s="370"/>
      <c r="C157" s="370"/>
      <c r="D157" s="369"/>
      <c r="E157" s="369"/>
      <c r="F157" s="369"/>
      <c r="G157" s="369"/>
      <c r="H157" s="369"/>
      <c r="I157" s="369"/>
      <c r="J157" s="369"/>
      <c r="K157" s="369"/>
      <c r="L157" s="369"/>
      <c r="M157" s="371"/>
      <c r="N157" s="371"/>
      <c r="O157" s="371"/>
      <c r="P157" s="372"/>
      <c r="Q157" s="371"/>
      <c r="R157" s="372"/>
      <c r="S157" s="371"/>
      <c r="T157" s="371"/>
      <c r="U157" s="373"/>
      <c r="V157" s="373"/>
      <c r="W157" s="371" t="s">
        <v>728</v>
      </c>
      <c r="X157" s="372">
        <v>9264.14</v>
      </c>
      <c r="Y157" s="371"/>
      <c r="Z157" s="374"/>
      <c r="AA157" s="372">
        <v>9264.14</v>
      </c>
      <c r="AB157" s="372">
        <v>9264.14</v>
      </c>
      <c r="AC157" s="372"/>
      <c r="AD157" s="372"/>
      <c r="AE157" s="372"/>
      <c r="AF157" s="373"/>
      <c r="AG157" s="371"/>
      <c r="AH157" s="374"/>
      <c r="AI157" s="374"/>
      <c r="AJ157" s="374"/>
      <c r="AK157" s="374"/>
      <c r="AL157" s="371"/>
      <c r="AM157" s="371"/>
      <c r="AN157" s="374"/>
      <c r="AO157" s="371"/>
      <c r="AP157" s="374"/>
      <c r="AQ157" s="374"/>
      <c r="AR157" s="374"/>
      <c r="AS157" s="374"/>
      <c r="AT157" s="374"/>
      <c r="AU157" s="371"/>
      <c r="AV157" s="371"/>
    </row>
    <row r="158" spans="1:48" s="20" customFormat="1" ht="22.5" x14ac:dyDescent="0.2">
      <c r="A158" s="369"/>
      <c r="B158" s="370"/>
      <c r="C158" s="370"/>
      <c r="D158" s="369"/>
      <c r="E158" s="369"/>
      <c r="F158" s="369"/>
      <c r="G158" s="369"/>
      <c r="H158" s="369"/>
      <c r="I158" s="369"/>
      <c r="J158" s="369"/>
      <c r="K158" s="369"/>
      <c r="L158" s="369"/>
      <c r="M158" s="371"/>
      <c r="N158" s="371"/>
      <c r="O158" s="371"/>
      <c r="P158" s="372"/>
      <c r="Q158" s="371"/>
      <c r="R158" s="372"/>
      <c r="S158" s="371"/>
      <c r="T158" s="371"/>
      <c r="U158" s="373"/>
      <c r="V158" s="373"/>
      <c r="W158" s="371" t="s">
        <v>758</v>
      </c>
      <c r="X158" s="372">
        <v>9264.14</v>
      </c>
      <c r="Y158" s="371"/>
      <c r="Z158" s="374"/>
      <c r="AA158" s="372">
        <v>9264.14</v>
      </c>
      <c r="AB158" s="372">
        <v>9264.14</v>
      </c>
      <c r="AC158" s="372"/>
      <c r="AD158" s="372"/>
      <c r="AE158" s="372"/>
      <c r="AF158" s="373"/>
      <c r="AG158" s="371"/>
      <c r="AH158" s="374"/>
      <c r="AI158" s="374"/>
      <c r="AJ158" s="374"/>
      <c r="AK158" s="374"/>
      <c r="AL158" s="371"/>
      <c r="AM158" s="371"/>
      <c r="AN158" s="374"/>
      <c r="AO158" s="371"/>
      <c r="AP158" s="374"/>
      <c r="AQ158" s="374"/>
      <c r="AR158" s="374"/>
      <c r="AS158" s="374"/>
      <c r="AT158" s="374"/>
      <c r="AU158" s="371"/>
      <c r="AV158" s="371"/>
    </row>
    <row r="159" spans="1:48" s="20" customFormat="1" ht="22.5" x14ac:dyDescent="0.2">
      <c r="A159" s="369"/>
      <c r="B159" s="370" t="s">
        <v>647</v>
      </c>
      <c r="C159" s="370" t="s">
        <v>64</v>
      </c>
      <c r="D159" s="369"/>
      <c r="E159" s="369"/>
      <c r="F159" s="369"/>
      <c r="G159" s="369"/>
      <c r="H159" s="369"/>
      <c r="I159" s="369"/>
      <c r="J159" s="369"/>
      <c r="K159" s="369"/>
      <c r="L159" s="369"/>
      <c r="M159" s="371" t="s">
        <v>664</v>
      </c>
      <c r="N159" s="371" t="s">
        <v>734</v>
      </c>
      <c r="O159" s="371" t="s">
        <v>541</v>
      </c>
      <c r="P159" s="372">
        <v>696</v>
      </c>
      <c r="Q159" s="371" t="s">
        <v>666</v>
      </c>
      <c r="R159" s="372">
        <v>556</v>
      </c>
      <c r="S159" s="371" t="s">
        <v>876</v>
      </c>
      <c r="T159" s="371" t="s">
        <v>678</v>
      </c>
      <c r="U159" s="373" t="s">
        <v>59</v>
      </c>
      <c r="V159" s="373">
        <v>1</v>
      </c>
      <c r="W159" s="371" t="s">
        <v>686</v>
      </c>
      <c r="X159" s="372">
        <v>552.5</v>
      </c>
      <c r="Y159" s="371"/>
      <c r="Z159" s="373"/>
      <c r="AA159" s="372"/>
      <c r="AB159" s="372"/>
      <c r="AC159" s="372" t="s">
        <v>686</v>
      </c>
      <c r="AD159" s="372">
        <v>552.5</v>
      </c>
      <c r="AE159" s="372">
        <v>651.95000000000005</v>
      </c>
      <c r="AF159" s="373" t="s">
        <v>735</v>
      </c>
      <c r="AG159" s="371" t="s">
        <v>681</v>
      </c>
      <c r="AH159" s="374">
        <v>42839</v>
      </c>
      <c r="AI159" s="374">
        <v>42839</v>
      </c>
      <c r="AJ159" s="374">
        <v>42845</v>
      </c>
      <c r="AK159" s="374">
        <v>42829</v>
      </c>
      <c r="AL159" s="371"/>
      <c r="AM159" s="371"/>
      <c r="AN159" s="374"/>
      <c r="AO159" s="371"/>
      <c r="AP159" s="374"/>
      <c r="AQ159" s="374"/>
      <c r="AR159" s="374"/>
      <c r="AS159" s="374"/>
      <c r="AT159" s="374"/>
      <c r="AU159" s="371"/>
      <c r="AV159" s="371"/>
    </row>
    <row r="160" spans="1:48" s="20" customFormat="1" ht="112.5" x14ac:dyDescent="0.2">
      <c r="A160" s="369"/>
      <c r="B160" s="370" t="s">
        <v>647</v>
      </c>
      <c r="C160" s="370" t="s">
        <v>63</v>
      </c>
      <c r="D160" s="369"/>
      <c r="E160" s="369"/>
      <c r="F160" s="369"/>
      <c r="G160" s="369"/>
      <c r="H160" s="369"/>
      <c r="I160" s="369"/>
      <c r="J160" s="369"/>
      <c r="K160" s="369"/>
      <c r="L160" s="369"/>
      <c r="M160" s="371" t="s">
        <v>747</v>
      </c>
      <c r="N160" s="371" t="s">
        <v>801</v>
      </c>
      <c r="O160" s="371" t="s">
        <v>541</v>
      </c>
      <c r="P160" s="372">
        <v>2454.04</v>
      </c>
      <c r="Q160" s="371" t="s">
        <v>666</v>
      </c>
      <c r="R160" s="372">
        <v>2146.94</v>
      </c>
      <c r="S160" s="371" t="s">
        <v>876</v>
      </c>
      <c r="T160" s="371" t="s">
        <v>683</v>
      </c>
      <c r="U160" s="373" t="s">
        <v>63</v>
      </c>
      <c r="V160" s="373">
        <v>2</v>
      </c>
      <c r="W160" s="371" t="s">
        <v>728</v>
      </c>
      <c r="X160" s="372">
        <v>2144.79</v>
      </c>
      <c r="Y160" s="371"/>
      <c r="Z160" s="373"/>
      <c r="AA160" s="372"/>
      <c r="AB160" s="372"/>
      <c r="AC160" s="372" t="s">
        <v>728</v>
      </c>
      <c r="AD160" s="372">
        <v>2144.79</v>
      </c>
      <c r="AE160" s="372">
        <v>2144.79</v>
      </c>
      <c r="AF160" s="373" t="s">
        <v>802</v>
      </c>
      <c r="AG160" s="371" t="s">
        <v>654</v>
      </c>
      <c r="AH160" s="374">
        <v>42661</v>
      </c>
      <c r="AI160" s="374">
        <v>42661</v>
      </c>
      <c r="AJ160" s="374">
        <v>42709</v>
      </c>
      <c r="AK160" s="374">
        <v>42746</v>
      </c>
      <c r="AL160" s="371"/>
      <c r="AM160" s="371"/>
      <c r="AN160" s="374"/>
      <c r="AO160" s="371"/>
      <c r="AP160" s="374" t="s">
        <v>928</v>
      </c>
      <c r="AQ160" s="374" t="s">
        <v>928</v>
      </c>
      <c r="AR160" s="374" t="s">
        <v>928</v>
      </c>
      <c r="AS160" s="374" t="s">
        <v>928</v>
      </c>
      <c r="AT160" s="374" t="s">
        <v>929</v>
      </c>
      <c r="AU160" s="371"/>
      <c r="AV160" s="371"/>
    </row>
    <row r="161" spans="1:48" s="20" customFormat="1" ht="11.25" x14ac:dyDescent="0.2">
      <c r="A161" s="369"/>
      <c r="B161" s="370"/>
      <c r="C161" s="370"/>
      <c r="D161" s="369"/>
      <c r="E161" s="369"/>
      <c r="F161" s="369"/>
      <c r="G161" s="369"/>
      <c r="H161" s="369"/>
      <c r="I161" s="369"/>
      <c r="J161" s="369"/>
      <c r="K161" s="369"/>
      <c r="L161" s="369"/>
      <c r="M161" s="371"/>
      <c r="N161" s="371"/>
      <c r="O161" s="371"/>
      <c r="P161" s="372"/>
      <c r="Q161" s="371"/>
      <c r="R161" s="372"/>
      <c r="S161" s="371"/>
      <c r="T161" s="371"/>
      <c r="U161" s="373"/>
      <c r="V161" s="373"/>
      <c r="W161" s="371" t="s">
        <v>780</v>
      </c>
      <c r="X161" s="372">
        <v>2146.94</v>
      </c>
      <c r="Y161" s="371" t="s">
        <v>780</v>
      </c>
      <c r="Z161" s="374"/>
      <c r="AA161" s="372"/>
      <c r="AB161" s="372"/>
      <c r="AC161" s="372"/>
      <c r="AD161" s="372"/>
      <c r="AE161" s="372"/>
      <c r="AF161" s="373"/>
      <c r="AG161" s="371"/>
      <c r="AH161" s="374"/>
      <c r="AI161" s="374"/>
      <c r="AJ161" s="374"/>
      <c r="AK161" s="374"/>
      <c r="AL161" s="371"/>
      <c r="AM161" s="371"/>
      <c r="AN161" s="374"/>
      <c r="AO161" s="371"/>
      <c r="AP161" s="374"/>
      <c r="AQ161" s="374"/>
      <c r="AR161" s="374"/>
      <c r="AS161" s="374"/>
      <c r="AT161" s="374"/>
      <c r="AU161" s="371"/>
      <c r="AV161" s="371"/>
    </row>
    <row r="162" spans="1:48" s="20" customFormat="1" ht="33.75" x14ac:dyDescent="0.2">
      <c r="A162" s="369"/>
      <c r="B162" s="370" t="s">
        <v>647</v>
      </c>
      <c r="C162" s="370" t="s">
        <v>64</v>
      </c>
      <c r="D162" s="369"/>
      <c r="E162" s="369"/>
      <c r="F162" s="369"/>
      <c r="G162" s="369"/>
      <c r="H162" s="369"/>
      <c r="I162" s="369"/>
      <c r="J162" s="369"/>
      <c r="K162" s="369"/>
      <c r="L162" s="369"/>
      <c r="M162" s="371" t="s">
        <v>649</v>
      </c>
      <c r="N162" s="371" t="s">
        <v>830</v>
      </c>
      <c r="O162" s="371" t="s">
        <v>541</v>
      </c>
      <c r="P162" s="372">
        <v>19228.87</v>
      </c>
      <c r="Q162" s="371" t="s">
        <v>651</v>
      </c>
      <c r="R162" s="372">
        <v>16905.509999999998</v>
      </c>
      <c r="S162" s="371" t="s">
        <v>876</v>
      </c>
      <c r="T162" s="371" t="s">
        <v>877</v>
      </c>
      <c r="U162" s="373"/>
      <c r="V162" s="373"/>
      <c r="W162" s="371"/>
      <c r="X162" s="372"/>
      <c r="Y162" s="371"/>
      <c r="Z162" s="373"/>
      <c r="AA162" s="372"/>
      <c r="AB162" s="372"/>
      <c r="AC162" s="372"/>
      <c r="AD162" s="372"/>
      <c r="AE162" s="372"/>
      <c r="AF162" s="373" t="s">
        <v>930</v>
      </c>
      <c r="AG162" s="371" t="s">
        <v>654</v>
      </c>
      <c r="AH162" s="374">
        <v>42849</v>
      </c>
      <c r="AI162" s="374">
        <v>42849</v>
      </c>
      <c r="AJ162" s="374">
        <v>42860</v>
      </c>
      <c r="AK162" s="374">
        <v>42859</v>
      </c>
      <c r="AL162" s="371"/>
      <c r="AM162" s="371"/>
      <c r="AN162" s="374"/>
      <c r="AO162" s="371"/>
      <c r="AP162" s="374"/>
      <c r="AQ162" s="374"/>
      <c r="AR162" s="374"/>
      <c r="AS162" s="374"/>
      <c r="AT162" s="374"/>
      <c r="AU162" s="371"/>
      <c r="AV162" s="371" t="s">
        <v>807</v>
      </c>
    </row>
    <row r="163" spans="1:48" s="20" customFormat="1" ht="90" x14ac:dyDescent="0.2">
      <c r="A163" s="369"/>
      <c r="B163" s="370" t="s">
        <v>647</v>
      </c>
      <c r="C163" s="370" t="s">
        <v>64</v>
      </c>
      <c r="D163" s="369"/>
      <c r="E163" s="369"/>
      <c r="F163" s="369"/>
      <c r="G163" s="369"/>
      <c r="H163" s="369"/>
      <c r="I163" s="369"/>
      <c r="J163" s="369"/>
      <c r="K163" s="369"/>
      <c r="L163" s="369"/>
      <c r="M163" s="371" t="s">
        <v>747</v>
      </c>
      <c r="N163" s="371" t="s">
        <v>803</v>
      </c>
      <c r="O163" s="371" t="s">
        <v>541</v>
      </c>
      <c r="P163" s="372">
        <v>2847.86</v>
      </c>
      <c r="Q163" s="371" t="s">
        <v>666</v>
      </c>
      <c r="R163" s="372">
        <v>2512.5500000000002</v>
      </c>
      <c r="S163" s="371" t="s">
        <v>876</v>
      </c>
      <c r="T163" s="371" t="s">
        <v>682</v>
      </c>
      <c r="U163" s="373" t="s">
        <v>62</v>
      </c>
      <c r="V163" s="373">
        <v>2</v>
      </c>
      <c r="W163" s="371" t="s">
        <v>799</v>
      </c>
      <c r="X163" s="372">
        <v>2511.25</v>
      </c>
      <c r="Y163" s="371"/>
      <c r="Z163" s="373">
        <v>1</v>
      </c>
      <c r="AA163" s="372">
        <v>2511.25</v>
      </c>
      <c r="AB163" s="372">
        <v>2511.25</v>
      </c>
      <c r="AC163" s="372" t="s">
        <v>799</v>
      </c>
      <c r="AD163" s="372">
        <v>2511.25</v>
      </c>
      <c r="AE163" s="372">
        <v>2511.25</v>
      </c>
      <c r="AF163" s="373" t="s">
        <v>804</v>
      </c>
      <c r="AG163" s="371" t="s">
        <v>654</v>
      </c>
      <c r="AH163" s="374">
        <v>42849</v>
      </c>
      <c r="AI163" s="374">
        <v>42849</v>
      </c>
      <c r="AJ163" s="374">
        <v>42874</v>
      </c>
      <c r="AK163" s="374">
        <v>42908</v>
      </c>
      <c r="AL163" s="371"/>
      <c r="AM163" s="371"/>
      <c r="AN163" s="374"/>
      <c r="AO163" s="371"/>
      <c r="AP163" s="374"/>
      <c r="AQ163" s="374"/>
      <c r="AR163" s="374"/>
      <c r="AS163" s="374"/>
      <c r="AT163" s="374"/>
      <c r="AU163" s="371"/>
      <c r="AV163" s="371"/>
    </row>
    <row r="164" spans="1:48" s="20" customFormat="1" ht="33.75" x14ac:dyDescent="0.2">
      <c r="A164" s="369"/>
      <c r="B164" s="370"/>
      <c r="C164" s="370"/>
      <c r="D164" s="369"/>
      <c r="E164" s="369"/>
      <c r="F164" s="369"/>
      <c r="G164" s="369"/>
      <c r="H164" s="369"/>
      <c r="I164" s="369"/>
      <c r="J164" s="369"/>
      <c r="K164" s="369"/>
      <c r="L164" s="369"/>
      <c r="M164" s="371"/>
      <c r="N164" s="371"/>
      <c r="O164" s="371"/>
      <c r="P164" s="372"/>
      <c r="Q164" s="371"/>
      <c r="R164" s="372"/>
      <c r="S164" s="371"/>
      <c r="T164" s="371"/>
      <c r="U164" s="373"/>
      <c r="V164" s="373"/>
      <c r="W164" s="371" t="s">
        <v>835</v>
      </c>
      <c r="X164" s="372">
        <v>2512.4499999999998</v>
      </c>
      <c r="Y164" s="371"/>
      <c r="Z164" s="374"/>
      <c r="AA164" s="372">
        <v>2512.4499999999998</v>
      </c>
      <c r="AB164" s="372">
        <v>2512.4499999999998</v>
      </c>
      <c r="AC164" s="372"/>
      <c r="AD164" s="372"/>
      <c r="AE164" s="372"/>
      <c r="AF164" s="373"/>
      <c r="AG164" s="371"/>
      <c r="AH164" s="374"/>
      <c r="AI164" s="374"/>
      <c r="AJ164" s="374"/>
      <c r="AK164" s="374"/>
      <c r="AL164" s="371"/>
      <c r="AM164" s="371"/>
      <c r="AN164" s="374"/>
      <c r="AO164" s="371"/>
      <c r="AP164" s="374"/>
      <c r="AQ164" s="374"/>
      <c r="AR164" s="374"/>
      <c r="AS164" s="374"/>
      <c r="AT164" s="374"/>
      <c r="AU164" s="371"/>
      <c r="AV164" s="371"/>
    </row>
    <row r="165" spans="1:48" s="20" customFormat="1" ht="33.75" x14ac:dyDescent="0.2">
      <c r="A165" s="369"/>
      <c r="B165" s="370" t="s">
        <v>647</v>
      </c>
      <c r="C165" s="370" t="s">
        <v>64</v>
      </c>
      <c r="D165" s="369"/>
      <c r="E165" s="369"/>
      <c r="F165" s="369"/>
      <c r="G165" s="369"/>
      <c r="H165" s="369"/>
      <c r="I165" s="369"/>
      <c r="J165" s="369"/>
      <c r="K165" s="369"/>
      <c r="L165" s="369"/>
      <c r="M165" s="371" t="s">
        <v>747</v>
      </c>
      <c r="N165" s="371" t="s">
        <v>805</v>
      </c>
      <c r="O165" s="371" t="s">
        <v>541</v>
      </c>
      <c r="P165" s="372">
        <v>3759.7</v>
      </c>
      <c r="Q165" s="371" t="s">
        <v>666</v>
      </c>
      <c r="R165" s="372">
        <v>3413.85</v>
      </c>
      <c r="S165" s="371" t="s">
        <v>876</v>
      </c>
      <c r="T165" s="371" t="s">
        <v>682</v>
      </c>
      <c r="U165" s="373"/>
      <c r="V165" s="373"/>
      <c r="W165" s="371"/>
      <c r="X165" s="372"/>
      <c r="Y165" s="371"/>
      <c r="Z165" s="373"/>
      <c r="AA165" s="372"/>
      <c r="AB165" s="372"/>
      <c r="AC165" s="372"/>
      <c r="AD165" s="372"/>
      <c r="AE165" s="372"/>
      <c r="AF165" s="373" t="s">
        <v>806</v>
      </c>
      <c r="AG165" s="371" t="s">
        <v>654</v>
      </c>
      <c r="AH165" s="374">
        <v>42845</v>
      </c>
      <c r="AI165" s="374">
        <v>42845</v>
      </c>
      <c r="AJ165" s="374">
        <v>42900</v>
      </c>
      <c r="AK165" s="374">
        <v>42900</v>
      </c>
      <c r="AL165" s="371"/>
      <c r="AM165" s="371"/>
      <c r="AN165" s="374"/>
      <c r="AO165" s="371"/>
      <c r="AP165" s="374"/>
      <c r="AQ165" s="374"/>
      <c r="AR165" s="374"/>
      <c r="AS165" s="374"/>
      <c r="AT165" s="374"/>
      <c r="AU165" s="371"/>
      <c r="AV165" s="371" t="s">
        <v>807</v>
      </c>
    </row>
    <row r="166" spans="1:48" s="20" customFormat="1" ht="45" x14ac:dyDescent="0.2">
      <c r="A166" s="369"/>
      <c r="B166" s="370" t="s">
        <v>647</v>
      </c>
      <c r="C166" s="370" t="s">
        <v>64</v>
      </c>
      <c r="D166" s="369"/>
      <c r="E166" s="369"/>
      <c r="F166" s="369"/>
      <c r="G166" s="369"/>
      <c r="H166" s="369"/>
      <c r="I166" s="369"/>
      <c r="J166" s="369"/>
      <c r="K166" s="369"/>
      <c r="L166" s="369"/>
      <c r="M166" s="371" t="s">
        <v>649</v>
      </c>
      <c r="N166" s="371" t="s">
        <v>808</v>
      </c>
      <c r="O166" s="371" t="s">
        <v>541</v>
      </c>
      <c r="P166" s="372">
        <v>23466.76</v>
      </c>
      <c r="Q166" s="371" t="s">
        <v>651</v>
      </c>
      <c r="R166" s="372">
        <v>20609.669999999998</v>
      </c>
      <c r="S166" s="371" t="s">
        <v>876</v>
      </c>
      <c r="T166" s="371" t="s">
        <v>877</v>
      </c>
      <c r="U166" s="373" t="s">
        <v>54</v>
      </c>
      <c r="V166" s="373">
        <v>3</v>
      </c>
      <c r="W166" s="371" t="s">
        <v>764</v>
      </c>
      <c r="X166" s="372">
        <v>20506.62</v>
      </c>
      <c r="Y166" s="371"/>
      <c r="Z166" s="373">
        <v>1</v>
      </c>
      <c r="AA166" s="372">
        <v>20506.62</v>
      </c>
      <c r="AB166" s="372">
        <v>20506.62</v>
      </c>
      <c r="AC166" s="372" t="s">
        <v>764</v>
      </c>
      <c r="AD166" s="372">
        <v>20506.62</v>
      </c>
      <c r="AE166" s="372">
        <v>20506.62</v>
      </c>
      <c r="AF166" s="373" t="s">
        <v>809</v>
      </c>
      <c r="AG166" s="371" t="s">
        <v>654</v>
      </c>
      <c r="AH166" s="374">
        <v>42842</v>
      </c>
      <c r="AI166" s="374">
        <v>42842</v>
      </c>
      <c r="AJ166" s="374">
        <v>42849</v>
      </c>
      <c r="AK166" s="374">
        <v>42879</v>
      </c>
      <c r="AL166" s="371"/>
      <c r="AM166" s="371"/>
      <c r="AN166" s="374"/>
      <c r="AO166" s="371"/>
      <c r="AP166" s="374" t="s">
        <v>931</v>
      </c>
      <c r="AQ166" s="374" t="s">
        <v>931</v>
      </c>
      <c r="AR166" s="374" t="s">
        <v>931</v>
      </c>
      <c r="AS166" s="374" t="s">
        <v>931</v>
      </c>
      <c r="AT166" s="374" t="s">
        <v>932</v>
      </c>
      <c r="AU166" s="371"/>
      <c r="AV166" s="371"/>
    </row>
    <row r="167" spans="1:48" s="20" customFormat="1" ht="22.5" x14ac:dyDescent="0.2">
      <c r="A167" s="369"/>
      <c r="B167" s="370"/>
      <c r="C167" s="370"/>
      <c r="D167" s="369"/>
      <c r="E167" s="369"/>
      <c r="F167" s="369"/>
      <c r="G167" s="369"/>
      <c r="H167" s="369"/>
      <c r="I167" s="369"/>
      <c r="J167" s="369"/>
      <c r="K167" s="369"/>
      <c r="L167" s="369"/>
      <c r="M167" s="371"/>
      <c r="N167" s="371"/>
      <c r="O167" s="371"/>
      <c r="P167" s="372"/>
      <c r="Q167" s="371"/>
      <c r="R167" s="372"/>
      <c r="S167" s="371"/>
      <c r="T167" s="371"/>
      <c r="U167" s="373"/>
      <c r="V167" s="373"/>
      <c r="W167" s="371" t="s">
        <v>758</v>
      </c>
      <c r="X167" s="372">
        <v>20609.669999999998</v>
      </c>
      <c r="Y167" s="371"/>
      <c r="Z167" s="374"/>
      <c r="AA167" s="372">
        <v>20609.669999999998</v>
      </c>
      <c r="AB167" s="372">
        <v>20609.669999999998</v>
      </c>
      <c r="AC167" s="372"/>
      <c r="AD167" s="372"/>
      <c r="AE167" s="372"/>
      <c r="AF167" s="373"/>
      <c r="AG167" s="371"/>
      <c r="AH167" s="374"/>
      <c r="AI167" s="374"/>
      <c r="AJ167" s="374"/>
      <c r="AK167" s="374"/>
      <c r="AL167" s="371"/>
      <c r="AM167" s="371"/>
      <c r="AN167" s="374"/>
      <c r="AO167" s="371"/>
      <c r="AP167" s="374"/>
      <c r="AQ167" s="374"/>
      <c r="AR167" s="374"/>
      <c r="AS167" s="374"/>
      <c r="AT167" s="374"/>
      <c r="AU167" s="371"/>
      <c r="AV167" s="371"/>
    </row>
    <row r="168" spans="1:48" s="20" customFormat="1" ht="22.5" x14ac:dyDescent="0.2">
      <c r="A168" s="369"/>
      <c r="B168" s="370"/>
      <c r="C168" s="370"/>
      <c r="D168" s="369"/>
      <c r="E168" s="369"/>
      <c r="F168" s="369"/>
      <c r="G168" s="369"/>
      <c r="H168" s="369"/>
      <c r="I168" s="369"/>
      <c r="J168" s="369"/>
      <c r="K168" s="369"/>
      <c r="L168" s="369"/>
      <c r="M168" s="371"/>
      <c r="N168" s="371"/>
      <c r="O168" s="371"/>
      <c r="P168" s="372"/>
      <c r="Q168" s="371"/>
      <c r="R168" s="372"/>
      <c r="S168" s="371"/>
      <c r="T168" s="371"/>
      <c r="U168" s="373"/>
      <c r="V168" s="373"/>
      <c r="W168" s="371" t="s">
        <v>880</v>
      </c>
      <c r="X168" s="372">
        <v>20609.669999999998</v>
      </c>
      <c r="Y168" s="371"/>
      <c r="Z168" s="374"/>
      <c r="AA168" s="372">
        <v>20609.669999999998</v>
      </c>
      <c r="AB168" s="372">
        <v>20609.669999999998</v>
      </c>
      <c r="AC168" s="372"/>
      <c r="AD168" s="372"/>
      <c r="AE168" s="372"/>
      <c r="AF168" s="373"/>
      <c r="AG168" s="371"/>
      <c r="AH168" s="374"/>
      <c r="AI168" s="374"/>
      <c r="AJ168" s="374"/>
      <c r="AK168" s="374"/>
      <c r="AL168" s="371"/>
      <c r="AM168" s="371"/>
      <c r="AN168" s="374"/>
      <c r="AO168" s="371"/>
      <c r="AP168" s="374"/>
      <c r="AQ168" s="374"/>
      <c r="AR168" s="374"/>
      <c r="AS168" s="374"/>
      <c r="AT168" s="374"/>
      <c r="AU168" s="371"/>
      <c r="AV168" s="371"/>
    </row>
    <row r="169" spans="1:48" s="20" customFormat="1" ht="56.25" x14ac:dyDescent="0.2">
      <c r="A169" s="369"/>
      <c r="B169" s="370" t="s">
        <v>647</v>
      </c>
      <c r="C169" s="370" t="s">
        <v>64</v>
      </c>
      <c r="D169" s="369"/>
      <c r="E169" s="369"/>
      <c r="F169" s="369"/>
      <c r="G169" s="369"/>
      <c r="H169" s="369"/>
      <c r="I169" s="369"/>
      <c r="J169" s="369"/>
      <c r="K169" s="369"/>
      <c r="L169" s="369"/>
      <c r="M169" s="371" t="s">
        <v>649</v>
      </c>
      <c r="N169" s="371" t="s">
        <v>933</v>
      </c>
      <c r="O169" s="371" t="s">
        <v>541</v>
      </c>
      <c r="P169" s="372">
        <v>5328.28</v>
      </c>
      <c r="Q169" s="371" t="s">
        <v>651</v>
      </c>
      <c r="R169" s="372">
        <v>4668.03</v>
      </c>
      <c r="S169" s="371" t="s">
        <v>876</v>
      </c>
      <c r="T169" s="371" t="s">
        <v>683</v>
      </c>
      <c r="U169" s="373" t="s">
        <v>64</v>
      </c>
      <c r="V169" s="373">
        <v>1</v>
      </c>
      <c r="W169" s="371" t="s">
        <v>914</v>
      </c>
      <c r="X169" s="372">
        <v>4668</v>
      </c>
      <c r="Y169" s="371"/>
      <c r="Z169" s="373"/>
      <c r="AA169" s="372"/>
      <c r="AB169" s="372"/>
      <c r="AC169" s="372" t="s">
        <v>914</v>
      </c>
      <c r="AD169" s="372">
        <v>4668</v>
      </c>
      <c r="AE169" s="372">
        <v>4668</v>
      </c>
      <c r="AF169" s="373" t="s">
        <v>934</v>
      </c>
      <c r="AG169" s="371" t="s">
        <v>654</v>
      </c>
      <c r="AH169" s="374">
        <v>42835</v>
      </c>
      <c r="AI169" s="374">
        <v>42835</v>
      </c>
      <c r="AJ169" s="374">
        <v>42892</v>
      </c>
      <c r="AK169" s="374">
        <v>42912</v>
      </c>
      <c r="AL169" s="371"/>
      <c r="AM169" s="371"/>
      <c r="AN169" s="374"/>
      <c r="AO169" s="371"/>
      <c r="AP169" s="374"/>
      <c r="AQ169" s="374"/>
      <c r="AR169" s="374"/>
      <c r="AS169" s="374"/>
      <c r="AT169" s="374"/>
      <c r="AU169" s="371"/>
      <c r="AV169" s="371" t="s">
        <v>935</v>
      </c>
    </row>
    <row r="170" spans="1:48" s="20" customFormat="1" ht="33.75" x14ac:dyDescent="0.2">
      <c r="A170" s="369"/>
      <c r="B170" s="370" t="s">
        <v>647</v>
      </c>
      <c r="C170" s="370" t="s">
        <v>64</v>
      </c>
      <c r="D170" s="369"/>
      <c r="E170" s="369"/>
      <c r="F170" s="369"/>
      <c r="G170" s="369"/>
      <c r="H170" s="369"/>
      <c r="I170" s="369"/>
      <c r="J170" s="369"/>
      <c r="K170" s="369"/>
      <c r="L170" s="369"/>
      <c r="M170" s="371" t="s">
        <v>747</v>
      </c>
      <c r="N170" s="371" t="s">
        <v>810</v>
      </c>
      <c r="O170" s="371" t="s">
        <v>541</v>
      </c>
      <c r="P170" s="372">
        <v>3158.17</v>
      </c>
      <c r="Q170" s="371" t="s">
        <v>666</v>
      </c>
      <c r="R170" s="372">
        <v>2797.06</v>
      </c>
      <c r="S170" s="371" t="s">
        <v>876</v>
      </c>
      <c r="T170" s="371" t="s">
        <v>682</v>
      </c>
      <c r="U170" s="373" t="s">
        <v>63</v>
      </c>
      <c r="V170" s="373">
        <v>2</v>
      </c>
      <c r="W170" s="371" t="s">
        <v>811</v>
      </c>
      <c r="X170" s="372">
        <v>2767</v>
      </c>
      <c r="Y170" s="371"/>
      <c r="Z170" s="373">
        <v>1</v>
      </c>
      <c r="AA170" s="372">
        <v>2767</v>
      </c>
      <c r="AB170" s="372">
        <v>2767</v>
      </c>
      <c r="AC170" s="372" t="s">
        <v>811</v>
      </c>
      <c r="AD170" s="372">
        <v>2767</v>
      </c>
      <c r="AE170" s="372">
        <v>2767</v>
      </c>
      <c r="AF170" s="373" t="s">
        <v>812</v>
      </c>
      <c r="AG170" s="371" t="s">
        <v>654</v>
      </c>
      <c r="AH170" s="374">
        <v>42829</v>
      </c>
      <c r="AI170" s="374">
        <v>42829</v>
      </c>
      <c r="AJ170" s="374">
        <v>42845</v>
      </c>
      <c r="AK170" s="374">
        <v>42884</v>
      </c>
      <c r="AL170" s="371"/>
      <c r="AM170" s="371"/>
      <c r="AN170" s="374"/>
      <c r="AO170" s="371"/>
      <c r="AP170" s="374"/>
      <c r="AQ170" s="374"/>
      <c r="AR170" s="374"/>
      <c r="AS170" s="374"/>
      <c r="AT170" s="374"/>
      <c r="AU170" s="371"/>
      <c r="AV170" s="371"/>
    </row>
    <row r="171" spans="1:48" s="20" customFormat="1" ht="22.5" x14ac:dyDescent="0.2">
      <c r="A171" s="369"/>
      <c r="B171" s="370"/>
      <c r="C171" s="370"/>
      <c r="D171" s="369"/>
      <c r="E171" s="369"/>
      <c r="F171" s="369"/>
      <c r="G171" s="369"/>
      <c r="H171" s="369"/>
      <c r="I171" s="369"/>
      <c r="J171" s="369"/>
      <c r="K171" s="369"/>
      <c r="L171" s="369"/>
      <c r="M171" s="371"/>
      <c r="N171" s="371"/>
      <c r="O171" s="371"/>
      <c r="P171" s="372"/>
      <c r="Q171" s="371"/>
      <c r="R171" s="372"/>
      <c r="S171" s="371"/>
      <c r="T171" s="371"/>
      <c r="U171" s="373"/>
      <c r="V171" s="373"/>
      <c r="W171" s="371" t="s">
        <v>758</v>
      </c>
      <c r="X171" s="372">
        <v>2797.06</v>
      </c>
      <c r="Y171" s="371"/>
      <c r="Z171" s="374"/>
      <c r="AA171" s="372">
        <v>2797.06</v>
      </c>
      <c r="AB171" s="372">
        <v>2797.06</v>
      </c>
      <c r="AC171" s="372"/>
      <c r="AD171" s="372"/>
      <c r="AE171" s="372"/>
      <c r="AF171" s="373"/>
      <c r="AG171" s="371"/>
      <c r="AH171" s="374"/>
      <c r="AI171" s="374"/>
      <c r="AJ171" s="374"/>
      <c r="AK171" s="374"/>
      <c r="AL171" s="371"/>
      <c r="AM171" s="371"/>
      <c r="AN171" s="374"/>
      <c r="AO171" s="371"/>
      <c r="AP171" s="374"/>
      <c r="AQ171" s="374"/>
      <c r="AR171" s="374"/>
      <c r="AS171" s="374"/>
      <c r="AT171" s="374"/>
      <c r="AU171" s="371"/>
      <c r="AV171" s="371"/>
    </row>
    <row r="172" spans="1:48" s="20" customFormat="1" ht="33.75" x14ac:dyDescent="0.2">
      <c r="A172" s="369"/>
      <c r="B172" s="370" t="s">
        <v>647</v>
      </c>
      <c r="C172" s="370" t="s">
        <v>64</v>
      </c>
      <c r="D172" s="369"/>
      <c r="E172" s="369"/>
      <c r="F172" s="369"/>
      <c r="G172" s="369"/>
      <c r="H172" s="369"/>
      <c r="I172" s="369"/>
      <c r="J172" s="369"/>
      <c r="K172" s="369"/>
      <c r="L172" s="369"/>
      <c r="M172" s="371" t="s">
        <v>649</v>
      </c>
      <c r="N172" s="371" t="s">
        <v>813</v>
      </c>
      <c r="O172" s="371" t="s">
        <v>541</v>
      </c>
      <c r="P172" s="372">
        <v>3115.87</v>
      </c>
      <c r="Q172" s="371" t="s">
        <v>651</v>
      </c>
      <c r="R172" s="372">
        <v>2743.92</v>
      </c>
      <c r="S172" s="371" t="s">
        <v>876</v>
      </c>
      <c r="T172" s="371" t="s">
        <v>877</v>
      </c>
      <c r="U172" s="373" t="s">
        <v>62</v>
      </c>
      <c r="V172" s="373">
        <v>2</v>
      </c>
      <c r="W172" s="371" t="s">
        <v>758</v>
      </c>
      <c r="X172" s="372">
        <v>2743.92</v>
      </c>
      <c r="Y172" s="371"/>
      <c r="Z172" s="373">
        <v>1</v>
      </c>
      <c r="AA172" s="372">
        <v>2743.92</v>
      </c>
      <c r="AB172" s="372">
        <v>2743.92</v>
      </c>
      <c r="AC172" s="372" t="s">
        <v>758</v>
      </c>
      <c r="AD172" s="372">
        <v>2743.92</v>
      </c>
      <c r="AE172" s="372">
        <v>2743.92</v>
      </c>
      <c r="AF172" s="373" t="s">
        <v>814</v>
      </c>
      <c r="AG172" s="371" t="s">
        <v>654</v>
      </c>
      <c r="AH172" s="374">
        <v>42878</v>
      </c>
      <c r="AI172" s="374">
        <v>42878</v>
      </c>
      <c r="AJ172" s="374">
        <v>42884</v>
      </c>
      <c r="AK172" s="374">
        <v>42919</v>
      </c>
      <c r="AL172" s="371"/>
      <c r="AM172" s="371"/>
      <c r="AN172" s="374"/>
      <c r="AO172" s="371"/>
      <c r="AP172" s="374"/>
      <c r="AQ172" s="374"/>
      <c r="AR172" s="374"/>
      <c r="AS172" s="374"/>
      <c r="AT172" s="374"/>
      <c r="AU172" s="371"/>
      <c r="AV172" s="371"/>
    </row>
    <row r="173" spans="1:48" s="20" customFormat="1" ht="22.5" x14ac:dyDescent="0.2">
      <c r="A173" s="369"/>
      <c r="B173" s="370"/>
      <c r="C173" s="370"/>
      <c r="D173" s="369"/>
      <c r="E173" s="369"/>
      <c r="F173" s="369"/>
      <c r="G173" s="369"/>
      <c r="H173" s="369"/>
      <c r="I173" s="369"/>
      <c r="J173" s="369"/>
      <c r="K173" s="369"/>
      <c r="L173" s="369"/>
      <c r="M173" s="371"/>
      <c r="N173" s="371"/>
      <c r="O173" s="371"/>
      <c r="P173" s="372"/>
      <c r="Q173" s="371"/>
      <c r="R173" s="372"/>
      <c r="S173" s="371"/>
      <c r="T173" s="371"/>
      <c r="U173" s="373"/>
      <c r="V173" s="373"/>
      <c r="W173" s="371" t="s">
        <v>728</v>
      </c>
      <c r="X173" s="372">
        <v>2743.92</v>
      </c>
      <c r="Y173" s="371"/>
      <c r="Z173" s="374"/>
      <c r="AA173" s="372">
        <v>2743.92</v>
      </c>
      <c r="AB173" s="372">
        <v>2743.92</v>
      </c>
      <c r="AC173" s="372"/>
      <c r="AD173" s="372"/>
      <c r="AE173" s="372"/>
      <c r="AF173" s="373"/>
      <c r="AG173" s="371"/>
      <c r="AH173" s="374"/>
      <c r="AI173" s="374"/>
      <c r="AJ173" s="374"/>
      <c r="AK173" s="374"/>
      <c r="AL173" s="371"/>
      <c r="AM173" s="371"/>
      <c r="AN173" s="374"/>
      <c r="AO173" s="371"/>
      <c r="AP173" s="374"/>
      <c r="AQ173" s="374"/>
      <c r="AR173" s="374"/>
      <c r="AS173" s="374"/>
      <c r="AT173" s="374"/>
      <c r="AU173" s="371"/>
      <c r="AV173" s="371"/>
    </row>
    <row r="174" spans="1:48" s="20" customFormat="1" ht="45" x14ac:dyDescent="0.2">
      <c r="A174" s="369"/>
      <c r="B174" s="370" t="s">
        <v>647</v>
      </c>
      <c r="C174" s="370" t="s">
        <v>64</v>
      </c>
      <c r="D174" s="369"/>
      <c r="E174" s="369"/>
      <c r="F174" s="369"/>
      <c r="G174" s="369"/>
      <c r="H174" s="369"/>
      <c r="I174" s="369"/>
      <c r="J174" s="369"/>
      <c r="K174" s="369"/>
      <c r="L174" s="369"/>
      <c r="M174" s="371" t="s">
        <v>649</v>
      </c>
      <c r="N174" s="371" t="s">
        <v>815</v>
      </c>
      <c r="O174" s="371" t="s">
        <v>541</v>
      </c>
      <c r="P174" s="372">
        <v>6220.78</v>
      </c>
      <c r="Q174" s="371" t="s">
        <v>651</v>
      </c>
      <c r="R174" s="372">
        <v>5474.56</v>
      </c>
      <c r="S174" s="371" t="s">
        <v>876</v>
      </c>
      <c r="T174" s="371" t="s">
        <v>877</v>
      </c>
      <c r="U174" s="373" t="s">
        <v>63</v>
      </c>
      <c r="V174" s="373">
        <v>2</v>
      </c>
      <c r="W174" s="371" t="s">
        <v>728</v>
      </c>
      <c r="X174" s="372">
        <v>5474.56</v>
      </c>
      <c r="Y174" s="371"/>
      <c r="Z174" s="373">
        <v>1</v>
      </c>
      <c r="AA174" s="372">
        <v>5474.56</v>
      </c>
      <c r="AB174" s="372">
        <v>5474.56</v>
      </c>
      <c r="AC174" s="372" t="s">
        <v>728</v>
      </c>
      <c r="AD174" s="372">
        <v>5474.56</v>
      </c>
      <c r="AE174" s="372">
        <v>5474.56</v>
      </c>
      <c r="AF174" s="373" t="s">
        <v>816</v>
      </c>
      <c r="AG174" s="371" t="s">
        <v>654</v>
      </c>
      <c r="AH174" s="374">
        <v>42878</v>
      </c>
      <c r="AI174" s="374">
        <v>42878</v>
      </c>
      <c r="AJ174" s="374">
        <v>42884</v>
      </c>
      <c r="AK174" s="374">
        <v>42919</v>
      </c>
      <c r="AL174" s="371"/>
      <c r="AM174" s="371"/>
      <c r="AN174" s="374"/>
      <c r="AO174" s="371"/>
      <c r="AP174" s="374"/>
      <c r="AQ174" s="374"/>
      <c r="AR174" s="374"/>
      <c r="AS174" s="374"/>
      <c r="AT174" s="374"/>
      <c r="AU174" s="371"/>
      <c r="AV174" s="371"/>
    </row>
    <row r="175" spans="1:48" s="20" customFormat="1" ht="22.5" x14ac:dyDescent="0.2">
      <c r="A175" s="369"/>
      <c r="B175" s="370"/>
      <c r="C175" s="370"/>
      <c r="D175" s="369"/>
      <c r="E175" s="369"/>
      <c r="F175" s="369"/>
      <c r="G175" s="369"/>
      <c r="H175" s="369"/>
      <c r="I175" s="369"/>
      <c r="J175" s="369"/>
      <c r="K175" s="369"/>
      <c r="L175" s="369"/>
      <c r="M175" s="371"/>
      <c r="N175" s="371"/>
      <c r="O175" s="371"/>
      <c r="P175" s="372"/>
      <c r="Q175" s="371"/>
      <c r="R175" s="372"/>
      <c r="S175" s="371"/>
      <c r="T175" s="371"/>
      <c r="U175" s="373"/>
      <c r="V175" s="373"/>
      <c r="W175" s="371" t="s">
        <v>758</v>
      </c>
      <c r="X175" s="372">
        <v>5474.56</v>
      </c>
      <c r="Y175" s="371"/>
      <c r="Z175" s="374"/>
      <c r="AA175" s="372">
        <v>5474.56</v>
      </c>
      <c r="AB175" s="372">
        <v>5474.56</v>
      </c>
      <c r="AC175" s="372"/>
      <c r="AD175" s="372"/>
      <c r="AE175" s="372"/>
      <c r="AF175" s="373"/>
      <c r="AG175" s="371"/>
      <c r="AH175" s="374"/>
      <c r="AI175" s="374"/>
      <c r="AJ175" s="374"/>
      <c r="AK175" s="374"/>
      <c r="AL175" s="371"/>
      <c r="AM175" s="371"/>
      <c r="AN175" s="374"/>
      <c r="AO175" s="371"/>
      <c r="AP175" s="374"/>
      <c r="AQ175" s="374"/>
      <c r="AR175" s="374"/>
      <c r="AS175" s="374"/>
      <c r="AT175" s="374"/>
      <c r="AU175" s="371"/>
      <c r="AV175" s="371"/>
    </row>
    <row r="176" spans="1:48" s="20" customFormat="1" ht="45" x14ac:dyDescent="0.2">
      <c r="A176" s="369"/>
      <c r="B176" s="370" t="s">
        <v>647</v>
      </c>
      <c r="C176" s="370" t="s">
        <v>64</v>
      </c>
      <c r="D176" s="369"/>
      <c r="E176" s="369"/>
      <c r="F176" s="369"/>
      <c r="G176" s="369"/>
      <c r="H176" s="369"/>
      <c r="I176" s="369"/>
      <c r="J176" s="369"/>
      <c r="K176" s="369"/>
      <c r="L176" s="369"/>
      <c r="M176" s="371" t="s">
        <v>649</v>
      </c>
      <c r="N176" s="371" t="s">
        <v>817</v>
      </c>
      <c r="O176" s="371" t="s">
        <v>541</v>
      </c>
      <c r="P176" s="372">
        <v>2679.67</v>
      </c>
      <c r="Q176" s="371" t="s">
        <v>651</v>
      </c>
      <c r="R176" s="372">
        <v>2358.15</v>
      </c>
      <c r="S176" s="371" t="s">
        <v>876</v>
      </c>
      <c r="T176" s="371" t="s">
        <v>936</v>
      </c>
      <c r="U176" s="373" t="s">
        <v>62</v>
      </c>
      <c r="V176" s="373">
        <v>2</v>
      </c>
      <c r="W176" s="371" t="s">
        <v>728</v>
      </c>
      <c r="X176" s="372">
        <v>2358.15</v>
      </c>
      <c r="Y176" s="371"/>
      <c r="Z176" s="373"/>
      <c r="AA176" s="372"/>
      <c r="AB176" s="372"/>
      <c r="AC176" s="372" t="s">
        <v>728</v>
      </c>
      <c r="AD176" s="372">
        <v>2358.15</v>
      </c>
      <c r="AE176" s="372">
        <v>2358.15</v>
      </c>
      <c r="AF176" s="373" t="s">
        <v>818</v>
      </c>
      <c r="AG176" s="371" t="s">
        <v>654</v>
      </c>
      <c r="AH176" s="374">
        <v>42877</v>
      </c>
      <c r="AI176" s="374">
        <v>42877</v>
      </c>
      <c r="AJ176" s="374">
        <v>42915</v>
      </c>
      <c r="AK176" s="374">
        <v>42919</v>
      </c>
      <c r="AL176" s="371"/>
      <c r="AM176" s="371"/>
      <c r="AN176" s="374"/>
      <c r="AO176" s="371"/>
      <c r="AP176" s="374"/>
      <c r="AQ176" s="374"/>
      <c r="AR176" s="374"/>
      <c r="AS176" s="374"/>
      <c r="AT176" s="374"/>
      <c r="AU176" s="371"/>
      <c r="AV176" s="371"/>
    </row>
    <row r="177" spans="1:48" s="20" customFormat="1" ht="22.5" x14ac:dyDescent="0.2">
      <c r="A177" s="369"/>
      <c r="B177" s="370"/>
      <c r="C177" s="370"/>
      <c r="D177" s="369"/>
      <c r="E177" s="369"/>
      <c r="F177" s="369"/>
      <c r="G177" s="369"/>
      <c r="H177" s="369"/>
      <c r="I177" s="369"/>
      <c r="J177" s="369"/>
      <c r="K177" s="369"/>
      <c r="L177" s="369"/>
      <c r="M177" s="371"/>
      <c r="N177" s="371"/>
      <c r="O177" s="371"/>
      <c r="P177" s="372"/>
      <c r="Q177" s="371"/>
      <c r="R177" s="372"/>
      <c r="S177" s="371"/>
      <c r="T177" s="371"/>
      <c r="U177" s="373"/>
      <c r="V177" s="373"/>
      <c r="W177" s="371" t="s">
        <v>758</v>
      </c>
      <c r="X177" s="372">
        <v>2358.15</v>
      </c>
      <c r="Y177" s="371" t="s">
        <v>758</v>
      </c>
      <c r="Z177" s="374"/>
      <c r="AA177" s="372"/>
      <c r="AB177" s="372"/>
      <c r="AC177" s="372"/>
      <c r="AD177" s="372"/>
      <c r="AE177" s="372"/>
      <c r="AF177" s="373"/>
      <c r="AG177" s="371"/>
      <c r="AH177" s="374"/>
      <c r="AI177" s="374"/>
      <c r="AJ177" s="374"/>
      <c r="AK177" s="374"/>
      <c r="AL177" s="371"/>
      <c r="AM177" s="371"/>
      <c r="AN177" s="374"/>
      <c r="AO177" s="371"/>
      <c r="AP177" s="374"/>
      <c r="AQ177" s="374"/>
      <c r="AR177" s="374"/>
      <c r="AS177" s="374"/>
      <c r="AT177" s="374"/>
      <c r="AU177" s="371"/>
      <c r="AV177" s="371"/>
    </row>
    <row r="178" spans="1:48" s="20" customFormat="1" ht="90" x14ac:dyDescent="0.2">
      <c r="A178" s="369"/>
      <c r="B178" s="370" t="s">
        <v>647</v>
      </c>
      <c r="C178" s="370" t="s">
        <v>64</v>
      </c>
      <c r="D178" s="369"/>
      <c r="E178" s="369"/>
      <c r="F178" s="369"/>
      <c r="G178" s="369"/>
      <c r="H178" s="369"/>
      <c r="I178" s="369"/>
      <c r="J178" s="369"/>
      <c r="K178" s="369"/>
      <c r="L178" s="369"/>
      <c r="M178" s="371" t="s">
        <v>747</v>
      </c>
      <c r="N178" s="371" t="s">
        <v>819</v>
      </c>
      <c r="O178" s="371" t="s">
        <v>541</v>
      </c>
      <c r="P178" s="372">
        <v>9766.5400000000009</v>
      </c>
      <c r="Q178" s="371" t="s">
        <v>666</v>
      </c>
      <c r="R178" s="372">
        <v>8729.7099999999991</v>
      </c>
      <c r="S178" s="371" t="s">
        <v>876</v>
      </c>
      <c r="T178" s="371" t="s">
        <v>682</v>
      </c>
      <c r="U178" s="373" t="s">
        <v>63</v>
      </c>
      <c r="V178" s="373" t="s">
        <v>63</v>
      </c>
      <c r="W178" s="371" t="s">
        <v>728</v>
      </c>
      <c r="X178" s="372">
        <v>8686.06</v>
      </c>
      <c r="Y178" s="371"/>
      <c r="Z178" s="373">
        <v>1</v>
      </c>
      <c r="AA178" s="372">
        <v>8686.06</v>
      </c>
      <c r="AB178" s="372">
        <v>8686.06</v>
      </c>
      <c r="AC178" s="372" t="s">
        <v>728</v>
      </c>
      <c r="AD178" s="372">
        <v>8686.06</v>
      </c>
      <c r="AE178" s="372">
        <v>8686.06</v>
      </c>
      <c r="AF178" s="373" t="s">
        <v>820</v>
      </c>
      <c r="AG178" s="371" t="s">
        <v>654</v>
      </c>
      <c r="AH178" s="374">
        <v>42866</v>
      </c>
      <c r="AI178" s="374">
        <v>42866</v>
      </c>
      <c r="AJ178" s="374">
        <v>42893</v>
      </c>
      <c r="AK178" s="374">
        <v>42943</v>
      </c>
      <c r="AL178" s="371"/>
      <c r="AM178" s="371"/>
      <c r="AN178" s="374"/>
      <c r="AO178" s="371"/>
      <c r="AP178" s="374"/>
      <c r="AQ178" s="374"/>
      <c r="AR178" s="374"/>
      <c r="AS178" s="374"/>
      <c r="AT178" s="374"/>
      <c r="AU178" s="371"/>
      <c r="AV178" s="371"/>
    </row>
    <row r="179" spans="1:48" s="20" customFormat="1" ht="22.5" x14ac:dyDescent="0.2">
      <c r="A179" s="369"/>
      <c r="B179" s="370"/>
      <c r="C179" s="370"/>
      <c r="D179" s="369"/>
      <c r="E179" s="369"/>
      <c r="F179" s="369"/>
      <c r="G179" s="369"/>
      <c r="H179" s="369"/>
      <c r="I179" s="369"/>
      <c r="J179" s="369"/>
      <c r="K179" s="369"/>
      <c r="L179" s="369"/>
      <c r="M179" s="371"/>
      <c r="N179" s="371"/>
      <c r="O179" s="371"/>
      <c r="P179" s="372"/>
      <c r="Q179" s="371"/>
      <c r="R179" s="372"/>
      <c r="S179" s="371"/>
      <c r="T179" s="371"/>
      <c r="U179" s="373"/>
      <c r="V179" s="373"/>
      <c r="W179" s="371" t="s">
        <v>758</v>
      </c>
      <c r="X179" s="372">
        <v>8729.7099999999991</v>
      </c>
      <c r="Y179" s="371"/>
      <c r="Z179" s="374"/>
      <c r="AA179" s="372">
        <v>8729.7099999999991</v>
      </c>
      <c r="AB179" s="372">
        <v>8729.7099999999991</v>
      </c>
      <c r="AC179" s="372"/>
      <c r="AD179" s="372"/>
      <c r="AE179" s="372"/>
      <c r="AF179" s="373"/>
      <c r="AG179" s="371"/>
      <c r="AH179" s="374"/>
      <c r="AI179" s="374"/>
      <c r="AJ179" s="374"/>
      <c r="AK179" s="374"/>
      <c r="AL179" s="371"/>
      <c r="AM179" s="371"/>
      <c r="AN179" s="374"/>
      <c r="AO179" s="371"/>
      <c r="AP179" s="374"/>
      <c r="AQ179" s="374"/>
      <c r="AR179" s="374"/>
      <c r="AS179" s="374"/>
      <c r="AT179" s="374"/>
      <c r="AU179" s="371"/>
      <c r="AV179" s="371"/>
    </row>
    <row r="180" spans="1:48" s="20" customFormat="1" ht="33.75" x14ac:dyDescent="0.2">
      <c r="A180" s="375"/>
      <c r="B180" s="370" t="s">
        <v>647</v>
      </c>
      <c r="C180" s="370" t="s">
        <v>64</v>
      </c>
      <c r="D180" s="375"/>
      <c r="E180" s="375"/>
      <c r="F180" s="375"/>
      <c r="G180" s="375"/>
      <c r="H180" s="375"/>
      <c r="I180" s="375"/>
      <c r="J180" s="375"/>
      <c r="K180" s="375"/>
      <c r="L180" s="375"/>
      <c r="M180" s="377" t="s">
        <v>649</v>
      </c>
      <c r="N180" s="377" t="s">
        <v>1013</v>
      </c>
      <c r="O180" s="377" t="s">
        <v>541</v>
      </c>
      <c r="P180" s="378">
        <v>18413.310000000001</v>
      </c>
      <c r="Q180" s="377" t="s">
        <v>651</v>
      </c>
      <c r="R180" s="378">
        <v>16214.49</v>
      </c>
      <c r="S180" s="377" t="s">
        <v>876</v>
      </c>
      <c r="T180" s="377" t="s">
        <v>656</v>
      </c>
      <c r="U180" s="379" t="s">
        <v>56</v>
      </c>
      <c r="V180" s="379" t="s">
        <v>62</v>
      </c>
      <c r="W180" s="377" t="s">
        <v>880</v>
      </c>
      <c r="X180" s="378">
        <v>16214.49</v>
      </c>
      <c r="Y180" s="377"/>
      <c r="Z180" s="380"/>
      <c r="AA180" s="378">
        <v>16214.49</v>
      </c>
      <c r="AB180" s="378">
        <v>16214.49</v>
      </c>
      <c r="AC180" s="378" t="s">
        <v>880</v>
      </c>
      <c r="AD180" s="378">
        <v>16214.49</v>
      </c>
      <c r="AE180" s="378">
        <v>16214.49</v>
      </c>
      <c r="AF180" s="379" t="s">
        <v>1014</v>
      </c>
      <c r="AG180" s="377" t="s">
        <v>654</v>
      </c>
      <c r="AH180" s="380">
        <v>42858</v>
      </c>
      <c r="AI180" s="380">
        <v>42858</v>
      </c>
      <c r="AJ180" s="380">
        <v>42884</v>
      </c>
      <c r="AK180" s="380">
        <v>42919</v>
      </c>
      <c r="AL180" s="377"/>
      <c r="AM180" s="377"/>
      <c r="AN180" s="380"/>
      <c r="AO180" s="377"/>
      <c r="AP180" s="380"/>
      <c r="AQ180" s="380"/>
      <c r="AR180" s="380"/>
      <c r="AS180" s="380"/>
      <c r="AT180" s="380"/>
      <c r="AU180" s="377"/>
      <c r="AV180" s="377"/>
    </row>
    <row r="181" spans="1:48" s="20" customFormat="1" ht="22.5" x14ac:dyDescent="0.2">
      <c r="A181" s="375"/>
      <c r="B181" s="376"/>
      <c r="C181" s="376"/>
      <c r="D181" s="375"/>
      <c r="E181" s="375"/>
      <c r="F181" s="375"/>
      <c r="G181" s="375"/>
      <c r="H181" s="375"/>
      <c r="I181" s="375"/>
      <c r="J181" s="375"/>
      <c r="K181" s="375"/>
      <c r="L181" s="375"/>
      <c r="M181" s="377"/>
      <c r="N181" s="377"/>
      <c r="O181" s="377"/>
      <c r="P181" s="378"/>
      <c r="Q181" s="377"/>
      <c r="R181" s="378"/>
      <c r="S181" s="377"/>
      <c r="T181" s="377"/>
      <c r="U181" s="379"/>
      <c r="V181" s="379"/>
      <c r="W181" s="377" t="s">
        <v>758</v>
      </c>
      <c r="X181" s="378">
        <v>16334.37</v>
      </c>
      <c r="Y181" s="377"/>
      <c r="Z181" s="380"/>
      <c r="AA181" s="378">
        <v>16334.37</v>
      </c>
      <c r="AB181" s="378">
        <v>16334.37</v>
      </c>
      <c r="AC181" s="378"/>
      <c r="AD181" s="378"/>
      <c r="AE181" s="378"/>
      <c r="AF181" s="379"/>
      <c r="AG181" s="377"/>
      <c r="AH181" s="380"/>
      <c r="AI181" s="380"/>
      <c r="AJ181" s="380"/>
      <c r="AK181" s="380"/>
      <c r="AL181" s="377"/>
      <c r="AM181" s="377"/>
      <c r="AN181" s="380"/>
      <c r="AO181" s="377"/>
      <c r="AP181" s="380"/>
      <c r="AQ181" s="380"/>
      <c r="AR181" s="380"/>
      <c r="AS181" s="380"/>
      <c r="AT181" s="380"/>
      <c r="AU181" s="377"/>
      <c r="AV181" s="377"/>
    </row>
    <row r="182" spans="1:48" s="20" customFormat="1" ht="22.5" x14ac:dyDescent="0.2">
      <c r="A182" s="375"/>
      <c r="B182" s="376"/>
      <c r="C182" s="376"/>
      <c r="D182" s="375"/>
      <c r="E182" s="375"/>
      <c r="F182" s="375"/>
      <c r="G182" s="375"/>
      <c r="H182" s="375"/>
      <c r="I182" s="375"/>
      <c r="J182" s="375"/>
      <c r="K182" s="375"/>
      <c r="L182" s="375"/>
      <c r="M182" s="377"/>
      <c r="N182" s="377"/>
      <c r="O182" s="377"/>
      <c r="P182" s="378"/>
      <c r="Q182" s="377"/>
      <c r="R182" s="378"/>
      <c r="S182" s="377"/>
      <c r="T182" s="377"/>
      <c r="U182" s="379"/>
      <c r="V182" s="379"/>
      <c r="W182" s="377" t="s">
        <v>728</v>
      </c>
      <c r="X182" s="378">
        <v>16334.37</v>
      </c>
      <c r="Y182" s="377"/>
      <c r="Z182" s="380"/>
      <c r="AA182" s="378">
        <v>16334.37</v>
      </c>
      <c r="AB182" s="378">
        <v>16334.37</v>
      </c>
      <c r="AC182" s="378"/>
      <c r="AD182" s="378"/>
      <c r="AE182" s="378"/>
      <c r="AF182" s="379"/>
      <c r="AG182" s="377"/>
      <c r="AH182" s="380"/>
      <c r="AI182" s="380"/>
      <c r="AJ182" s="380"/>
      <c r="AK182" s="380"/>
      <c r="AL182" s="377"/>
      <c r="AM182" s="377"/>
      <c r="AN182" s="380"/>
      <c r="AO182" s="377"/>
      <c r="AP182" s="380"/>
      <c r="AQ182" s="380"/>
      <c r="AR182" s="380"/>
      <c r="AS182" s="380"/>
      <c r="AT182" s="380"/>
      <c r="AU182" s="377"/>
      <c r="AV182" s="377"/>
    </row>
    <row r="183" spans="1:48" s="20" customFormat="1" ht="45" x14ac:dyDescent="0.2">
      <c r="A183" s="369"/>
      <c r="B183" s="370" t="s">
        <v>647</v>
      </c>
      <c r="C183" s="370" t="s">
        <v>64</v>
      </c>
      <c r="D183" s="369"/>
      <c r="E183" s="369"/>
      <c r="F183" s="369"/>
      <c r="G183" s="369"/>
      <c r="H183" s="369"/>
      <c r="I183" s="369"/>
      <c r="J183" s="369"/>
      <c r="K183" s="369"/>
      <c r="L183" s="369"/>
      <c r="M183" s="371" t="s">
        <v>649</v>
      </c>
      <c r="N183" s="371" t="s">
        <v>821</v>
      </c>
      <c r="O183" s="371" t="s">
        <v>541</v>
      </c>
      <c r="P183" s="372">
        <v>10844.82</v>
      </c>
      <c r="Q183" s="371" t="s">
        <v>651</v>
      </c>
      <c r="R183" s="372">
        <v>9533.68</v>
      </c>
      <c r="S183" s="371" t="s">
        <v>876</v>
      </c>
      <c r="T183" s="371" t="s">
        <v>877</v>
      </c>
      <c r="U183" s="373" t="s">
        <v>63</v>
      </c>
      <c r="V183" s="373">
        <v>2</v>
      </c>
      <c r="W183" s="371" t="s">
        <v>728</v>
      </c>
      <c r="X183" s="372">
        <v>9486.01</v>
      </c>
      <c r="Y183" s="371"/>
      <c r="Z183" s="373">
        <v>1</v>
      </c>
      <c r="AA183" s="372">
        <v>9486.01</v>
      </c>
      <c r="AB183" s="372">
        <v>9486.01</v>
      </c>
      <c r="AC183" s="372" t="s">
        <v>728</v>
      </c>
      <c r="AD183" s="372">
        <v>9486.01</v>
      </c>
      <c r="AE183" s="372">
        <v>9486.01</v>
      </c>
      <c r="AF183" s="373" t="s">
        <v>822</v>
      </c>
      <c r="AG183" s="371" t="s">
        <v>654</v>
      </c>
      <c r="AH183" s="374">
        <v>42865</v>
      </c>
      <c r="AI183" s="374">
        <v>42865</v>
      </c>
      <c r="AJ183" s="374">
        <v>42872</v>
      </c>
      <c r="AK183" s="374">
        <v>42881</v>
      </c>
      <c r="AL183" s="371"/>
      <c r="AM183" s="371"/>
      <c r="AN183" s="374"/>
      <c r="AO183" s="371"/>
      <c r="AP183" s="374"/>
      <c r="AQ183" s="374"/>
      <c r="AR183" s="374"/>
      <c r="AS183" s="374"/>
      <c r="AT183" s="374"/>
      <c r="AU183" s="371"/>
      <c r="AV183" s="371"/>
    </row>
    <row r="184" spans="1:48" s="20" customFormat="1" ht="22.5" x14ac:dyDescent="0.2">
      <c r="A184" s="369"/>
      <c r="B184" s="370"/>
      <c r="C184" s="370"/>
      <c r="D184" s="369"/>
      <c r="E184" s="369"/>
      <c r="F184" s="369"/>
      <c r="G184" s="369"/>
      <c r="H184" s="369"/>
      <c r="I184" s="369"/>
      <c r="J184" s="369"/>
      <c r="K184" s="369"/>
      <c r="L184" s="369"/>
      <c r="M184" s="371"/>
      <c r="N184" s="371"/>
      <c r="O184" s="371"/>
      <c r="P184" s="372"/>
      <c r="Q184" s="371"/>
      <c r="R184" s="372"/>
      <c r="S184" s="371"/>
      <c r="T184" s="371"/>
      <c r="U184" s="373"/>
      <c r="V184" s="373"/>
      <c r="W184" s="371" t="s">
        <v>758</v>
      </c>
      <c r="X184" s="372">
        <v>9533.68</v>
      </c>
      <c r="Y184" s="371"/>
      <c r="Z184" s="374"/>
      <c r="AA184" s="372">
        <v>9533.68</v>
      </c>
      <c r="AB184" s="372">
        <v>9533.68</v>
      </c>
      <c r="AC184" s="372"/>
      <c r="AD184" s="372"/>
      <c r="AE184" s="372"/>
      <c r="AF184" s="373"/>
      <c r="AG184" s="371"/>
      <c r="AH184" s="374"/>
      <c r="AI184" s="374"/>
      <c r="AJ184" s="374"/>
      <c r="AK184" s="374"/>
      <c r="AL184" s="371"/>
      <c r="AM184" s="371"/>
      <c r="AN184" s="374"/>
      <c r="AO184" s="371"/>
      <c r="AP184" s="374"/>
      <c r="AQ184" s="374"/>
      <c r="AR184" s="374"/>
      <c r="AS184" s="374"/>
      <c r="AT184" s="374"/>
      <c r="AU184" s="371"/>
      <c r="AV184" s="371"/>
    </row>
    <row r="185" spans="1:48" s="20" customFormat="1" ht="45" x14ac:dyDescent="0.2">
      <c r="A185" s="369"/>
      <c r="B185" s="370" t="s">
        <v>647</v>
      </c>
      <c r="C185" s="370" t="s">
        <v>64</v>
      </c>
      <c r="D185" s="369"/>
      <c r="E185" s="369"/>
      <c r="F185" s="369"/>
      <c r="G185" s="369"/>
      <c r="H185" s="369"/>
      <c r="I185" s="369"/>
      <c r="J185" s="369"/>
      <c r="K185" s="369"/>
      <c r="L185" s="369"/>
      <c r="M185" s="371" t="s">
        <v>649</v>
      </c>
      <c r="N185" s="371" t="s">
        <v>823</v>
      </c>
      <c r="O185" s="371" t="s">
        <v>541</v>
      </c>
      <c r="P185" s="372">
        <v>2315.59</v>
      </c>
      <c r="Q185" s="371" t="s">
        <v>651</v>
      </c>
      <c r="R185" s="372">
        <v>2043.25</v>
      </c>
      <c r="S185" s="371" t="s">
        <v>876</v>
      </c>
      <c r="T185" s="371" t="s">
        <v>877</v>
      </c>
      <c r="U185" s="373" t="s">
        <v>62</v>
      </c>
      <c r="V185" s="373">
        <v>3</v>
      </c>
      <c r="W185" s="371" t="s">
        <v>824</v>
      </c>
      <c r="X185" s="372">
        <v>2043.25</v>
      </c>
      <c r="Y185" s="371"/>
      <c r="Z185" s="373">
        <v>1</v>
      </c>
      <c r="AA185" s="372">
        <v>2043.25</v>
      </c>
      <c r="AB185" s="372">
        <v>2043.25</v>
      </c>
      <c r="AC185" s="372" t="s">
        <v>824</v>
      </c>
      <c r="AD185" s="372">
        <v>2043.25</v>
      </c>
      <c r="AE185" s="372">
        <v>2043.25</v>
      </c>
      <c r="AF185" s="373" t="s">
        <v>825</v>
      </c>
      <c r="AG185" s="371" t="s">
        <v>654</v>
      </c>
      <c r="AH185" s="374">
        <v>42865</v>
      </c>
      <c r="AI185" s="374">
        <v>42865</v>
      </c>
      <c r="AJ185" s="374">
        <v>42872</v>
      </c>
      <c r="AK185" s="374">
        <v>42881</v>
      </c>
      <c r="AL185" s="371"/>
      <c r="AM185" s="371"/>
      <c r="AN185" s="374"/>
      <c r="AO185" s="371"/>
      <c r="AP185" s="374"/>
      <c r="AQ185" s="374"/>
      <c r="AR185" s="374"/>
      <c r="AS185" s="374"/>
      <c r="AT185" s="374"/>
      <c r="AU185" s="371"/>
      <c r="AV185" s="371"/>
    </row>
    <row r="186" spans="1:48" s="20" customFormat="1" ht="22.5" x14ac:dyDescent="0.2">
      <c r="A186" s="369"/>
      <c r="B186" s="370"/>
      <c r="C186" s="370"/>
      <c r="D186" s="369"/>
      <c r="E186" s="369"/>
      <c r="F186" s="369"/>
      <c r="G186" s="369"/>
      <c r="H186" s="369"/>
      <c r="I186" s="369"/>
      <c r="J186" s="369"/>
      <c r="K186" s="369"/>
      <c r="L186" s="369"/>
      <c r="M186" s="371"/>
      <c r="N186" s="371"/>
      <c r="O186" s="371"/>
      <c r="P186" s="372"/>
      <c r="Q186" s="371"/>
      <c r="R186" s="372"/>
      <c r="S186" s="371"/>
      <c r="T186" s="371"/>
      <c r="U186" s="373"/>
      <c r="V186" s="373"/>
      <c r="W186" s="371" t="s">
        <v>728</v>
      </c>
      <c r="X186" s="372">
        <v>2043.25</v>
      </c>
      <c r="Y186" s="371"/>
      <c r="Z186" s="374"/>
      <c r="AA186" s="372">
        <v>2043.25</v>
      </c>
      <c r="AB186" s="372">
        <v>2043.25</v>
      </c>
      <c r="AC186" s="372"/>
      <c r="AD186" s="372"/>
      <c r="AE186" s="372"/>
      <c r="AF186" s="373"/>
      <c r="AG186" s="371"/>
      <c r="AH186" s="374"/>
      <c r="AI186" s="374"/>
      <c r="AJ186" s="374"/>
      <c r="AK186" s="374"/>
      <c r="AL186" s="371"/>
      <c r="AM186" s="371"/>
      <c r="AN186" s="374"/>
      <c r="AO186" s="371"/>
      <c r="AP186" s="374"/>
      <c r="AQ186" s="374"/>
      <c r="AR186" s="374"/>
      <c r="AS186" s="374"/>
      <c r="AT186" s="374"/>
      <c r="AU186" s="371"/>
      <c r="AV186" s="371"/>
    </row>
    <row r="187" spans="1:48" s="20" customFormat="1" ht="22.5" x14ac:dyDescent="0.2">
      <c r="A187" s="369"/>
      <c r="B187" s="370"/>
      <c r="C187" s="370"/>
      <c r="D187" s="369"/>
      <c r="E187" s="369"/>
      <c r="F187" s="369"/>
      <c r="G187" s="369"/>
      <c r="H187" s="369"/>
      <c r="I187" s="369"/>
      <c r="J187" s="369"/>
      <c r="K187" s="369"/>
      <c r="L187" s="369"/>
      <c r="M187" s="371"/>
      <c r="N187" s="371"/>
      <c r="O187" s="371"/>
      <c r="P187" s="372"/>
      <c r="Q187" s="371"/>
      <c r="R187" s="372"/>
      <c r="S187" s="371"/>
      <c r="T187" s="371"/>
      <c r="U187" s="373"/>
      <c r="V187" s="373"/>
      <c r="W187" s="371" t="s">
        <v>758</v>
      </c>
      <c r="X187" s="372">
        <v>2043.25</v>
      </c>
      <c r="Y187" s="371"/>
      <c r="Z187" s="374"/>
      <c r="AA187" s="372">
        <v>2043.25</v>
      </c>
      <c r="AB187" s="372">
        <v>2043.25</v>
      </c>
      <c r="AC187" s="372"/>
      <c r="AD187" s="372"/>
      <c r="AE187" s="372"/>
      <c r="AF187" s="373"/>
      <c r="AG187" s="371"/>
      <c r="AH187" s="374"/>
      <c r="AI187" s="374"/>
      <c r="AJ187" s="374"/>
      <c r="AK187" s="374"/>
      <c r="AL187" s="371"/>
      <c r="AM187" s="371"/>
      <c r="AN187" s="374"/>
      <c r="AO187" s="371"/>
      <c r="AP187" s="374"/>
      <c r="AQ187" s="374"/>
      <c r="AR187" s="374"/>
      <c r="AS187" s="374"/>
      <c r="AT187" s="374"/>
      <c r="AU187" s="371"/>
      <c r="AV187" s="371"/>
    </row>
    <row r="188" spans="1:48" s="20" customFormat="1" ht="56.25" x14ac:dyDescent="0.2">
      <c r="A188" s="369"/>
      <c r="B188" s="370" t="s">
        <v>647</v>
      </c>
      <c r="C188" s="370" t="s">
        <v>64</v>
      </c>
      <c r="D188" s="369"/>
      <c r="E188" s="369"/>
      <c r="F188" s="369"/>
      <c r="G188" s="369"/>
      <c r="H188" s="369"/>
      <c r="I188" s="369"/>
      <c r="J188" s="369"/>
      <c r="K188" s="369"/>
      <c r="L188" s="369"/>
      <c r="M188" s="371" t="s">
        <v>649</v>
      </c>
      <c r="N188" s="371" t="s">
        <v>826</v>
      </c>
      <c r="O188" s="371" t="s">
        <v>541</v>
      </c>
      <c r="P188" s="372">
        <v>11007.26</v>
      </c>
      <c r="Q188" s="371" t="s">
        <v>651</v>
      </c>
      <c r="R188" s="372">
        <v>9680.6</v>
      </c>
      <c r="S188" s="371" t="s">
        <v>876</v>
      </c>
      <c r="T188" s="371" t="s">
        <v>877</v>
      </c>
      <c r="U188" s="373" t="s">
        <v>63</v>
      </c>
      <c r="V188" s="373">
        <v>2</v>
      </c>
      <c r="W188" s="371" t="s">
        <v>758</v>
      </c>
      <c r="X188" s="372">
        <v>9632.4</v>
      </c>
      <c r="Y188" s="371"/>
      <c r="Z188" s="373">
        <v>1</v>
      </c>
      <c r="AA188" s="372">
        <v>9632.4</v>
      </c>
      <c r="AB188" s="372">
        <v>9632.4</v>
      </c>
      <c r="AC188" s="372" t="s">
        <v>758</v>
      </c>
      <c r="AD188" s="372">
        <v>9632.4</v>
      </c>
      <c r="AE188" s="372">
        <v>9632.4</v>
      </c>
      <c r="AF188" s="373" t="s">
        <v>827</v>
      </c>
      <c r="AG188" s="371" t="s">
        <v>654</v>
      </c>
      <c r="AH188" s="374">
        <v>42860</v>
      </c>
      <c r="AI188" s="374">
        <v>42860</v>
      </c>
      <c r="AJ188" s="374">
        <v>42870</v>
      </c>
      <c r="AK188" s="374">
        <v>42881</v>
      </c>
      <c r="AL188" s="371"/>
      <c r="AM188" s="371"/>
      <c r="AN188" s="374"/>
      <c r="AO188" s="371"/>
      <c r="AP188" s="374" t="s">
        <v>937</v>
      </c>
      <c r="AQ188" s="374" t="s">
        <v>937</v>
      </c>
      <c r="AR188" s="374" t="s">
        <v>937</v>
      </c>
      <c r="AS188" s="374" t="s">
        <v>937</v>
      </c>
      <c r="AT188" s="374"/>
      <c r="AU188" s="371"/>
      <c r="AV188" s="371"/>
    </row>
    <row r="189" spans="1:48" s="20" customFormat="1" ht="22.5" x14ac:dyDescent="0.2">
      <c r="A189" s="369"/>
      <c r="B189" s="370"/>
      <c r="C189" s="370"/>
      <c r="D189" s="369"/>
      <c r="E189" s="369"/>
      <c r="F189" s="369"/>
      <c r="G189" s="369"/>
      <c r="H189" s="369"/>
      <c r="I189" s="369"/>
      <c r="J189" s="369"/>
      <c r="K189" s="369"/>
      <c r="L189" s="369"/>
      <c r="M189" s="371"/>
      <c r="N189" s="371"/>
      <c r="O189" s="371"/>
      <c r="P189" s="372"/>
      <c r="Q189" s="371"/>
      <c r="R189" s="372"/>
      <c r="S189" s="371"/>
      <c r="T189" s="371"/>
      <c r="U189" s="373"/>
      <c r="V189" s="373"/>
      <c r="W189" s="371" t="s">
        <v>728</v>
      </c>
      <c r="X189" s="372">
        <v>9680.7999999999993</v>
      </c>
      <c r="Y189" s="371"/>
      <c r="Z189" s="374"/>
      <c r="AA189" s="372">
        <v>9680.7999999999993</v>
      </c>
      <c r="AB189" s="372">
        <v>9680.7999999999993</v>
      </c>
      <c r="AC189" s="372"/>
      <c r="AD189" s="372"/>
      <c r="AE189" s="372"/>
      <c r="AF189" s="373"/>
      <c r="AG189" s="371"/>
      <c r="AH189" s="374"/>
      <c r="AI189" s="374"/>
      <c r="AJ189" s="374"/>
      <c r="AK189" s="374"/>
      <c r="AL189" s="371"/>
      <c r="AM189" s="371"/>
      <c r="AN189" s="374"/>
      <c r="AO189" s="371"/>
      <c r="AP189" s="374"/>
      <c r="AQ189" s="374"/>
      <c r="AR189" s="374"/>
      <c r="AS189" s="374"/>
      <c r="AT189" s="374"/>
      <c r="AU189" s="371"/>
      <c r="AV189" s="371"/>
    </row>
    <row r="190" spans="1:48" s="20" customFormat="1" ht="33.75" x14ac:dyDescent="0.2">
      <c r="A190" s="369"/>
      <c r="B190" s="370" t="s">
        <v>647</v>
      </c>
      <c r="C190" s="370" t="s">
        <v>64</v>
      </c>
      <c r="D190" s="369"/>
      <c r="E190" s="369"/>
      <c r="F190" s="369"/>
      <c r="G190" s="369"/>
      <c r="H190" s="369"/>
      <c r="I190" s="369"/>
      <c r="J190" s="369"/>
      <c r="K190" s="369"/>
      <c r="L190" s="369"/>
      <c r="M190" s="371" t="s">
        <v>649</v>
      </c>
      <c r="N190" s="371" t="s">
        <v>828</v>
      </c>
      <c r="O190" s="371" t="s">
        <v>541</v>
      </c>
      <c r="P190" s="372">
        <v>2733.91</v>
      </c>
      <c r="Q190" s="371" t="s">
        <v>651</v>
      </c>
      <c r="R190" s="372">
        <v>2406.42</v>
      </c>
      <c r="S190" s="371" t="s">
        <v>876</v>
      </c>
      <c r="T190" s="371" t="s">
        <v>877</v>
      </c>
      <c r="U190" s="373" t="s">
        <v>62</v>
      </c>
      <c r="V190" s="373">
        <v>2</v>
      </c>
      <c r="W190" s="371" t="s">
        <v>758</v>
      </c>
      <c r="X190" s="372">
        <v>2406.42</v>
      </c>
      <c r="Y190" s="371"/>
      <c r="Z190" s="373">
        <v>1</v>
      </c>
      <c r="AA190" s="372">
        <v>2406.42</v>
      </c>
      <c r="AB190" s="372">
        <v>2406.42</v>
      </c>
      <c r="AC190" s="372" t="s">
        <v>758</v>
      </c>
      <c r="AD190" s="372">
        <v>2406.42</v>
      </c>
      <c r="AE190" s="372">
        <v>2406.42</v>
      </c>
      <c r="AF190" s="373" t="s">
        <v>829</v>
      </c>
      <c r="AG190" s="371" t="s">
        <v>654</v>
      </c>
      <c r="AH190" s="374">
        <v>42860</v>
      </c>
      <c r="AI190" s="374">
        <v>42860</v>
      </c>
      <c r="AJ190" s="374">
        <v>42870</v>
      </c>
      <c r="AK190" s="374">
        <v>42902</v>
      </c>
      <c r="AL190" s="371"/>
      <c r="AM190" s="371"/>
      <c r="AN190" s="374"/>
      <c r="AO190" s="371"/>
      <c r="AP190" s="374"/>
      <c r="AQ190" s="374"/>
      <c r="AR190" s="374"/>
      <c r="AS190" s="374"/>
      <c r="AT190" s="374"/>
      <c r="AU190" s="371"/>
      <c r="AV190" s="371"/>
    </row>
    <row r="191" spans="1:48" s="20" customFormat="1" ht="22.5" x14ac:dyDescent="0.2">
      <c r="A191" s="369"/>
      <c r="B191" s="370"/>
      <c r="C191" s="370"/>
      <c r="D191" s="369"/>
      <c r="E191" s="369"/>
      <c r="F191" s="369"/>
      <c r="G191" s="369"/>
      <c r="H191" s="369"/>
      <c r="I191" s="369"/>
      <c r="J191" s="369"/>
      <c r="K191" s="369"/>
      <c r="L191" s="369"/>
      <c r="M191" s="371"/>
      <c r="N191" s="371"/>
      <c r="O191" s="371"/>
      <c r="P191" s="372"/>
      <c r="Q191" s="371"/>
      <c r="R191" s="372"/>
      <c r="S191" s="371"/>
      <c r="T191" s="371"/>
      <c r="U191" s="373"/>
      <c r="V191" s="373"/>
      <c r="W191" s="371" t="s">
        <v>728</v>
      </c>
      <c r="X191" s="372">
        <v>2406.42</v>
      </c>
      <c r="Y191" s="371"/>
      <c r="Z191" s="374"/>
      <c r="AA191" s="372">
        <v>2406.42</v>
      </c>
      <c r="AB191" s="372">
        <v>2406.42</v>
      </c>
      <c r="AC191" s="372"/>
      <c r="AD191" s="372"/>
      <c r="AE191" s="372"/>
      <c r="AF191" s="373"/>
      <c r="AG191" s="371"/>
      <c r="AH191" s="374"/>
      <c r="AI191" s="374"/>
      <c r="AJ191" s="374"/>
      <c r="AK191" s="374"/>
      <c r="AL191" s="371"/>
      <c r="AM191" s="371"/>
      <c r="AN191" s="374"/>
      <c r="AO191" s="371"/>
      <c r="AP191" s="374"/>
      <c r="AQ191" s="374"/>
      <c r="AR191" s="374"/>
      <c r="AS191" s="374"/>
      <c r="AT191" s="374"/>
      <c r="AU191" s="371"/>
      <c r="AV191" s="371"/>
    </row>
    <row r="192" spans="1:48" s="20" customFormat="1" ht="33.75" x14ac:dyDescent="0.2">
      <c r="A192" s="369"/>
      <c r="B192" s="370" t="s">
        <v>647</v>
      </c>
      <c r="C192" s="370" t="s">
        <v>64</v>
      </c>
      <c r="D192" s="369"/>
      <c r="E192" s="369"/>
      <c r="F192" s="369"/>
      <c r="G192" s="369"/>
      <c r="H192" s="369"/>
      <c r="I192" s="369"/>
      <c r="J192" s="369"/>
      <c r="K192" s="369"/>
      <c r="L192" s="369"/>
      <c r="M192" s="371" t="s">
        <v>649</v>
      </c>
      <c r="N192" s="371" t="s">
        <v>830</v>
      </c>
      <c r="O192" s="371" t="s">
        <v>541</v>
      </c>
      <c r="P192" s="372">
        <v>19228.87</v>
      </c>
      <c r="Q192" s="371" t="s">
        <v>651</v>
      </c>
      <c r="R192" s="372">
        <v>16905.509999999998</v>
      </c>
      <c r="S192" s="371" t="s">
        <v>876</v>
      </c>
      <c r="T192" s="371" t="s">
        <v>877</v>
      </c>
      <c r="U192" s="373"/>
      <c r="V192" s="373"/>
      <c r="W192" s="371"/>
      <c r="X192" s="372"/>
      <c r="Y192" s="371"/>
      <c r="Z192" s="373"/>
      <c r="AA192" s="372"/>
      <c r="AB192" s="372"/>
      <c r="AC192" s="372"/>
      <c r="AD192" s="372"/>
      <c r="AE192" s="372"/>
      <c r="AF192" s="373" t="s">
        <v>831</v>
      </c>
      <c r="AG192" s="371" t="s">
        <v>654</v>
      </c>
      <c r="AH192" s="374">
        <v>42859</v>
      </c>
      <c r="AI192" s="374">
        <v>42859</v>
      </c>
      <c r="AJ192" s="374">
        <v>42867</v>
      </c>
      <c r="AK192" s="374">
        <v>42900</v>
      </c>
      <c r="AL192" s="371"/>
      <c r="AM192" s="371"/>
      <c r="AN192" s="374"/>
      <c r="AO192" s="371"/>
      <c r="AP192" s="374"/>
      <c r="AQ192" s="374"/>
      <c r="AR192" s="374"/>
      <c r="AS192" s="374"/>
      <c r="AT192" s="374"/>
      <c r="AU192" s="371"/>
      <c r="AV192" s="371" t="s">
        <v>676</v>
      </c>
    </row>
    <row r="193" spans="1:48" s="20" customFormat="1" ht="45" x14ac:dyDescent="0.2">
      <c r="A193" s="369"/>
      <c r="B193" s="370" t="s">
        <v>647</v>
      </c>
      <c r="C193" s="370" t="s">
        <v>64</v>
      </c>
      <c r="D193" s="369"/>
      <c r="E193" s="369"/>
      <c r="F193" s="369"/>
      <c r="G193" s="369"/>
      <c r="H193" s="369"/>
      <c r="I193" s="369"/>
      <c r="J193" s="369"/>
      <c r="K193" s="369"/>
      <c r="L193" s="369"/>
      <c r="M193" s="371" t="s">
        <v>649</v>
      </c>
      <c r="N193" s="371" t="s">
        <v>832</v>
      </c>
      <c r="O193" s="371" t="s">
        <v>541</v>
      </c>
      <c r="P193" s="372">
        <v>20647.62</v>
      </c>
      <c r="Q193" s="371" t="s">
        <v>651</v>
      </c>
      <c r="R193" s="372">
        <v>18148.09</v>
      </c>
      <c r="S193" s="371" t="s">
        <v>876</v>
      </c>
      <c r="T193" s="371" t="s">
        <v>877</v>
      </c>
      <c r="U193" s="373" t="s">
        <v>63</v>
      </c>
      <c r="V193" s="373">
        <v>2</v>
      </c>
      <c r="W193" s="371" t="s">
        <v>758</v>
      </c>
      <c r="X193" s="372">
        <v>18148.09</v>
      </c>
      <c r="Y193" s="371"/>
      <c r="Z193" s="373">
        <v>1</v>
      </c>
      <c r="AA193" s="372">
        <v>18148.09</v>
      </c>
      <c r="AB193" s="372">
        <v>18148.09</v>
      </c>
      <c r="AC193" s="372" t="s">
        <v>758</v>
      </c>
      <c r="AD193" s="372">
        <v>18148.09</v>
      </c>
      <c r="AE193" s="372">
        <v>18148.09</v>
      </c>
      <c r="AF193" s="373" t="s">
        <v>833</v>
      </c>
      <c r="AG193" s="371" t="s">
        <v>654</v>
      </c>
      <c r="AH193" s="374">
        <v>42858</v>
      </c>
      <c r="AI193" s="374">
        <v>42858</v>
      </c>
      <c r="AJ193" s="374">
        <v>42871</v>
      </c>
      <c r="AK193" s="374">
        <v>42881</v>
      </c>
      <c r="AL193" s="371"/>
      <c r="AM193" s="371"/>
      <c r="AN193" s="374"/>
      <c r="AO193" s="371"/>
      <c r="AP193" s="374" t="s">
        <v>899</v>
      </c>
      <c r="AQ193" s="374" t="s">
        <v>899</v>
      </c>
      <c r="AR193" s="374" t="s">
        <v>899</v>
      </c>
      <c r="AS193" s="374" t="s">
        <v>899</v>
      </c>
      <c r="AT193" s="374"/>
      <c r="AU193" s="371"/>
      <c r="AV193" s="371"/>
    </row>
    <row r="194" spans="1:48" s="20" customFormat="1" ht="22.5" x14ac:dyDescent="0.2">
      <c r="A194" s="369"/>
      <c r="B194" s="370"/>
      <c r="C194" s="370"/>
      <c r="D194" s="369"/>
      <c r="E194" s="369"/>
      <c r="F194" s="369"/>
      <c r="G194" s="369"/>
      <c r="H194" s="369"/>
      <c r="I194" s="369"/>
      <c r="J194" s="369"/>
      <c r="K194" s="369"/>
      <c r="L194" s="369"/>
      <c r="M194" s="371"/>
      <c r="N194" s="371"/>
      <c r="O194" s="371"/>
      <c r="P194" s="372"/>
      <c r="Q194" s="371"/>
      <c r="R194" s="372"/>
      <c r="S194" s="371"/>
      <c r="T194" s="371"/>
      <c r="U194" s="373"/>
      <c r="V194" s="373"/>
      <c r="W194" s="371" t="s">
        <v>728</v>
      </c>
      <c r="X194" s="372">
        <v>18148.09</v>
      </c>
      <c r="Y194" s="371"/>
      <c r="Z194" s="374"/>
      <c r="AA194" s="372">
        <v>18148.09</v>
      </c>
      <c r="AB194" s="372">
        <v>18148.09</v>
      </c>
      <c r="AC194" s="372"/>
      <c r="AD194" s="372"/>
      <c r="AE194" s="372"/>
      <c r="AF194" s="373"/>
      <c r="AG194" s="371"/>
      <c r="AH194" s="374"/>
      <c r="AI194" s="374"/>
      <c r="AJ194" s="374"/>
      <c r="AK194" s="374"/>
      <c r="AL194" s="371"/>
      <c r="AM194" s="371"/>
      <c r="AN194" s="374"/>
      <c r="AO194" s="371"/>
      <c r="AP194" s="374"/>
      <c r="AQ194" s="374"/>
      <c r="AR194" s="374"/>
      <c r="AS194" s="374"/>
      <c r="AT194" s="374"/>
      <c r="AU194" s="371"/>
      <c r="AV194" s="371"/>
    </row>
    <row r="195" spans="1:48" s="20" customFormat="1" ht="33.75" x14ac:dyDescent="0.2">
      <c r="A195" s="369"/>
      <c r="B195" s="370" t="s">
        <v>647</v>
      </c>
      <c r="C195" s="370" t="s">
        <v>64</v>
      </c>
      <c r="D195" s="369"/>
      <c r="E195" s="369"/>
      <c r="F195" s="369"/>
      <c r="G195" s="369"/>
      <c r="H195" s="369"/>
      <c r="I195" s="369"/>
      <c r="J195" s="369"/>
      <c r="K195" s="369"/>
      <c r="L195" s="369"/>
      <c r="M195" s="371" t="s">
        <v>649</v>
      </c>
      <c r="N195" s="371" t="s">
        <v>834</v>
      </c>
      <c r="O195" s="371" t="s">
        <v>541</v>
      </c>
      <c r="P195" s="372">
        <v>21205.02</v>
      </c>
      <c r="Q195" s="371" t="s">
        <v>651</v>
      </c>
      <c r="R195" s="372">
        <v>18668.96</v>
      </c>
      <c r="S195" s="371" t="s">
        <v>876</v>
      </c>
      <c r="T195" s="371" t="s">
        <v>877</v>
      </c>
      <c r="U195" s="373" t="s">
        <v>62</v>
      </c>
      <c r="V195" s="373">
        <v>3</v>
      </c>
      <c r="W195" s="371" t="s">
        <v>835</v>
      </c>
      <c r="X195" s="372">
        <v>18575.62</v>
      </c>
      <c r="Y195" s="371"/>
      <c r="Z195" s="373">
        <v>1</v>
      </c>
      <c r="AA195" s="372">
        <v>18575.62</v>
      </c>
      <c r="AB195" s="372">
        <v>18575.62</v>
      </c>
      <c r="AC195" s="372" t="s">
        <v>835</v>
      </c>
      <c r="AD195" s="372">
        <v>18575.62</v>
      </c>
      <c r="AE195" s="372">
        <v>18575.62</v>
      </c>
      <c r="AF195" s="373" t="s">
        <v>836</v>
      </c>
      <c r="AG195" s="371" t="s">
        <v>654</v>
      </c>
      <c r="AH195" s="374">
        <v>42858</v>
      </c>
      <c r="AI195" s="374">
        <v>42858</v>
      </c>
      <c r="AJ195" s="374">
        <v>42871</v>
      </c>
      <c r="AK195" s="374">
        <v>42881</v>
      </c>
      <c r="AL195" s="371"/>
      <c r="AM195" s="371"/>
      <c r="AN195" s="374"/>
      <c r="AO195" s="371"/>
      <c r="AP195" s="374"/>
      <c r="AQ195" s="374"/>
      <c r="AR195" s="374"/>
      <c r="AS195" s="374"/>
      <c r="AT195" s="374"/>
      <c r="AU195" s="371"/>
      <c r="AV195" s="371"/>
    </row>
    <row r="196" spans="1:48" s="20" customFormat="1" ht="22.5" x14ac:dyDescent="0.2">
      <c r="A196" s="369"/>
      <c r="B196" s="370"/>
      <c r="C196" s="370"/>
      <c r="D196" s="369"/>
      <c r="E196" s="369"/>
      <c r="F196" s="369"/>
      <c r="G196" s="369"/>
      <c r="H196" s="369"/>
      <c r="I196" s="369"/>
      <c r="J196" s="369"/>
      <c r="K196" s="369"/>
      <c r="L196" s="369"/>
      <c r="M196" s="371"/>
      <c r="N196" s="371"/>
      <c r="O196" s="371"/>
      <c r="P196" s="372"/>
      <c r="Q196" s="371"/>
      <c r="R196" s="372"/>
      <c r="S196" s="371"/>
      <c r="T196" s="371"/>
      <c r="U196" s="373"/>
      <c r="V196" s="373"/>
      <c r="W196" s="371" t="s">
        <v>758</v>
      </c>
      <c r="X196" s="372">
        <v>18668.96</v>
      </c>
      <c r="Y196" s="371"/>
      <c r="Z196" s="374"/>
      <c r="AA196" s="372">
        <v>18668.96</v>
      </c>
      <c r="AB196" s="372">
        <v>18668.96</v>
      </c>
      <c r="AC196" s="372"/>
      <c r="AD196" s="372"/>
      <c r="AE196" s="372"/>
      <c r="AF196" s="373"/>
      <c r="AG196" s="371"/>
      <c r="AH196" s="374"/>
      <c r="AI196" s="374"/>
      <c r="AJ196" s="374"/>
      <c r="AK196" s="374"/>
      <c r="AL196" s="371"/>
      <c r="AM196" s="371"/>
      <c r="AN196" s="374"/>
      <c r="AO196" s="371"/>
      <c r="AP196" s="374"/>
      <c r="AQ196" s="374"/>
      <c r="AR196" s="374"/>
      <c r="AS196" s="374"/>
      <c r="AT196" s="374"/>
      <c r="AU196" s="371"/>
      <c r="AV196" s="371"/>
    </row>
    <row r="197" spans="1:48" s="20" customFormat="1" ht="22.5" x14ac:dyDescent="0.2">
      <c r="A197" s="369"/>
      <c r="B197" s="370"/>
      <c r="C197" s="370"/>
      <c r="D197" s="369"/>
      <c r="E197" s="369"/>
      <c r="F197" s="369"/>
      <c r="G197" s="369"/>
      <c r="H197" s="369"/>
      <c r="I197" s="369"/>
      <c r="J197" s="369"/>
      <c r="K197" s="369"/>
      <c r="L197" s="369"/>
      <c r="M197" s="371"/>
      <c r="N197" s="371"/>
      <c r="O197" s="371"/>
      <c r="P197" s="372"/>
      <c r="Q197" s="371"/>
      <c r="R197" s="372"/>
      <c r="S197" s="371"/>
      <c r="T197" s="371"/>
      <c r="U197" s="373"/>
      <c r="V197" s="373"/>
      <c r="W197" s="371" t="s">
        <v>728</v>
      </c>
      <c r="X197" s="372">
        <v>18668.96</v>
      </c>
      <c r="Y197" s="371"/>
      <c r="Z197" s="374"/>
      <c r="AA197" s="372">
        <v>18668.96</v>
      </c>
      <c r="AB197" s="372">
        <v>18668.96</v>
      </c>
      <c r="AC197" s="372"/>
      <c r="AD197" s="372"/>
      <c r="AE197" s="372"/>
      <c r="AF197" s="373"/>
      <c r="AG197" s="371"/>
      <c r="AH197" s="374"/>
      <c r="AI197" s="374"/>
      <c r="AJ197" s="374"/>
      <c r="AK197" s="374"/>
      <c r="AL197" s="371"/>
      <c r="AM197" s="371"/>
      <c r="AN197" s="374"/>
      <c r="AO197" s="371"/>
      <c r="AP197" s="374"/>
      <c r="AQ197" s="374"/>
      <c r="AR197" s="374"/>
      <c r="AS197" s="374"/>
      <c r="AT197" s="374"/>
      <c r="AU197" s="371"/>
      <c r="AV197" s="371"/>
    </row>
    <row r="198" spans="1:48" s="20" customFormat="1" ht="33.75" x14ac:dyDescent="0.2">
      <c r="A198" s="369"/>
      <c r="B198" s="370" t="s">
        <v>647</v>
      </c>
      <c r="C198" s="370" t="s">
        <v>64</v>
      </c>
      <c r="D198" s="369"/>
      <c r="E198" s="369"/>
      <c r="F198" s="369"/>
      <c r="G198" s="369"/>
      <c r="H198" s="369"/>
      <c r="I198" s="369"/>
      <c r="J198" s="369"/>
      <c r="K198" s="369"/>
      <c r="L198" s="369"/>
      <c r="M198" s="371" t="s">
        <v>649</v>
      </c>
      <c r="N198" s="371" t="s">
        <v>837</v>
      </c>
      <c r="O198" s="371" t="s">
        <v>541</v>
      </c>
      <c r="P198" s="372">
        <v>104.6</v>
      </c>
      <c r="Q198" s="371" t="s">
        <v>651</v>
      </c>
      <c r="R198" s="372">
        <v>92.82</v>
      </c>
      <c r="S198" s="371" t="s">
        <v>876</v>
      </c>
      <c r="T198" s="371" t="s">
        <v>683</v>
      </c>
      <c r="U198" s="373" t="s">
        <v>64</v>
      </c>
      <c r="V198" s="373">
        <v>1</v>
      </c>
      <c r="W198" s="371" t="s">
        <v>838</v>
      </c>
      <c r="X198" s="372">
        <v>92.8</v>
      </c>
      <c r="Y198" s="371"/>
      <c r="Z198" s="373"/>
      <c r="AA198" s="372"/>
      <c r="AB198" s="372"/>
      <c r="AC198" s="372" t="s">
        <v>838</v>
      </c>
      <c r="AD198" s="372">
        <v>92.8</v>
      </c>
      <c r="AE198" s="372">
        <v>92.8</v>
      </c>
      <c r="AF198" s="373" t="s">
        <v>839</v>
      </c>
      <c r="AG198" s="371" t="s">
        <v>681</v>
      </c>
      <c r="AH198" s="374">
        <v>42830</v>
      </c>
      <c r="AI198" s="374">
        <v>42830</v>
      </c>
      <c r="AJ198" s="374">
        <v>42846</v>
      </c>
      <c r="AK198" s="374">
        <v>42860</v>
      </c>
      <c r="AL198" s="371"/>
      <c r="AM198" s="371"/>
      <c r="AN198" s="374"/>
      <c r="AO198" s="371"/>
      <c r="AP198" s="374" t="s">
        <v>938</v>
      </c>
      <c r="AQ198" s="374" t="s">
        <v>938</v>
      </c>
      <c r="AR198" s="374" t="s">
        <v>938</v>
      </c>
      <c r="AS198" s="374" t="s">
        <v>938</v>
      </c>
      <c r="AT198" s="374"/>
      <c r="AU198" s="371"/>
      <c r="AV198" s="371"/>
    </row>
    <row r="199" spans="1:48" s="20" customFormat="1" ht="45" x14ac:dyDescent="0.2">
      <c r="A199" s="369"/>
      <c r="B199" s="370" t="s">
        <v>647</v>
      </c>
      <c r="C199" s="370" t="s">
        <v>64</v>
      </c>
      <c r="D199" s="369"/>
      <c r="E199" s="369"/>
      <c r="F199" s="369"/>
      <c r="G199" s="369"/>
      <c r="H199" s="369"/>
      <c r="I199" s="369"/>
      <c r="J199" s="369"/>
      <c r="K199" s="369"/>
      <c r="L199" s="369"/>
      <c r="M199" s="371" t="s">
        <v>747</v>
      </c>
      <c r="N199" s="371" t="s">
        <v>840</v>
      </c>
      <c r="O199" s="371" t="s">
        <v>541</v>
      </c>
      <c r="P199" s="372">
        <v>775.57</v>
      </c>
      <c r="Q199" s="371" t="s">
        <v>666</v>
      </c>
      <c r="R199" s="372">
        <v>754.4</v>
      </c>
      <c r="S199" s="371" t="s">
        <v>876</v>
      </c>
      <c r="T199" s="371" t="s">
        <v>682</v>
      </c>
      <c r="U199" s="373" t="s">
        <v>63</v>
      </c>
      <c r="V199" s="373">
        <v>2</v>
      </c>
      <c r="W199" s="371" t="s">
        <v>728</v>
      </c>
      <c r="X199" s="372">
        <v>750.63</v>
      </c>
      <c r="Y199" s="371"/>
      <c r="Z199" s="373"/>
      <c r="AA199" s="372"/>
      <c r="AB199" s="372"/>
      <c r="AC199" s="372" t="s">
        <v>728</v>
      </c>
      <c r="AD199" s="372">
        <v>750.63</v>
      </c>
      <c r="AE199" s="372">
        <v>750.63</v>
      </c>
      <c r="AF199" s="373" t="s">
        <v>841</v>
      </c>
      <c r="AG199" s="371" t="s">
        <v>681</v>
      </c>
      <c r="AH199" s="374">
        <v>42643</v>
      </c>
      <c r="AI199" s="374">
        <v>42643</v>
      </c>
      <c r="AJ199" s="374">
        <v>42846</v>
      </c>
      <c r="AK199" s="374">
        <v>42852</v>
      </c>
      <c r="AL199" s="371"/>
      <c r="AM199" s="371"/>
      <c r="AN199" s="374"/>
      <c r="AO199" s="371"/>
      <c r="AP199" s="374" t="s">
        <v>924</v>
      </c>
      <c r="AQ199" s="374" t="s">
        <v>924</v>
      </c>
      <c r="AR199" s="374" t="s">
        <v>924</v>
      </c>
      <c r="AS199" s="374" t="s">
        <v>924</v>
      </c>
      <c r="AT199" s="374"/>
      <c r="AU199" s="371"/>
      <c r="AV199" s="371"/>
    </row>
    <row r="200" spans="1:48" s="20" customFormat="1" ht="11.25" x14ac:dyDescent="0.2">
      <c r="A200" s="369"/>
      <c r="B200" s="370"/>
      <c r="C200" s="370"/>
      <c r="D200" s="369"/>
      <c r="E200" s="369"/>
      <c r="F200" s="369"/>
      <c r="G200" s="369"/>
      <c r="H200" s="369"/>
      <c r="I200" s="369"/>
      <c r="J200" s="369"/>
      <c r="K200" s="369"/>
      <c r="L200" s="369"/>
      <c r="M200" s="371"/>
      <c r="N200" s="371"/>
      <c r="O200" s="371"/>
      <c r="P200" s="372"/>
      <c r="Q200" s="371"/>
      <c r="R200" s="372"/>
      <c r="S200" s="371"/>
      <c r="T200" s="371"/>
      <c r="U200" s="373"/>
      <c r="V200" s="373"/>
      <c r="W200" s="371" t="s">
        <v>799</v>
      </c>
      <c r="X200" s="372">
        <v>754.4</v>
      </c>
      <c r="Y200" s="371"/>
      <c r="Z200" s="374"/>
      <c r="AA200" s="372"/>
      <c r="AB200" s="372"/>
      <c r="AC200" s="372"/>
      <c r="AD200" s="372"/>
      <c r="AE200" s="372"/>
      <c r="AF200" s="373"/>
      <c r="AG200" s="371"/>
      <c r="AH200" s="374"/>
      <c r="AI200" s="374"/>
      <c r="AJ200" s="374"/>
      <c r="AK200" s="374"/>
      <c r="AL200" s="371"/>
      <c r="AM200" s="371"/>
      <c r="AN200" s="374"/>
      <c r="AO200" s="371"/>
      <c r="AP200" s="374"/>
      <c r="AQ200" s="374"/>
      <c r="AR200" s="374"/>
      <c r="AS200" s="374"/>
      <c r="AT200" s="374"/>
      <c r="AU200" s="371"/>
      <c r="AV200" s="371"/>
    </row>
    <row r="201" spans="1:48" s="20" customFormat="1" ht="45" x14ac:dyDescent="0.2">
      <c r="A201" s="369"/>
      <c r="B201" s="370" t="s">
        <v>647</v>
      </c>
      <c r="C201" s="370" t="s">
        <v>64</v>
      </c>
      <c r="D201" s="369"/>
      <c r="E201" s="369"/>
      <c r="F201" s="369"/>
      <c r="G201" s="369"/>
      <c r="H201" s="369"/>
      <c r="I201" s="369"/>
      <c r="J201" s="369"/>
      <c r="K201" s="369"/>
      <c r="L201" s="369"/>
      <c r="M201" s="371" t="s">
        <v>747</v>
      </c>
      <c r="N201" s="371" t="s">
        <v>842</v>
      </c>
      <c r="O201" s="371" t="s">
        <v>541</v>
      </c>
      <c r="P201" s="372">
        <v>1836.89</v>
      </c>
      <c r="Q201" s="371" t="s">
        <v>666</v>
      </c>
      <c r="R201" s="372">
        <v>1618.65</v>
      </c>
      <c r="S201" s="371" t="s">
        <v>876</v>
      </c>
      <c r="T201" s="371" t="s">
        <v>683</v>
      </c>
      <c r="U201" s="373" t="s">
        <v>63</v>
      </c>
      <c r="V201" s="373">
        <v>2</v>
      </c>
      <c r="W201" s="371" t="s">
        <v>719</v>
      </c>
      <c r="X201" s="372">
        <v>1617.65</v>
      </c>
      <c r="Y201" s="371"/>
      <c r="Z201" s="373"/>
      <c r="AA201" s="372"/>
      <c r="AB201" s="372"/>
      <c r="AC201" s="372" t="s">
        <v>719</v>
      </c>
      <c r="AD201" s="372">
        <v>1617.65</v>
      </c>
      <c r="AE201" s="372">
        <v>1617.65</v>
      </c>
      <c r="AF201" s="373" t="s">
        <v>843</v>
      </c>
      <c r="AG201" s="371" t="s">
        <v>681</v>
      </c>
      <c r="AH201" s="374">
        <v>42846</v>
      </c>
      <c r="AI201" s="374">
        <v>42846</v>
      </c>
      <c r="AJ201" s="374">
        <v>42865</v>
      </c>
      <c r="AK201" s="374">
        <v>42887</v>
      </c>
      <c r="AL201" s="371"/>
      <c r="AM201" s="371"/>
      <c r="AN201" s="374"/>
      <c r="AO201" s="371"/>
      <c r="AP201" s="374"/>
      <c r="AQ201" s="374"/>
      <c r="AR201" s="374"/>
      <c r="AS201" s="374"/>
      <c r="AT201" s="374"/>
      <c r="AU201" s="371"/>
      <c r="AV201" s="371"/>
    </row>
    <row r="202" spans="1:48" s="20" customFormat="1" ht="56.25" x14ac:dyDescent="0.2">
      <c r="A202" s="369"/>
      <c r="B202" s="370"/>
      <c r="C202" s="370"/>
      <c r="D202" s="369"/>
      <c r="E202" s="369"/>
      <c r="F202" s="369"/>
      <c r="G202" s="369"/>
      <c r="H202" s="369"/>
      <c r="I202" s="369"/>
      <c r="J202" s="369"/>
      <c r="K202" s="369"/>
      <c r="L202" s="369"/>
      <c r="M202" s="371"/>
      <c r="N202" s="371"/>
      <c r="O202" s="371"/>
      <c r="P202" s="372"/>
      <c r="Q202" s="371"/>
      <c r="R202" s="372"/>
      <c r="S202" s="371"/>
      <c r="T202" s="371"/>
      <c r="U202" s="373"/>
      <c r="V202" s="373"/>
      <c r="W202" s="371" t="s">
        <v>939</v>
      </c>
      <c r="X202" s="372">
        <v>1618.65</v>
      </c>
      <c r="Y202" s="371" t="s">
        <v>939</v>
      </c>
      <c r="Z202" s="374"/>
      <c r="AA202" s="372"/>
      <c r="AB202" s="372"/>
      <c r="AC202" s="372"/>
      <c r="AD202" s="372"/>
      <c r="AE202" s="372"/>
      <c r="AF202" s="373"/>
      <c r="AG202" s="371"/>
      <c r="AH202" s="374"/>
      <c r="AI202" s="374"/>
      <c r="AJ202" s="374"/>
      <c r="AK202" s="374"/>
      <c r="AL202" s="371"/>
      <c r="AM202" s="371"/>
      <c r="AN202" s="374"/>
      <c r="AO202" s="371"/>
      <c r="AP202" s="374"/>
      <c r="AQ202" s="374"/>
      <c r="AR202" s="374"/>
      <c r="AS202" s="374"/>
      <c r="AT202" s="374"/>
      <c r="AU202" s="371"/>
      <c r="AV202" s="371"/>
    </row>
    <row r="203" spans="1:48" s="20" customFormat="1" ht="45" x14ac:dyDescent="0.2">
      <c r="A203" s="369"/>
      <c r="B203" s="370" t="s">
        <v>743</v>
      </c>
      <c r="C203" s="370" t="s">
        <v>64</v>
      </c>
      <c r="D203" s="369"/>
      <c r="E203" s="369"/>
      <c r="F203" s="369"/>
      <c r="G203" s="369"/>
      <c r="H203" s="369"/>
      <c r="I203" s="369"/>
      <c r="J203" s="369"/>
      <c r="K203" s="369"/>
      <c r="L203" s="369"/>
      <c r="M203" s="371" t="s">
        <v>747</v>
      </c>
      <c r="N203" s="371" t="s">
        <v>844</v>
      </c>
      <c r="O203" s="371" t="s">
        <v>541</v>
      </c>
      <c r="P203" s="372">
        <v>1380.43</v>
      </c>
      <c r="Q203" s="371" t="s">
        <v>666</v>
      </c>
      <c r="R203" s="372">
        <v>1222.01</v>
      </c>
      <c r="S203" s="371" t="s">
        <v>876</v>
      </c>
      <c r="T203" s="371" t="s">
        <v>683</v>
      </c>
      <c r="U203" s="373" t="s">
        <v>63</v>
      </c>
      <c r="V203" s="373">
        <v>2</v>
      </c>
      <c r="W203" s="371" t="s">
        <v>799</v>
      </c>
      <c r="X203" s="372">
        <v>1221.4000000000001</v>
      </c>
      <c r="Y203" s="371"/>
      <c r="Z203" s="373"/>
      <c r="AA203" s="372"/>
      <c r="AB203" s="372"/>
      <c r="AC203" s="372" t="s">
        <v>799</v>
      </c>
      <c r="AD203" s="372">
        <v>1221.4000000000001</v>
      </c>
      <c r="AE203" s="372">
        <v>1221.4000000000001</v>
      </c>
      <c r="AF203" s="373" t="s">
        <v>845</v>
      </c>
      <c r="AG203" s="371" t="s">
        <v>681</v>
      </c>
      <c r="AH203" s="374">
        <v>42830</v>
      </c>
      <c r="AI203" s="374">
        <v>42830</v>
      </c>
      <c r="AJ203" s="374">
        <v>42874</v>
      </c>
      <c r="AK203" s="374">
        <v>42885</v>
      </c>
      <c r="AL203" s="371"/>
      <c r="AM203" s="371"/>
      <c r="AN203" s="374"/>
      <c r="AO203" s="371"/>
      <c r="AP203" s="374"/>
      <c r="AQ203" s="374"/>
      <c r="AR203" s="374"/>
      <c r="AS203" s="374"/>
      <c r="AT203" s="374"/>
      <c r="AU203" s="371"/>
      <c r="AV203" s="371"/>
    </row>
    <row r="204" spans="1:48" s="20" customFormat="1" ht="22.5" x14ac:dyDescent="0.2">
      <c r="A204" s="369"/>
      <c r="B204" s="370"/>
      <c r="C204" s="370"/>
      <c r="D204" s="369"/>
      <c r="E204" s="369"/>
      <c r="F204" s="369"/>
      <c r="G204" s="369"/>
      <c r="H204" s="369"/>
      <c r="I204" s="369"/>
      <c r="J204" s="369"/>
      <c r="K204" s="369"/>
      <c r="L204" s="369"/>
      <c r="M204" s="371"/>
      <c r="N204" s="371"/>
      <c r="O204" s="371"/>
      <c r="P204" s="372"/>
      <c r="Q204" s="371"/>
      <c r="R204" s="372"/>
      <c r="S204" s="371"/>
      <c r="T204" s="371"/>
      <c r="U204" s="373"/>
      <c r="V204" s="373"/>
      <c r="W204" s="371" t="s">
        <v>728</v>
      </c>
      <c r="X204" s="372">
        <v>1222.01</v>
      </c>
      <c r="Y204" s="371" t="s">
        <v>728</v>
      </c>
      <c r="Z204" s="374"/>
      <c r="AA204" s="372"/>
      <c r="AB204" s="372"/>
      <c r="AC204" s="372"/>
      <c r="AD204" s="372"/>
      <c r="AE204" s="372"/>
      <c r="AF204" s="373"/>
      <c r="AG204" s="371"/>
      <c r="AH204" s="374"/>
      <c r="AI204" s="374"/>
      <c r="AJ204" s="374"/>
      <c r="AK204" s="374"/>
      <c r="AL204" s="371"/>
      <c r="AM204" s="371"/>
      <c r="AN204" s="374"/>
      <c r="AO204" s="371"/>
      <c r="AP204" s="374"/>
      <c r="AQ204" s="374"/>
      <c r="AR204" s="374"/>
      <c r="AS204" s="374"/>
      <c r="AT204" s="374"/>
      <c r="AU204" s="371"/>
      <c r="AV204" s="371"/>
    </row>
    <row r="205" spans="1:48" s="20" customFormat="1" ht="33.75" x14ac:dyDescent="0.2">
      <c r="A205" s="369"/>
      <c r="B205" s="370" t="s">
        <v>647</v>
      </c>
      <c r="C205" s="370" t="s">
        <v>64</v>
      </c>
      <c r="D205" s="369"/>
      <c r="E205" s="369"/>
      <c r="F205" s="369"/>
      <c r="G205" s="369"/>
      <c r="H205" s="369"/>
      <c r="I205" s="369"/>
      <c r="J205" s="369"/>
      <c r="K205" s="369"/>
      <c r="L205" s="369"/>
      <c r="M205" s="371" t="s">
        <v>747</v>
      </c>
      <c r="N205" s="371" t="s">
        <v>846</v>
      </c>
      <c r="O205" s="371" t="s">
        <v>541</v>
      </c>
      <c r="P205" s="372">
        <v>480.32</v>
      </c>
      <c r="Q205" s="371" t="s">
        <v>666</v>
      </c>
      <c r="R205" s="372">
        <v>420.21</v>
      </c>
      <c r="S205" s="371" t="s">
        <v>876</v>
      </c>
      <c r="T205" s="371" t="s">
        <v>682</v>
      </c>
      <c r="U205" s="373"/>
      <c r="V205" s="373"/>
      <c r="W205" s="371"/>
      <c r="X205" s="372"/>
      <c r="Y205" s="371"/>
      <c r="Z205" s="373"/>
      <c r="AA205" s="372"/>
      <c r="AB205" s="372"/>
      <c r="AC205" s="372"/>
      <c r="AD205" s="372"/>
      <c r="AE205" s="372"/>
      <c r="AF205" s="373" t="s">
        <v>847</v>
      </c>
      <c r="AG205" s="371" t="s">
        <v>681</v>
      </c>
      <c r="AH205" s="374">
        <v>42661</v>
      </c>
      <c r="AI205" s="374">
        <v>42661</v>
      </c>
      <c r="AJ205" s="374">
        <v>42832</v>
      </c>
      <c r="AK205" s="374">
        <v>42837</v>
      </c>
      <c r="AL205" s="371"/>
      <c r="AM205" s="371"/>
      <c r="AN205" s="374"/>
      <c r="AO205" s="371"/>
      <c r="AP205" s="374"/>
      <c r="AQ205" s="374"/>
      <c r="AR205" s="374"/>
      <c r="AS205" s="374"/>
      <c r="AT205" s="374"/>
      <c r="AU205" s="371"/>
      <c r="AV205" s="371" t="s">
        <v>711</v>
      </c>
    </row>
    <row r="206" spans="1:48" s="20" customFormat="1" ht="45" x14ac:dyDescent="0.2">
      <c r="A206" s="369"/>
      <c r="B206" s="370" t="s">
        <v>647</v>
      </c>
      <c r="C206" s="370" t="s">
        <v>64</v>
      </c>
      <c r="D206" s="369"/>
      <c r="E206" s="369"/>
      <c r="F206" s="369"/>
      <c r="G206" s="369"/>
      <c r="H206" s="369"/>
      <c r="I206" s="369"/>
      <c r="J206" s="369"/>
      <c r="K206" s="369"/>
      <c r="L206" s="369"/>
      <c r="M206" s="371" t="s">
        <v>747</v>
      </c>
      <c r="N206" s="371" t="s">
        <v>848</v>
      </c>
      <c r="O206" s="371" t="s">
        <v>541</v>
      </c>
      <c r="P206" s="372">
        <v>674.71</v>
      </c>
      <c r="Q206" s="371" t="s">
        <v>666</v>
      </c>
      <c r="R206" s="372">
        <v>614.91</v>
      </c>
      <c r="S206" s="371" t="s">
        <v>876</v>
      </c>
      <c r="T206" s="371" t="s">
        <v>682</v>
      </c>
      <c r="U206" s="373"/>
      <c r="V206" s="373"/>
      <c r="W206" s="371"/>
      <c r="X206" s="372"/>
      <c r="Y206" s="371"/>
      <c r="Z206" s="373"/>
      <c r="AA206" s="372"/>
      <c r="AB206" s="372"/>
      <c r="AC206" s="372"/>
      <c r="AD206" s="372"/>
      <c r="AE206" s="372"/>
      <c r="AF206" s="373" t="s">
        <v>849</v>
      </c>
      <c r="AG206" s="371" t="s">
        <v>681</v>
      </c>
      <c r="AH206" s="374">
        <v>42461</v>
      </c>
      <c r="AI206" s="374">
        <v>42461</v>
      </c>
      <c r="AJ206" s="374">
        <v>42829</v>
      </c>
      <c r="AK206" s="374">
        <v>42835</v>
      </c>
      <c r="AL206" s="371"/>
      <c r="AM206" s="371"/>
      <c r="AN206" s="374"/>
      <c r="AO206" s="371"/>
      <c r="AP206" s="374"/>
      <c r="AQ206" s="374"/>
      <c r="AR206" s="374"/>
      <c r="AS206" s="374"/>
      <c r="AT206" s="374"/>
      <c r="AU206" s="371"/>
      <c r="AV206" s="371" t="s">
        <v>711</v>
      </c>
    </row>
    <row r="207" spans="1:48" s="20" customFormat="1" ht="33.75" x14ac:dyDescent="0.2">
      <c r="A207" s="369"/>
      <c r="B207" s="370" t="s">
        <v>647</v>
      </c>
      <c r="C207" s="370" t="s">
        <v>64</v>
      </c>
      <c r="D207" s="369"/>
      <c r="E207" s="369"/>
      <c r="F207" s="369"/>
      <c r="G207" s="369"/>
      <c r="H207" s="369"/>
      <c r="I207" s="369"/>
      <c r="J207" s="369"/>
      <c r="K207" s="369"/>
      <c r="L207" s="369"/>
      <c r="M207" s="371" t="s">
        <v>747</v>
      </c>
      <c r="N207" s="371" t="s">
        <v>850</v>
      </c>
      <c r="O207" s="371" t="s">
        <v>541</v>
      </c>
      <c r="P207" s="372">
        <v>2107.8000000000002</v>
      </c>
      <c r="Q207" s="371" t="s">
        <v>666</v>
      </c>
      <c r="R207" s="372">
        <v>1844.03</v>
      </c>
      <c r="S207" s="371" t="s">
        <v>876</v>
      </c>
      <c r="T207" s="371" t="s">
        <v>682</v>
      </c>
      <c r="U207" s="373"/>
      <c r="V207" s="373"/>
      <c r="W207" s="371"/>
      <c r="X207" s="372"/>
      <c r="Y207" s="371"/>
      <c r="Z207" s="373"/>
      <c r="AA207" s="372"/>
      <c r="AB207" s="372"/>
      <c r="AC207" s="372"/>
      <c r="AD207" s="372"/>
      <c r="AE207" s="372"/>
      <c r="AF207" s="373" t="s">
        <v>851</v>
      </c>
      <c r="AG207" s="371" t="s">
        <v>681</v>
      </c>
      <c r="AH207" s="374">
        <v>42662</v>
      </c>
      <c r="AI207" s="374">
        <v>42662</v>
      </c>
      <c r="AJ207" s="374">
        <v>42836</v>
      </c>
      <c r="AK207" s="374">
        <v>42836</v>
      </c>
      <c r="AL207" s="371"/>
      <c r="AM207" s="371"/>
      <c r="AN207" s="374"/>
      <c r="AO207" s="371"/>
      <c r="AP207" s="374"/>
      <c r="AQ207" s="374"/>
      <c r="AR207" s="374"/>
      <c r="AS207" s="374"/>
      <c r="AT207" s="374"/>
      <c r="AU207" s="371"/>
      <c r="AV207" s="371" t="s">
        <v>711</v>
      </c>
    </row>
    <row r="208" spans="1:48" s="20" customFormat="1" ht="45" x14ac:dyDescent="0.2">
      <c r="A208" s="369"/>
      <c r="B208" s="370" t="s">
        <v>647</v>
      </c>
      <c r="C208" s="370" t="s">
        <v>64</v>
      </c>
      <c r="D208" s="369"/>
      <c r="E208" s="369"/>
      <c r="F208" s="369"/>
      <c r="G208" s="369"/>
      <c r="H208" s="369"/>
      <c r="I208" s="369"/>
      <c r="J208" s="369"/>
      <c r="K208" s="369"/>
      <c r="L208" s="369"/>
      <c r="M208" s="371" t="s">
        <v>649</v>
      </c>
      <c r="N208" s="371" t="s">
        <v>852</v>
      </c>
      <c r="O208" s="371" t="s">
        <v>541</v>
      </c>
      <c r="P208" s="372">
        <v>335.45</v>
      </c>
      <c r="Q208" s="371" t="s">
        <v>651</v>
      </c>
      <c r="R208" s="372">
        <v>332.01</v>
      </c>
      <c r="S208" s="371" t="s">
        <v>876</v>
      </c>
      <c r="T208" s="371" t="s">
        <v>682</v>
      </c>
      <c r="U208" s="373"/>
      <c r="V208" s="373"/>
      <c r="W208" s="371"/>
      <c r="X208" s="372"/>
      <c r="Y208" s="371"/>
      <c r="Z208" s="373"/>
      <c r="AA208" s="372"/>
      <c r="AB208" s="372"/>
      <c r="AC208" s="372"/>
      <c r="AD208" s="372"/>
      <c r="AE208" s="372"/>
      <c r="AF208" s="373" t="s">
        <v>853</v>
      </c>
      <c r="AG208" s="371" t="s">
        <v>681</v>
      </c>
      <c r="AH208" s="374">
        <v>42619</v>
      </c>
      <c r="AI208" s="374">
        <v>42619</v>
      </c>
      <c r="AJ208" s="374">
        <v>42839</v>
      </c>
      <c r="AK208" s="374">
        <v>42839</v>
      </c>
      <c r="AL208" s="371"/>
      <c r="AM208" s="371"/>
      <c r="AN208" s="374"/>
      <c r="AO208" s="371"/>
      <c r="AP208" s="374"/>
      <c r="AQ208" s="374"/>
      <c r="AR208" s="374"/>
      <c r="AS208" s="374"/>
      <c r="AT208" s="374"/>
      <c r="AU208" s="371"/>
      <c r="AV208" s="371" t="s">
        <v>711</v>
      </c>
    </row>
    <row r="209" spans="1:48" s="20" customFormat="1" ht="45" x14ac:dyDescent="0.2">
      <c r="A209" s="369"/>
      <c r="B209" s="370" t="s">
        <v>647</v>
      </c>
      <c r="C209" s="370" t="s">
        <v>64</v>
      </c>
      <c r="D209" s="369"/>
      <c r="E209" s="369"/>
      <c r="F209" s="369"/>
      <c r="G209" s="369"/>
      <c r="H209" s="369"/>
      <c r="I209" s="369"/>
      <c r="J209" s="369"/>
      <c r="K209" s="369"/>
      <c r="L209" s="369"/>
      <c r="M209" s="371" t="s">
        <v>747</v>
      </c>
      <c r="N209" s="371" t="s">
        <v>854</v>
      </c>
      <c r="O209" s="371" t="s">
        <v>541</v>
      </c>
      <c r="P209" s="372">
        <v>471.52</v>
      </c>
      <c r="Q209" s="371" t="s">
        <v>666</v>
      </c>
      <c r="R209" s="372">
        <v>412.51</v>
      </c>
      <c r="S209" s="371" t="s">
        <v>876</v>
      </c>
      <c r="T209" s="371" t="s">
        <v>682</v>
      </c>
      <c r="U209" s="373"/>
      <c r="V209" s="373"/>
      <c r="W209" s="371"/>
      <c r="X209" s="372"/>
      <c r="Y209" s="371"/>
      <c r="Z209" s="373"/>
      <c r="AA209" s="372"/>
      <c r="AB209" s="372"/>
      <c r="AC209" s="372"/>
      <c r="AD209" s="372"/>
      <c r="AE209" s="372"/>
      <c r="AF209" s="373" t="s">
        <v>855</v>
      </c>
      <c r="AG209" s="371" t="s">
        <v>681</v>
      </c>
      <c r="AH209" s="374">
        <v>42661</v>
      </c>
      <c r="AI209" s="374">
        <v>42661</v>
      </c>
      <c r="AJ209" s="374">
        <v>42832</v>
      </c>
      <c r="AK209" s="374">
        <v>42832</v>
      </c>
      <c r="AL209" s="371"/>
      <c r="AM209" s="371"/>
      <c r="AN209" s="374"/>
      <c r="AO209" s="371"/>
      <c r="AP209" s="374"/>
      <c r="AQ209" s="374"/>
      <c r="AR209" s="374"/>
      <c r="AS209" s="374"/>
      <c r="AT209" s="374"/>
      <c r="AU209" s="371"/>
      <c r="AV209" s="371" t="s">
        <v>711</v>
      </c>
    </row>
    <row r="210" spans="1:48" s="20" customFormat="1" ht="56.25" x14ac:dyDescent="0.2">
      <c r="A210" s="369"/>
      <c r="B210" s="370" t="s">
        <v>647</v>
      </c>
      <c r="C210" s="370" t="s">
        <v>63</v>
      </c>
      <c r="D210" s="369"/>
      <c r="E210" s="369"/>
      <c r="F210" s="369"/>
      <c r="G210" s="369"/>
      <c r="H210" s="369"/>
      <c r="I210" s="369"/>
      <c r="J210" s="369"/>
      <c r="K210" s="369"/>
      <c r="L210" s="369"/>
      <c r="M210" s="371" t="s">
        <v>649</v>
      </c>
      <c r="N210" s="371" t="s">
        <v>856</v>
      </c>
      <c r="O210" s="371" t="s">
        <v>541</v>
      </c>
      <c r="P210" s="372">
        <v>1116.67</v>
      </c>
      <c r="Q210" s="371" t="s">
        <v>651</v>
      </c>
      <c r="R210" s="372">
        <v>981.21</v>
      </c>
      <c r="S210" s="371" t="s">
        <v>876</v>
      </c>
      <c r="T210" s="371" t="s">
        <v>682</v>
      </c>
      <c r="U210" s="373"/>
      <c r="V210" s="373"/>
      <c r="W210" s="371"/>
      <c r="X210" s="372"/>
      <c r="Y210" s="371"/>
      <c r="Z210" s="373"/>
      <c r="AA210" s="372"/>
      <c r="AB210" s="372"/>
      <c r="AC210" s="372"/>
      <c r="AD210" s="372"/>
      <c r="AE210" s="372"/>
      <c r="AF210" s="373" t="s">
        <v>857</v>
      </c>
      <c r="AG210" s="371" t="s">
        <v>681</v>
      </c>
      <c r="AH210" s="374">
        <v>42636</v>
      </c>
      <c r="AI210" s="374">
        <v>42636</v>
      </c>
      <c r="AJ210" s="374">
        <v>42831</v>
      </c>
      <c r="AK210" s="374">
        <v>42831</v>
      </c>
      <c r="AL210" s="371"/>
      <c r="AM210" s="371"/>
      <c r="AN210" s="374"/>
      <c r="AO210" s="371"/>
      <c r="AP210" s="374"/>
      <c r="AQ210" s="374"/>
      <c r="AR210" s="374"/>
      <c r="AS210" s="374"/>
      <c r="AT210" s="374"/>
      <c r="AU210" s="371"/>
      <c r="AV210" s="371" t="s">
        <v>711</v>
      </c>
    </row>
    <row r="211" spans="1:48" s="20" customFormat="1" ht="33.75" x14ac:dyDescent="0.2">
      <c r="A211" s="369"/>
      <c r="B211" s="370" t="s">
        <v>647</v>
      </c>
      <c r="C211" s="370" t="s">
        <v>64</v>
      </c>
      <c r="D211" s="369"/>
      <c r="E211" s="369"/>
      <c r="F211" s="369"/>
      <c r="G211" s="369"/>
      <c r="H211" s="369"/>
      <c r="I211" s="369"/>
      <c r="J211" s="369"/>
      <c r="K211" s="369"/>
      <c r="L211" s="369"/>
      <c r="M211" s="371" t="s">
        <v>649</v>
      </c>
      <c r="N211" s="371" t="s">
        <v>858</v>
      </c>
      <c r="O211" s="371" t="s">
        <v>541</v>
      </c>
      <c r="P211" s="372">
        <v>19409.919999999998</v>
      </c>
      <c r="Q211" s="371" t="s">
        <v>651</v>
      </c>
      <c r="R211" s="372">
        <v>17097.189999999999</v>
      </c>
      <c r="S211" s="371" t="s">
        <v>876</v>
      </c>
      <c r="T211" s="371" t="s">
        <v>877</v>
      </c>
      <c r="U211" s="373"/>
      <c r="V211" s="373"/>
      <c r="W211" s="371"/>
      <c r="X211" s="372"/>
      <c r="Y211" s="371"/>
      <c r="Z211" s="373"/>
      <c r="AA211" s="372"/>
      <c r="AB211" s="372"/>
      <c r="AC211" s="372"/>
      <c r="AD211" s="372"/>
      <c r="AE211" s="372"/>
      <c r="AF211" s="373" t="s">
        <v>859</v>
      </c>
      <c r="AG211" s="371" t="s">
        <v>654</v>
      </c>
      <c r="AH211" s="374">
        <v>42886</v>
      </c>
      <c r="AI211" s="374">
        <v>42886</v>
      </c>
      <c r="AJ211" s="374">
        <v>42907</v>
      </c>
      <c r="AK211" s="374">
        <v>42941</v>
      </c>
      <c r="AL211" s="371"/>
      <c r="AM211" s="371"/>
      <c r="AN211" s="374"/>
      <c r="AO211" s="371"/>
      <c r="AP211" s="374"/>
      <c r="AQ211" s="374"/>
      <c r="AR211" s="374"/>
      <c r="AS211" s="374"/>
      <c r="AT211" s="374"/>
      <c r="AU211" s="371"/>
      <c r="AV211" s="371" t="s">
        <v>807</v>
      </c>
    </row>
    <row r="212" spans="1:48" s="20" customFormat="1" ht="33.75" x14ac:dyDescent="0.2">
      <c r="A212" s="369"/>
      <c r="B212" s="370" t="s">
        <v>647</v>
      </c>
      <c r="C212" s="370" t="s">
        <v>64</v>
      </c>
      <c r="D212" s="369"/>
      <c r="E212" s="369"/>
      <c r="F212" s="369"/>
      <c r="G212" s="369"/>
      <c r="H212" s="369"/>
      <c r="I212" s="369"/>
      <c r="J212" s="369"/>
      <c r="K212" s="369"/>
      <c r="L212" s="369"/>
      <c r="M212" s="371" t="s">
        <v>747</v>
      </c>
      <c r="N212" s="371" t="s">
        <v>860</v>
      </c>
      <c r="O212" s="371" t="s">
        <v>541</v>
      </c>
      <c r="P212" s="372">
        <v>9349.4</v>
      </c>
      <c r="Q212" s="371" t="s">
        <v>666</v>
      </c>
      <c r="R212" s="372">
        <v>8497.9599999999991</v>
      </c>
      <c r="S212" s="371" t="s">
        <v>876</v>
      </c>
      <c r="T212" s="371" t="s">
        <v>682</v>
      </c>
      <c r="U212" s="373" t="s">
        <v>63</v>
      </c>
      <c r="V212" s="373">
        <v>2</v>
      </c>
      <c r="W212" s="371" t="s">
        <v>861</v>
      </c>
      <c r="X212" s="372">
        <v>8491.23</v>
      </c>
      <c r="Y212" s="371"/>
      <c r="Z212" s="373">
        <v>1</v>
      </c>
      <c r="AA212" s="372">
        <v>8489.75</v>
      </c>
      <c r="AB212" s="372">
        <v>8489.75</v>
      </c>
      <c r="AC212" s="372" t="s">
        <v>861</v>
      </c>
      <c r="AD212" s="372">
        <v>8489.75</v>
      </c>
      <c r="AE212" s="372">
        <v>8489.75</v>
      </c>
      <c r="AF212" s="373" t="s">
        <v>862</v>
      </c>
      <c r="AG212" s="371" t="s">
        <v>654</v>
      </c>
      <c r="AH212" s="374">
        <v>42880</v>
      </c>
      <c r="AI212" s="374">
        <v>42880</v>
      </c>
      <c r="AJ212" s="374">
        <v>42899</v>
      </c>
      <c r="AK212" s="374">
        <v>42933</v>
      </c>
      <c r="AL212" s="371"/>
      <c r="AM212" s="371"/>
      <c r="AN212" s="374"/>
      <c r="AO212" s="371"/>
      <c r="AP212" s="374" t="s">
        <v>940</v>
      </c>
      <c r="AQ212" s="374" t="s">
        <v>940</v>
      </c>
      <c r="AR212" s="374" t="s">
        <v>940</v>
      </c>
      <c r="AS212" s="374" t="s">
        <v>940</v>
      </c>
      <c r="AT212" s="374"/>
      <c r="AU212" s="371"/>
      <c r="AV212" s="371"/>
    </row>
    <row r="213" spans="1:48" s="20" customFormat="1" ht="22.5" x14ac:dyDescent="0.2">
      <c r="A213" s="369"/>
      <c r="B213" s="370"/>
      <c r="C213" s="370"/>
      <c r="D213" s="369"/>
      <c r="E213" s="369"/>
      <c r="F213" s="369"/>
      <c r="G213" s="369"/>
      <c r="H213" s="369"/>
      <c r="I213" s="369"/>
      <c r="J213" s="369"/>
      <c r="K213" s="369"/>
      <c r="L213" s="369"/>
      <c r="M213" s="371"/>
      <c r="N213" s="371"/>
      <c r="O213" s="371"/>
      <c r="P213" s="372"/>
      <c r="Q213" s="371"/>
      <c r="R213" s="372"/>
      <c r="S213" s="371"/>
      <c r="T213" s="371"/>
      <c r="U213" s="373"/>
      <c r="V213" s="373"/>
      <c r="W213" s="371" t="s">
        <v>652</v>
      </c>
      <c r="X213" s="372">
        <v>8497.9599999999991</v>
      </c>
      <c r="Y213" s="371"/>
      <c r="Z213" s="374"/>
      <c r="AA213" s="372">
        <v>8497.9599999999991</v>
      </c>
      <c r="AB213" s="372">
        <v>8497.9599999999991</v>
      </c>
      <c r="AC213" s="372"/>
      <c r="AD213" s="372"/>
      <c r="AE213" s="372"/>
      <c r="AF213" s="373"/>
      <c r="AG213" s="371"/>
      <c r="AH213" s="374"/>
      <c r="AI213" s="374"/>
      <c r="AJ213" s="374"/>
      <c r="AK213" s="374"/>
      <c r="AL213" s="371"/>
      <c r="AM213" s="371"/>
      <c r="AN213" s="374"/>
      <c r="AO213" s="371"/>
      <c r="AP213" s="374"/>
      <c r="AQ213" s="374"/>
      <c r="AR213" s="374"/>
      <c r="AS213" s="374"/>
      <c r="AT213" s="374"/>
      <c r="AU213" s="371"/>
      <c r="AV213" s="371"/>
    </row>
    <row r="214" spans="1:48" s="20" customFormat="1" ht="33.75" x14ac:dyDescent="0.2">
      <c r="A214" s="369"/>
      <c r="B214" s="370" t="s">
        <v>647</v>
      </c>
      <c r="C214" s="370" t="s">
        <v>64</v>
      </c>
      <c r="D214" s="369"/>
      <c r="E214" s="369"/>
      <c r="F214" s="369"/>
      <c r="G214" s="369"/>
      <c r="H214" s="369"/>
      <c r="I214" s="369"/>
      <c r="J214" s="369"/>
      <c r="K214" s="369"/>
      <c r="L214" s="369"/>
      <c r="M214" s="371" t="s">
        <v>664</v>
      </c>
      <c r="N214" s="371" t="s">
        <v>736</v>
      </c>
      <c r="O214" s="371" t="s">
        <v>541</v>
      </c>
      <c r="P214" s="372">
        <v>113770</v>
      </c>
      <c r="Q214" s="371" t="s">
        <v>666</v>
      </c>
      <c r="R214" s="372">
        <v>100637</v>
      </c>
      <c r="S214" s="371" t="s">
        <v>876</v>
      </c>
      <c r="T214" s="371" t="s">
        <v>656</v>
      </c>
      <c r="U214" s="373"/>
      <c r="V214" s="373"/>
      <c r="W214" s="371"/>
      <c r="X214" s="372"/>
      <c r="Y214" s="371"/>
      <c r="Z214" s="373"/>
      <c r="AA214" s="372"/>
      <c r="AB214" s="372"/>
      <c r="AC214" s="372"/>
      <c r="AD214" s="372"/>
      <c r="AE214" s="372"/>
      <c r="AF214" s="373" t="s">
        <v>737</v>
      </c>
      <c r="AG214" s="371" t="s">
        <v>654</v>
      </c>
      <c r="AH214" s="374">
        <v>42893</v>
      </c>
      <c r="AI214" s="374">
        <v>42893</v>
      </c>
      <c r="AJ214" s="374">
        <v>42914</v>
      </c>
      <c r="AK214" s="374">
        <v>42916</v>
      </c>
      <c r="AL214" s="371"/>
      <c r="AM214" s="371"/>
      <c r="AN214" s="374"/>
      <c r="AO214" s="371"/>
      <c r="AP214" s="374"/>
      <c r="AQ214" s="374"/>
      <c r="AR214" s="374"/>
      <c r="AS214" s="374"/>
      <c r="AT214" s="374"/>
      <c r="AU214" s="371"/>
      <c r="AV214" s="371" t="s">
        <v>676</v>
      </c>
    </row>
    <row r="215" spans="1:48" s="20" customFormat="1" ht="45" x14ac:dyDescent="0.2">
      <c r="A215" s="369"/>
      <c r="B215" s="370" t="s">
        <v>647</v>
      </c>
      <c r="C215" s="370" t="s">
        <v>64</v>
      </c>
      <c r="D215" s="369"/>
      <c r="E215" s="369"/>
      <c r="F215" s="369"/>
      <c r="G215" s="369"/>
      <c r="H215" s="369"/>
      <c r="I215" s="369"/>
      <c r="J215" s="369"/>
      <c r="K215" s="369"/>
      <c r="L215" s="369"/>
      <c r="M215" s="371" t="s">
        <v>649</v>
      </c>
      <c r="N215" s="371" t="s">
        <v>863</v>
      </c>
      <c r="O215" s="371" t="s">
        <v>541</v>
      </c>
      <c r="P215" s="372">
        <v>2827.63</v>
      </c>
      <c r="Q215" s="371" t="s">
        <v>651</v>
      </c>
      <c r="R215" s="372">
        <v>2484.85</v>
      </c>
      <c r="S215" s="371" t="s">
        <v>876</v>
      </c>
      <c r="T215" s="371" t="s">
        <v>682</v>
      </c>
      <c r="U215" s="373"/>
      <c r="V215" s="373"/>
      <c r="W215" s="371"/>
      <c r="X215" s="372"/>
      <c r="Y215" s="371"/>
      <c r="Z215" s="373"/>
      <c r="AA215" s="372"/>
      <c r="AB215" s="372"/>
      <c r="AC215" s="372"/>
      <c r="AD215" s="372"/>
      <c r="AE215" s="372"/>
      <c r="AF215" s="373" t="s">
        <v>864</v>
      </c>
      <c r="AG215" s="371" t="s">
        <v>681</v>
      </c>
      <c r="AH215" s="374">
        <v>42877</v>
      </c>
      <c r="AI215" s="374">
        <v>42877</v>
      </c>
      <c r="AJ215" s="374">
        <v>42913</v>
      </c>
      <c r="AK215" s="374">
        <v>42947</v>
      </c>
      <c r="AL215" s="371"/>
      <c r="AM215" s="371"/>
      <c r="AN215" s="374"/>
      <c r="AO215" s="371"/>
      <c r="AP215" s="374"/>
      <c r="AQ215" s="374"/>
      <c r="AR215" s="374"/>
      <c r="AS215" s="374"/>
      <c r="AT215" s="374"/>
      <c r="AU215" s="371"/>
      <c r="AV215" s="371" t="s">
        <v>676</v>
      </c>
    </row>
    <row r="216" spans="1:48" s="20" customFormat="1" ht="45" x14ac:dyDescent="0.2">
      <c r="A216" s="369"/>
      <c r="B216" s="370" t="s">
        <v>647</v>
      </c>
      <c r="C216" s="370" t="s">
        <v>64</v>
      </c>
      <c r="D216" s="369"/>
      <c r="E216" s="369"/>
      <c r="F216" s="369"/>
      <c r="G216" s="369"/>
      <c r="H216" s="369"/>
      <c r="I216" s="369"/>
      <c r="J216" s="369"/>
      <c r="K216" s="369"/>
      <c r="L216" s="369"/>
      <c r="M216" s="371" t="s">
        <v>649</v>
      </c>
      <c r="N216" s="371" t="s">
        <v>865</v>
      </c>
      <c r="O216" s="371" t="s">
        <v>541</v>
      </c>
      <c r="P216" s="372">
        <v>2065</v>
      </c>
      <c r="Q216" s="371" t="s">
        <v>651</v>
      </c>
      <c r="R216" s="372">
        <v>1810.83</v>
      </c>
      <c r="S216" s="371" t="s">
        <v>876</v>
      </c>
      <c r="T216" s="371" t="s">
        <v>682</v>
      </c>
      <c r="U216" s="373"/>
      <c r="V216" s="373"/>
      <c r="W216" s="371"/>
      <c r="X216" s="372"/>
      <c r="Y216" s="371"/>
      <c r="Z216" s="373"/>
      <c r="AA216" s="372"/>
      <c r="AB216" s="372"/>
      <c r="AC216" s="372"/>
      <c r="AD216" s="372"/>
      <c r="AE216" s="372"/>
      <c r="AF216" s="373" t="s">
        <v>866</v>
      </c>
      <c r="AG216" s="371" t="s">
        <v>681</v>
      </c>
      <c r="AH216" s="374">
        <v>42852</v>
      </c>
      <c r="AI216" s="374">
        <v>42852</v>
      </c>
      <c r="AJ216" s="374">
        <v>42913</v>
      </c>
      <c r="AK216" s="374">
        <v>42947</v>
      </c>
      <c r="AL216" s="371"/>
      <c r="AM216" s="371"/>
      <c r="AN216" s="374"/>
      <c r="AO216" s="371"/>
      <c r="AP216" s="374"/>
      <c r="AQ216" s="374"/>
      <c r="AR216" s="374"/>
      <c r="AS216" s="374"/>
      <c r="AT216" s="374"/>
      <c r="AU216" s="371"/>
      <c r="AV216" s="371" t="s">
        <v>676</v>
      </c>
    </row>
    <row r="217" spans="1:48" s="20" customFormat="1" ht="45" x14ac:dyDescent="0.2">
      <c r="A217" s="369"/>
      <c r="B217" s="370" t="s">
        <v>647</v>
      </c>
      <c r="C217" s="370" t="s">
        <v>64</v>
      </c>
      <c r="D217" s="369"/>
      <c r="E217" s="369"/>
      <c r="F217" s="369"/>
      <c r="G217" s="369"/>
      <c r="H217" s="369"/>
      <c r="I217" s="369"/>
      <c r="J217" s="369"/>
      <c r="K217" s="369"/>
      <c r="L217" s="369"/>
      <c r="M217" s="371" t="s">
        <v>649</v>
      </c>
      <c r="N217" s="371" t="s">
        <v>867</v>
      </c>
      <c r="O217" s="371" t="s">
        <v>541</v>
      </c>
      <c r="P217" s="372">
        <v>1463.37</v>
      </c>
      <c r="Q217" s="371" t="s">
        <v>651</v>
      </c>
      <c r="R217" s="372">
        <v>1285.5</v>
      </c>
      <c r="S217" s="371" t="s">
        <v>876</v>
      </c>
      <c r="T217" s="371" t="s">
        <v>682</v>
      </c>
      <c r="U217" s="373"/>
      <c r="V217" s="373"/>
      <c r="W217" s="371"/>
      <c r="X217" s="372"/>
      <c r="Y217" s="371"/>
      <c r="Z217" s="373"/>
      <c r="AA217" s="372"/>
      <c r="AB217" s="372"/>
      <c r="AC217" s="372"/>
      <c r="AD217" s="372"/>
      <c r="AE217" s="372"/>
      <c r="AF217" s="373" t="s">
        <v>868</v>
      </c>
      <c r="AG217" s="371" t="s">
        <v>681</v>
      </c>
      <c r="AH217" s="374">
        <v>42851</v>
      </c>
      <c r="AI217" s="374">
        <v>42851</v>
      </c>
      <c r="AJ217" s="374">
        <v>42912</v>
      </c>
      <c r="AK217" s="374">
        <v>42944</v>
      </c>
      <c r="AL217" s="371"/>
      <c r="AM217" s="371"/>
      <c r="AN217" s="374"/>
      <c r="AO217" s="371"/>
      <c r="AP217" s="374"/>
      <c r="AQ217" s="374"/>
      <c r="AR217" s="374"/>
      <c r="AS217" s="374"/>
      <c r="AT217" s="374"/>
      <c r="AU217" s="371"/>
      <c r="AV217" s="371" t="s">
        <v>676</v>
      </c>
    </row>
    <row r="218" spans="1:48" s="20" customFormat="1" ht="56.25" x14ac:dyDescent="0.2">
      <c r="A218" s="369"/>
      <c r="B218" s="370" t="s">
        <v>647</v>
      </c>
      <c r="C218" s="370" t="s">
        <v>64</v>
      </c>
      <c r="D218" s="369"/>
      <c r="E218" s="369"/>
      <c r="F218" s="369"/>
      <c r="G218" s="369"/>
      <c r="H218" s="369"/>
      <c r="I218" s="369"/>
      <c r="J218" s="369"/>
      <c r="K218" s="369"/>
      <c r="L218" s="369"/>
      <c r="M218" s="371" t="s">
        <v>649</v>
      </c>
      <c r="N218" s="371" t="s">
        <v>869</v>
      </c>
      <c r="O218" s="371" t="s">
        <v>541</v>
      </c>
      <c r="P218" s="372">
        <v>294</v>
      </c>
      <c r="Q218" s="371" t="s">
        <v>651</v>
      </c>
      <c r="R218" s="372">
        <v>257.73</v>
      </c>
      <c r="S218" s="371" t="s">
        <v>876</v>
      </c>
      <c r="T218" s="371" t="s">
        <v>683</v>
      </c>
      <c r="U218" s="373" t="s">
        <v>64</v>
      </c>
      <c r="V218" s="373" t="s">
        <v>64</v>
      </c>
      <c r="W218" s="371" t="s">
        <v>941</v>
      </c>
      <c r="X218" s="372">
        <v>247</v>
      </c>
      <c r="Y218" s="371"/>
      <c r="Z218" s="373"/>
      <c r="AA218" s="372"/>
      <c r="AB218" s="372"/>
      <c r="AC218" s="372" t="s">
        <v>941</v>
      </c>
      <c r="AD218" s="372">
        <v>247</v>
      </c>
      <c r="AE218" s="372">
        <v>247</v>
      </c>
      <c r="AF218" s="373" t="s">
        <v>870</v>
      </c>
      <c r="AG218" s="371" t="s">
        <v>681</v>
      </c>
      <c r="AH218" s="374">
        <v>42877</v>
      </c>
      <c r="AI218" s="374">
        <v>42877</v>
      </c>
      <c r="AJ218" s="374">
        <v>42894</v>
      </c>
      <c r="AK218" s="374">
        <v>42928</v>
      </c>
      <c r="AL218" s="371"/>
      <c r="AM218" s="371"/>
      <c r="AN218" s="374"/>
      <c r="AO218" s="371"/>
      <c r="AP218" s="374"/>
      <c r="AQ218" s="374"/>
      <c r="AR218" s="374"/>
      <c r="AS218" s="374"/>
      <c r="AT218" s="374"/>
      <c r="AU218" s="371"/>
      <c r="AV218" s="371" t="s">
        <v>935</v>
      </c>
    </row>
    <row r="219" spans="1:48" s="20" customFormat="1" ht="33.75" x14ac:dyDescent="0.2">
      <c r="A219" s="369"/>
      <c r="B219" s="370" t="s">
        <v>648</v>
      </c>
      <c r="C219" s="370" t="s">
        <v>64</v>
      </c>
      <c r="D219" s="369"/>
      <c r="E219" s="369"/>
      <c r="F219" s="369"/>
      <c r="G219" s="369"/>
      <c r="H219" s="369"/>
      <c r="I219" s="369"/>
      <c r="J219" s="369"/>
      <c r="K219" s="369"/>
      <c r="L219" s="369"/>
      <c r="M219" s="371" t="s">
        <v>664</v>
      </c>
      <c r="N219" s="371" t="s">
        <v>738</v>
      </c>
      <c r="O219" s="371" t="s">
        <v>541</v>
      </c>
      <c r="P219" s="372">
        <v>1293</v>
      </c>
      <c r="Q219" s="371" t="s">
        <v>666</v>
      </c>
      <c r="R219" s="372">
        <v>1033</v>
      </c>
      <c r="S219" s="371" t="s">
        <v>876</v>
      </c>
      <c r="T219" s="371" t="s">
        <v>682</v>
      </c>
      <c r="U219" s="373" t="s">
        <v>59</v>
      </c>
      <c r="V219" s="373" t="s">
        <v>59</v>
      </c>
      <c r="W219" s="371" t="s">
        <v>715</v>
      </c>
      <c r="X219" s="372">
        <v>981.29</v>
      </c>
      <c r="Y219" s="371"/>
      <c r="Z219" s="373"/>
      <c r="AA219" s="372"/>
      <c r="AB219" s="372"/>
      <c r="AC219" s="372" t="s">
        <v>715</v>
      </c>
      <c r="AD219" s="372">
        <v>981.29</v>
      </c>
      <c r="AE219" s="372">
        <v>981.29</v>
      </c>
      <c r="AF219" s="373" t="s">
        <v>739</v>
      </c>
      <c r="AG219" s="371" t="s">
        <v>681</v>
      </c>
      <c r="AH219" s="374">
        <v>42859</v>
      </c>
      <c r="AI219" s="374">
        <v>42859</v>
      </c>
      <c r="AJ219" s="374">
        <v>42877</v>
      </c>
      <c r="AK219" s="374">
        <v>42928</v>
      </c>
      <c r="AL219" s="371"/>
      <c r="AM219" s="371"/>
      <c r="AN219" s="374"/>
      <c r="AO219" s="371"/>
      <c r="AP219" s="374"/>
      <c r="AQ219" s="374"/>
      <c r="AR219" s="374"/>
      <c r="AS219" s="374"/>
      <c r="AT219" s="374"/>
      <c r="AU219" s="371"/>
      <c r="AV219" s="371"/>
    </row>
    <row r="220" spans="1:48" s="20" customFormat="1" ht="45" x14ac:dyDescent="0.2">
      <c r="A220" s="369"/>
      <c r="B220" s="370"/>
      <c r="C220" s="370"/>
      <c r="D220" s="369"/>
      <c r="E220" s="369"/>
      <c r="F220" s="369"/>
      <c r="G220" s="369"/>
      <c r="H220" s="369"/>
      <c r="I220" s="369"/>
      <c r="J220" s="369"/>
      <c r="K220" s="369"/>
      <c r="L220" s="369"/>
      <c r="M220" s="371"/>
      <c r="N220" s="371"/>
      <c r="O220" s="371"/>
      <c r="P220" s="372"/>
      <c r="Q220" s="371"/>
      <c r="R220" s="372"/>
      <c r="S220" s="371"/>
      <c r="T220" s="371"/>
      <c r="U220" s="373"/>
      <c r="V220" s="373"/>
      <c r="W220" s="371" t="s">
        <v>942</v>
      </c>
      <c r="X220" s="372">
        <v>1028.33</v>
      </c>
      <c r="Y220" s="371"/>
      <c r="Z220" s="374"/>
      <c r="AA220" s="372"/>
      <c r="AB220" s="372"/>
      <c r="AC220" s="372"/>
      <c r="AD220" s="372"/>
      <c r="AE220" s="372"/>
      <c r="AF220" s="373"/>
      <c r="AG220" s="371"/>
      <c r="AH220" s="374"/>
      <c r="AI220" s="374"/>
      <c r="AJ220" s="374"/>
      <c r="AK220" s="374"/>
      <c r="AL220" s="371"/>
      <c r="AM220" s="371"/>
      <c r="AN220" s="374"/>
      <c r="AO220" s="371"/>
      <c r="AP220" s="374"/>
      <c r="AQ220" s="374"/>
      <c r="AR220" s="374"/>
      <c r="AS220" s="374"/>
      <c r="AT220" s="374"/>
      <c r="AU220" s="371"/>
      <c r="AV220" s="371"/>
    </row>
    <row r="221" spans="1:48" s="20" customFormat="1" ht="22.5" x14ac:dyDescent="0.2">
      <c r="A221" s="369"/>
      <c r="B221" s="370"/>
      <c r="C221" s="370"/>
      <c r="D221" s="369"/>
      <c r="E221" s="369"/>
      <c r="F221" s="369"/>
      <c r="G221" s="369"/>
      <c r="H221" s="369"/>
      <c r="I221" s="369"/>
      <c r="J221" s="369"/>
      <c r="K221" s="369"/>
      <c r="L221" s="369"/>
      <c r="M221" s="371"/>
      <c r="N221" s="371"/>
      <c r="O221" s="371"/>
      <c r="P221" s="372"/>
      <c r="Q221" s="371"/>
      <c r="R221" s="372"/>
      <c r="S221" s="371"/>
      <c r="T221" s="371"/>
      <c r="U221" s="373"/>
      <c r="V221" s="373"/>
      <c r="W221" s="371" t="s">
        <v>917</v>
      </c>
      <c r="X221" s="372">
        <v>702.49</v>
      </c>
      <c r="Y221" s="371" t="s">
        <v>917</v>
      </c>
      <c r="Z221" s="374"/>
      <c r="AA221" s="372"/>
      <c r="AB221" s="372"/>
      <c r="AC221" s="372"/>
      <c r="AD221" s="372"/>
      <c r="AE221" s="372"/>
      <c r="AF221" s="373"/>
      <c r="AG221" s="371"/>
      <c r="AH221" s="374"/>
      <c r="AI221" s="374"/>
      <c r="AJ221" s="374"/>
      <c r="AK221" s="374"/>
      <c r="AL221" s="371"/>
      <c r="AM221" s="371"/>
      <c r="AN221" s="374"/>
      <c r="AO221" s="371"/>
      <c r="AP221" s="374"/>
      <c r="AQ221" s="374"/>
      <c r="AR221" s="374"/>
      <c r="AS221" s="374"/>
      <c r="AT221" s="374"/>
      <c r="AU221" s="371"/>
      <c r="AV221" s="371"/>
    </row>
    <row r="222" spans="1:48" s="20" customFormat="1" ht="22.5" x14ac:dyDescent="0.2">
      <c r="A222" s="369"/>
      <c r="B222" s="370"/>
      <c r="C222" s="370"/>
      <c r="D222" s="369"/>
      <c r="E222" s="369"/>
      <c r="F222" s="369"/>
      <c r="G222" s="369"/>
      <c r="H222" s="369"/>
      <c r="I222" s="369"/>
      <c r="J222" s="369"/>
      <c r="K222" s="369"/>
      <c r="L222" s="369"/>
      <c r="M222" s="371"/>
      <c r="N222" s="371"/>
      <c r="O222" s="371"/>
      <c r="P222" s="372"/>
      <c r="Q222" s="371"/>
      <c r="R222" s="372"/>
      <c r="S222" s="371"/>
      <c r="T222" s="371"/>
      <c r="U222" s="373"/>
      <c r="V222" s="373"/>
      <c r="W222" s="371" t="s">
        <v>684</v>
      </c>
      <c r="X222" s="372">
        <v>1031.33</v>
      </c>
      <c r="Y222" s="371"/>
      <c r="Z222" s="374"/>
      <c r="AA222" s="372"/>
      <c r="AB222" s="372"/>
      <c r="AC222" s="372"/>
      <c r="AD222" s="372"/>
      <c r="AE222" s="372"/>
      <c r="AF222" s="373"/>
      <c r="AG222" s="371"/>
      <c r="AH222" s="374"/>
      <c r="AI222" s="374"/>
      <c r="AJ222" s="374"/>
      <c r="AK222" s="374"/>
      <c r="AL222" s="371"/>
      <c r="AM222" s="371"/>
      <c r="AN222" s="374"/>
      <c r="AO222" s="371"/>
      <c r="AP222" s="374"/>
      <c r="AQ222" s="374"/>
      <c r="AR222" s="374"/>
      <c r="AS222" s="374"/>
      <c r="AT222" s="374"/>
      <c r="AU222" s="371"/>
      <c r="AV222" s="371"/>
    </row>
    <row r="223" spans="1:48" s="20" customFormat="1" ht="56.25" x14ac:dyDescent="0.2">
      <c r="A223" s="369"/>
      <c r="B223" s="370"/>
      <c r="C223" s="370"/>
      <c r="D223" s="369"/>
      <c r="E223" s="369"/>
      <c r="F223" s="369"/>
      <c r="G223" s="369"/>
      <c r="H223" s="369"/>
      <c r="I223" s="369"/>
      <c r="J223" s="369"/>
      <c r="K223" s="369"/>
      <c r="L223" s="369"/>
      <c r="M223" s="371"/>
      <c r="N223" s="371"/>
      <c r="O223" s="371"/>
      <c r="P223" s="372"/>
      <c r="Q223" s="371"/>
      <c r="R223" s="372"/>
      <c r="S223" s="371"/>
      <c r="T223" s="371"/>
      <c r="U223" s="373"/>
      <c r="V223" s="373"/>
      <c r="W223" s="371" t="s">
        <v>916</v>
      </c>
      <c r="X223" s="372">
        <v>860.31</v>
      </c>
      <c r="Y223" s="371" t="s">
        <v>916</v>
      </c>
      <c r="Z223" s="374"/>
      <c r="AA223" s="372"/>
      <c r="AB223" s="372"/>
      <c r="AC223" s="372"/>
      <c r="AD223" s="372"/>
      <c r="AE223" s="372"/>
      <c r="AF223" s="373"/>
      <c r="AG223" s="371"/>
      <c r="AH223" s="374"/>
      <c r="AI223" s="374"/>
      <c r="AJ223" s="374"/>
      <c r="AK223" s="374"/>
      <c r="AL223" s="371"/>
      <c r="AM223" s="371"/>
      <c r="AN223" s="374"/>
      <c r="AO223" s="371"/>
      <c r="AP223" s="374"/>
      <c r="AQ223" s="374"/>
      <c r="AR223" s="374"/>
      <c r="AS223" s="374"/>
      <c r="AT223" s="374"/>
      <c r="AU223" s="371"/>
      <c r="AV223" s="371"/>
    </row>
    <row r="224" spans="1:48" s="20" customFormat="1" ht="22.5" x14ac:dyDescent="0.2">
      <c r="A224" s="369"/>
      <c r="B224" s="370" t="s">
        <v>648</v>
      </c>
      <c r="C224" s="370" t="s">
        <v>64</v>
      </c>
      <c r="D224" s="369"/>
      <c r="E224" s="369"/>
      <c r="F224" s="369"/>
      <c r="G224" s="369"/>
      <c r="H224" s="369"/>
      <c r="I224" s="369"/>
      <c r="J224" s="369"/>
      <c r="K224" s="369"/>
      <c r="L224" s="369"/>
      <c r="M224" s="371" t="s">
        <v>664</v>
      </c>
      <c r="N224" s="371" t="s">
        <v>692</v>
      </c>
      <c r="O224" s="371" t="s">
        <v>541</v>
      </c>
      <c r="P224" s="372">
        <v>1293</v>
      </c>
      <c r="Q224" s="371" t="s">
        <v>666</v>
      </c>
      <c r="R224" s="372">
        <v>1033</v>
      </c>
      <c r="S224" s="371" t="s">
        <v>876</v>
      </c>
      <c r="T224" s="371" t="s">
        <v>672</v>
      </c>
      <c r="U224" s="373"/>
      <c r="V224" s="373"/>
      <c r="W224" s="371"/>
      <c r="X224" s="372"/>
      <c r="Y224" s="371"/>
      <c r="Z224" s="373"/>
      <c r="AA224" s="372"/>
      <c r="AB224" s="372"/>
      <c r="AC224" s="372"/>
      <c r="AD224" s="372"/>
      <c r="AE224" s="372"/>
      <c r="AF224" s="373" t="s">
        <v>740</v>
      </c>
      <c r="AG224" s="371" t="s">
        <v>681</v>
      </c>
      <c r="AH224" s="374">
        <v>42839</v>
      </c>
      <c r="AI224" s="374">
        <v>42839</v>
      </c>
      <c r="AJ224" s="374">
        <v>42920</v>
      </c>
      <c r="AK224" s="374">
        <v>42954</v>
      </c>
      <c r="AL224" s="371"/>
      <c r="AM224" s="371"/>
      <c r="AN224" s="374"/>
      <c r="AO224" s="371"/>
      <c r="AP224" s="374"/>
      <c r="AQ224" s="374"/>
      <c r="AR224" s="374"/>
      <c r="AS224" s="374"/>
      <c r="AT224" s="374"/>
      <c r="AU224" s="371"/>
      <c r="AV224" s="371" t="s">
        <v>676</v>
      </c>
    </row>
    <row r="225" spans="1:48" s="20" customFormat="1" ht="45" x14ac:dyDescent="0.2">
      <c r="A225" s="369"/>
      <c r="B225" s="370" t="s">
        <v>647</v>
      </c>
      <c r="C225" s="370" t="s">
        <v>64</v>
      </c>
      <c r="D225" s="369"/>
      <c r="E225" s="369"/>
      <c r="F225" s="369"/>
      <c r="G225" s="369"/>
      <c r="H225" s="369"/>
      <c r="I225" s="369"/>
      <c r="J225" s="369"/>
      <c r="K225" s="369"/>
      <c r="L225" s="369"/>
      <c r="M225" s="371" t="s">
        <v>649</v>
      </c>
      <c r="N225" s="371" t="s">
        <v>871</v>
      </c>
      <c r="O225" s="371" t="s">
        <v>541</v>
      </c>
      <c r="P225" s="372">
        <v>7429.13</v>
      </c>
      <c r="Q225" s="371" t="s">
        <v>651</v>
      </c>
      <c r="R225" s="372">
        <v>6552.11</v>
      </c>
      <c r="S225" s="371" t="s">
        <v>876</v>
      </c>
      <c r="T225" s="371" t="s">
        <v>877</v>
      </c>
      <c r="U225" s="373"/>
      <c r="V225" s="373"/>
      <c r="W225" s="371"/>
      <c r="X225" s="372"/>
      <c r="Y225" s="371"/>
      <c r="Z225" s="373"/>
      <c r="AA225" s="372"/>
      <c r="AB225" s="372"/>
      <c r="AC225" s="372"/>
      <c r="AD225" s="372"/>
      <c r="AE225" s="372"/>
      <c r="AF225" s="373" t="s">
        <v>872</v>
      </c>
      <c r="AG225" s="371" t="s">
        <v>654</v>
      </c>
      <c r="AH225" s="374">
        <v>42909</v>
      </c>
      <c r="AI225" s="374">
        <v>42909</v>
      </c>
      <c r="AJ225" s="374">
        <v>42920</v>
      </c>
      <c r="AK225" s="374">
        <v>42954</v>
      </c>
      <c r="AL225" s="371"/>
      <c r="AM225" s="371"/>
      <c r="AN225" s="374"/>
      <c r="AO225" s="371"/>
      <c r="AP225" s="374"/>
      <c r="AQ225" s="374"/>
      <c r="AR225" s="374"/>
      <c r="AS225" s="374"/>
      <c r="AT225" s="374"/>
      <c r="AU225" s="371"/>
      <c r="AV225" s="371" t="s">
        <v>676</v>
      </c>
    </row>
    <row r="226" spans="1:48" s="20" customFormat="1" ht="67.5" x14ac:dyDescent="0.2">
      <c r="A226" s="369"/>
      <c r="B226" s="370" t="s">
        <v>647</v>
      </c>
      <c r="C226" s="370" t="s">
        <v>64</v>
      </c>
      <c r="D226" s="369"/>
      <c r="E226" s="369"/>
      <c r="F226" s="369"/>
      <c r="G226" s="369"/>
      <c r="H226" s="369"/>
      <c r="I226" s="369"/>
      <c r="J226" s="369"/>
      <c r="K226" s="369"/>
      <c r="L226" s="369"/>
      <c r="M226" s="371" t="s">
        <v>649</v>
      </c>
      <c r="N226" s="371" t="s">
        <v>741</v>
      </c>
      <c r="O226" s="371" t="s">
        <v>541</v>
      </c>
      <c r="P226" s="372">
        <v>17338.71</v>
      </c>
      <c r="Q226" s="371" t="s">
        <v>651</v>
      </c>
      <c r="R226" s="372">
        <v>15252.5</v>
      </c>
      <c r="S226" s="371" t="s">
        <v>876</v>
      </c>
      <c r="T226" s="371" t="s">
        <v>877</v>
      </c>
      <c r="U226" s="373"/>
      <c r="V226" s="373"/>
      <c r="W226" s="371"/>
      <c r="X226" s="372"/>
      <c r="Y226" s="371"/>
      <c r="Z226" s="373"/>
      <c r="AA226" s="372"/>
      <c r="AB226" s="372"/>
      <c r="AC226" s="372"/>
      <c r="AD226" s="372"/>
      <c r="AE226" s="372"/>
      <c r="AF226" s="373" t="s">
        <v>742</v>
      </c>
      <c r="AG226" s="371" t="s">
        <v>654</v>
      </c>
      <c r="AH226" s="374">
        <v>42916</v>
      </c>
      <c r="AI226" s="374">
        <v>42916</v>
      </c>
      <c r="AJ226" s="374">
        <v>42926</v>
      </c>
      <c r="AK226" s="374">
        <v>42961</v>
      </c>
      <c r="AL226" s="371"/>
      <c r="AM226" s="371"/>
      <c r="AN226" s="374"/>
      <c r="AO226" s="371"/>
      <c r="AP226" s="374"/>
      <c r="AQ226" s="374"/>
      <c r="AR226" s="374"/>
      <c r="AS226" s="374"/>
      <c r="AT226" s="374"/>
      <c r="AU226" s="371"/>
      <c r="AV226" s="371" t="s">
        <v>676</v>
      </c>
    </row>
    <row r="227" spans="1:48" s="20" customFormat="1" ht="45" x14ac:dyDescent="0.2">
      <c r="A227" s="369"/>
      <c r="B227" s="370" t="s">
        <v>647</v>
      </c>
      <c r="C227" s="370" t="s">
        <v>64</v>
      </c>
      <c r="D227" s="369"/>
      <c r="E227" s="369"/>
      <c r="F227" s="369"/>
      <c r="G227" s="369"/>
      <c r="H227" s="369"/>
      <c r="I227" s="369"/>
      <c r="J227" s="369"/>
      <c r="K227" s="369"/>
      <c r="L227" s="369"/>
      <c r="M227" s="371" t="s">
        <v>649</v>
      </c>
      <c r="N227" s="371" t="s">
        <v>873</v>
      </c>
      <c r="O227" s="371" t="s">
        <v>541</v>
      </c>
      <c r="P227" s="372">
        <v>10595.99</v>
      </c>
      <c r="Q227" s="371" t="s">
        <v>651</v>
      </c>
      <c r="R227" s="372">
        <v>9329.7000000000007</v>
      </c>
      <c r="S227" s="371" t="s">
        <v>876</v>
      </c>
      <c r="T227" s="371" t="s">
        <v>877</v>
      </c>
      <c r="U227" s="373" t="s">
        <v>59</v>
      </c>
      <c r="V227" s="373">
        <v>2</v>
      </c>
      <c r="W227" s="371" t="s">
        <v>799</v>
      </c>
      <c r="X227" s="372">
        <v>9283.0499999999993</v>
      </c>
      <c r="Y227" s="371"/>
      <c r="Z227" s="373"/>
      <c r="AA227" s="372"/>
      <c r="AB227" s="372"/>
      <c r="AC227" s="372" t="s">
        <v>799</v>
      </c>
      <c r="AD227" s="372">
        <v>9283.0499999999993</v>
      </c>
      <c r="AE227" s="372">
        <v>9283.0499999999993</v>
      </c>
      <c r="AF227" s="373" t="s">
        <v>874</v>
      </c>
      <c r="AG227" s="371" t="s">
        <v>654</v>
      </c>
      <c r="AH227" s="374">
        <v>42887</v>
      </c>
      <c r="AI227" s="374">
        <v>42887</v>
      </c>
      <c r="AJ227" s="374">
        <v>42899</v>
      </c>
      <c r="AK227" s="374">
        <v>42913</v>
      </c>
      <c r="AL227" s="371"/>
      <c r="AM227" s="371"/>
      <c r="AN227" s="374"/>
      <c r="AO227" s="371"/>
      <c r="AP227" s="374"/>
      <c r="AQ227" s="374"/>
      <c r="AR227" s="374"/>
      <c r="AS227" s="374"/>
      <c r="AT227" s="374"/>
      <c r="AU227" s="371"/>
      <c r="AV227" s="371"/>
    </row>
    <row r="228" spans="1:48" s="20" customFormat="1" ht="33.75" x14ac:dyDescent="0.2">
      <c r="A228" s="369"/>
      <c r="B228" s="370"/>
      <c r="C228" s="370"/>
      <c r="D228" s="369"/>
      <c r="E228" s="369"/>
      <c r="F228" s="369"/>
      <c r="G228" s="369"/>
      <c r="H228" s="369"/>
      <c r="I228" s="369"/>
      <c r="J228" s="369"/>
      <c r="K228" s="369"/>
      <c r="L228" s="369"/>
      <c r="M228" s="371"/>
      <c r="N228" s="371"/>
      <c r="O228" s="371"/>
      <c r="P228" s="372"/>
      <c r="Q228" s="371"/>
      <c r="R228" s="372"/>
      <c r="S228" s="371"/>
      <c r="T228" s="371"/>
      <c r="U228" s="373"/>
      <c r="V228" s="373"/>
      <c r="W228" s="371" t="s">
        <v>835</v>
      </c>
      <c r="X228" s="372">
        <v>9320.3700000000008</v>
      </c>
      <c r="Y228" s="371"/>
      <c r="Z228" s="374"/>
      <c r="AA228" s="372"/>
      <c r="AB228" s="372"/>
      <c r="AC228" s="372"/>
      <c r="AD228" s="372"/>
      <c r="AE228" s="372"/>
      <c r="AF228" s="373"/>
      <c r="AG228" s="371"/>
      <c r="AH228" s="374"/>
      <c r="AI228" s="374"/>
      <c r="AJ228" s="374"/>
      <c r="AK228" s="374"/>
      <c r="AL228" s="371"/>
      <c r="AM228" s="371"/>
      <c r="AN228" s="374"/>
      <c r="AO228" s="371"/>
      <c r="AP228" s="374"/>
      <c r="AQ228" s="374"/>
      <c r="AR228" s="374"/>
      <c r="AS228" s="374"/>
      <c r="AT228" s="374"/>
      <c r="AU228" s="371"/>
      <c r="AV228" s="371"/>
    </row>
    <row r="229" spans="1:48" s="20" customFormat="1" ht="56.25" x14ac:dyDescent="0.2">
      <c r="A229" s="369"/>
      <c r="B229" s="370" t="s">
        <v>647</v>
      </c>
      <c r="C229" s="370" t="s">
        <v>64</v>
      </c>
      <c r="D229" s="369"/>
      <c r="E229" s="369"/>
      <c r="F229" s="369"/>
      <c r="G229" s="369"/>
      <c r="H229" s="369"/>
      <c r="I229" s="369"/>
      <c r="J229" s="369"/>
      <c r="K229" s="369"/>
      <c r="L229" s="369"/>
      <c r="M229" s="371" t="s">
        <v>649</v>
      </c>
      <c r="N229" s="371" t="s">
        <v>943</v>
      </c>
      <c r="O229" s="371" t="s">
        <v>541</v>
      </c>
      <c r="P229" s="372">
        <v>1140.77</v>
      </c>
      <c r="Q229" s="371" t="s">
        <v>651</v>
      </c>
      <c r="R229" s="372">
        <v>776</v>
      </c>
      <c r="S229" s="371" t="s">
        <v>876</v>
      </c>
      <c r="T229" s="371" t="s">
        <v>682</v>
      </c>
      <c r="U229" s="373"/>
      <c r="V229" s="373"/>
      <c r="W229" s="371"/>
      <c r="X229" s="372"/>
      <c r="Y229" s="371"/>
      <c r="Z229" s="373"/>
      <c r="AA229" s="372"/>
      <c r="AB229" s="372"/>
      <c r="AC229" s="372"/>
      <c r="AD229" s="372"/>
      <c r="AE229" s="372"/>
      <c r="AF229" s="373" t="s">
        <v>944</v>
      </c>
      <c r="AG229" s="371" t="s">
        <v>681</v>
      </c>
      <c r="AH229" s="374">
        <v>42549</v>
      </c>
      <c r="AI229" s="374">
        <v>42914</v>
      </c>
      <c r="AJ229" s="374">
        <v>42908</v>
      </c>
      <c r="AK229" s="374">
        <v>42908</v>
      </c>
      <c r="AL229" s="371"/>
      <c r="AM229" s="371"/>
      <c r="AN229" s="374"/>
      <c r="AO229" s="371"/>
      <c r="AP229" s="374"/>
      <c r="AQ229" s="374"/>
      <c r="AR229" s="374"/>
      <c r="AS229" s="374"/>
      <c r="AT229" s="374"/>
      <c r="AU229" s="371"/>
      <c r="AV229" s="371" t="s">
        <v>945</v>
      </c>
    </row>
    <row r="230" spans="1:48" s="20" customFormat="1" ht="33.75" x14ac:dyDescent="0.2">
      <c r="A230" s="369"/>
      <c r="B230" s="370" t="s">
        <v>647</v>
      </c>
      <c r="C230" s="370" t="s">
        <v>64</v>
      </c>
      <c r="D230" s="369"/>
      <c r="E230" s="369"/>
      <c r="F230" s="369"/>
      <c r="G230" s="369"/>
      <c r="H230" s="369"/>
      <c r="I230" s="369"/>
      <c r="J230" s="369"/>
      <c r="K230" s="369"/>
      <c r="L230" s="369"/>
      <c r="M230" s="371" t="s">
        <v>649</v>
      </c>
      <c r="N230" s="371" t="s">
        <v>946</v>
      </c>
      <c r="O230" s="371" t="s">
        <v>541</v>
      </c>
      <c r="P230" s="372">
        <v>16515.03</v>
      </c>
      <c r="Q230" s="371" t="s">
        <v>651</v>
      </c>
      <c r="R230" s="372">
        <v>14426.49</v>
      </c>
      <c r="S230" s="371" t="s">
        <v>876</v>
      </c>
      <c r="T230" s="371" t="s">
        <v>877</v>
      </c>
      <c r="U230" s="373" t="s">
        <v>61</v>
      </c>
      <c r="V230" s="373">
        <v>2</v>
      </c>
      <c r="W230" s="371" t="s">
        <v>880</v>
      </c>
      <c r="X230" s="372">
        <v>14426.49</v>
      </c>
      <c r="Y230" s="371"/>
      <c r="Z230" s="373">
        <v>1</v>
      </c>
      <c r="AA230" s="372">
        <v>14426.49</v>
      </c>
      <c r="AB230" s="372">
        <v>14426.49</v>
      </c>
      <c r="AC230" s="372" t="s">
        <v>880</v>
      </c>
      <c r="AD230" s="372">
        <v>14426.49</v>
      </c>
      <c r="AE230" s="372">
        <v>4327.95</v>
      </c>
      <c r="AF230" s="373" t="s">
        <v>947</v>
      </c>
      <c r="AG230" s="371" t="s">
        <v>654</v>
      </c>
      <c r="AH230" s="374">
        <v>42923</v>
      </c>
      <c r="AI230" s="374">
        <v>42923</v>
      </c>
      <c r="AJ230" s="374">
        <v>42934</v>
      </c>
      <c r="AK230" s="374">
        <v>42942</v>
      </c>
      <c r="AL230" s="371"/>
      <c r="AM230" s="371"/>
      <c r="AN230" s="374"/>
      <c r="AO230" s="371"/>
      <c r="AP230" s="374"/>
      <c r="AQ230" s="374"/>
      <c r="AR230" s="374"/>
      <c r="AS230" s="374"/>
      <c r="AT230" s="374"/>
      <c r="AU230" s="371"/>
      <c r="AV230" s="371"/>
    </row>
    <row r="231" spans="1:48" s="20" customFormat="1" ht="22.5" x14ac:dyDescent="0.2">
      <c r="A231" s="369"/>
      <c r="B231" s="370"/>
      <c r="C231" s="370"/>
      <c r="D231" s="369"/>
      <c r="E231" s="369"/>
      <c r="F231" s="369"/>
      <c r="G231" s="369"/>
      <c r="H231" s="369"/>
      <c r="I231" s="369"/>
      <c r="J231" s="369"/>
      <c r="K231" s="369"/>
      <c r="L231" s="369"/>
      <c r="M231" s="371"/>
      <c r="N231" s="371"/>
      <c r="O231" s="371"/>
      <c r="P231" s="372"/>
      <c r="Q231" s="371"/>
      <c r="R231" s="372"/>
      <c r="S231" s="371"/>
      <c r="T231" s="371"/>
      <c r="U231" s="373"/>
      <c r="V231" s="373"/>
      <c r="W231" s="371" t="s">
        <v>758</v>
      </c>
      <c r="X231" s="372">
        <v>14426.49</v>
      </c>
      <c r="Y231" s="371"/>
      <c r="Z231" s="374"/>
      <c r="AA231" s="372">
        <v>14426.49</v>
      </c>
      <c r="AB231" s="372">
        <v>14426.49</v>
      </c>
      <c r="AC231" s="372"/>
      <c r="AD231" s="372"/>
      <c r="AE231" s="372"/>
      <c r="AF231" s="373"/>
      <c r="AG231" s="371"/>
      <c r="AH231" s="374"/>
      <c r="AI231" s="374"/>
      <c r="AJ231" s="374"/>
      <c r="AK231" s="374"/>
      <c r="AL231" s="371"/>
      <c r="AM231" s="371"/>
      <c r="AN231" s="374"/>
      <c r="AO231" s="371"/>
      <c r="AP231" s="374"/>
      <c r="AQ231" s="374"/>
      <c r="AR231" s="374"/>
      <c r="AS231" s="374"/>
      <c r="AT231" s="374"/>
      <c r="AU231" s="371"/>
      <c r="AV231" s="371"/>
    </row>
    <row r="232" spans="1:48" s="20" customFormat="1" ht="33.75" x14ac:dyDescent="0.2">
      <c r="A232" s="369"/>
      <c r="B232" s="370" t="s">
        <v>647</v>
      </c>
      <c r="C232" s="370" t="s">
        <v>64</v>
      </c>
      <c r="D232" s="369"/>
      <c r="E232" s="369"/>
      <c r="F232" s="369"/>
      <c r="G232" s="369"/>
      <c r="H232" s="369"/>
      <c r="I232" s="369"/>
      <c r="J232" s="369"/>
      <c r="K232" s="369"/>
      <c r="L232" s="369"/>
      <c r="M232" s="371" t="s">
        <v>649</v>
      </c>
      <c r="N232" s="371" t="s">
        <v>948</v>
      </c>
      <c r="O232" s="371" t="s">
        <v>541</v>
      </c>
      <c r="P232" s="372">
        <v>18148.89</v>
      </c>
      <c r="Q232" s="371" t="s">
        <v>651</v>
      </c>
      <c r="R232" s="372">
        <v>15852.51</v>
      </c>
      <c r="S232" s="371" t="s">
        <v>876</v>
      </c>
      <c r="T232" s="371" t="s">
        <v>936</v>
      </c>
      <c r="U232" s="373" t="s">
        <v>64</v>
      </c>
      <c r="V232" s="373">
        <v>1</v>
      </c>
      <c r="W232" s="371" t="s">
        <v>880</v>
      </c>
      <c r="X232" s="372">
        <v>15852.51</v>
      </c>
      <c r="Y232" s="371"/>
      <c r="Z232" s="373"/>
      <c r="AA232" s="372"/>
      <c r="AB232" s="372"/>
      <c r="AC232" s="372" t="s">
        <v>880</v>
      </c>
      <c r="AD232" s="372">
        <v>15852.51</v>
      </c>
      <c r="AE232" s="372">
        <v>15852.51</v>
      </c>
      <c r="AF232" s="373" t="s">
        <v>949</v>
      </c>
      <c r="AG232" s="371" t="s">
        <v>654</v>
      </c>
      <c r="AH232" s="374">
        <v>42923</v>
      </c>
      <c r="AI232" s="374">
        <v>42923</v>
      </c>
      <c r="AJ232" s="374">
        <v>42934</v>
      </c>
      <c r="AK232" s="374">
        <v>42941</v>
      </c>
      <c r="AL232" s="371"/>
      <c r="AM232" s="371"/>
      <c r="AN232" s="374"/>
      <c r="AO232" s="371"/>
      <c r="AP232" s="374"/>
      <c r="AQ232" s="374"/>
      <c r="AR232" s="374"/>
      <c r="AS232" s="374"/>
      <c r="AT232" s="374"/>
      <c r="AU232" s="371"/>
      <c r="AV232" s="371"/>
    </row>
    <row r="233" spans="1:48" s="20" customFormat="1" ht="45" x14ac:dyDescent="0.2">
      <c r="A233" s="369"/>
      <c r="B233" s="370" t="s">
        <v>647</v>
      </c>
      <c r="C233" s="370" t="s">
        <v>64</v>
      </c>
      <c r="D233" s="369"/>
      <c r="E233" s="369"/>
      <c r="F233" s="369"/>
      <c r="G233" s="369"/>
      <c r="H233" s="369"/>
      <c r="I233" s="369"/>
      <c r="J233" s="369"/>
      <c r="K233" s="369"/>
      <c r="L233" s="369"/>
      <c r="M233" s="371" t="s">
        <v>649</v>
      </c>
      <c r="N233" s="371" t="s">
        <v>950</v>
      </c>
      <c r="O233" s="371" t="s">
        <v>541</v>
      </c>
      <c r="P233" s="372">
        <v>5389.59</v>
      </c>
      <c r="Q233" s="371" t="s">
        <v>651</v>
      </c>
      <c r="R233" s="372">
        <v>4707.78</v>
      </c>
      <c r="S233" s="371" t="s">
        <v>876</v>
      </c>
      <c r="T233" s="371" t="s">
        <v>877</v>
      </c>
      <c r="U233" s="373" t="s">
        <v>62</v>
      </c>
      <c r="V233" s="373">
        <v>2</v>
      </c>
      <c r="W233" s="371" t="s">
        <v>880</v>
      </c>
      <c r="X233" s="372">
        <v>4707.78</v>
      </c>
      <c r="Y233" s="371"/>
      <c r="Z233" s="373">
        <v>1</v>
      </c>
      <c r="AA233" s="372">
        <v>4707.78</v>
      </c>
      <c r="AB233" s="372">
        <v>4707.78</v>
      </c>
      <c r="AC233" s="372" t="s">
        <v>880</v>
      </c>
      <c r="AD233" s="372">
        <v>4707.78</v>
      </c>
      <c r="AE233" s="372">
        <v>4707.78</v>
      </c>
      <c r="AF233" s="373" t="s">
        <v>951</v>
      </c>
      <c r="AG233" s="371" t="s">
        <v>654</v>
      </c>
      <c r="AH233" s="374">
        <v>42921</v>
      </c>
      <c r="AI233" s="374">
        <v>42921</v>
      </c>
      <c r="AJ233" s="374">
        <v>42933</v>
      </c>
      <c r="AK233" s="374">
        <v>42944</v>
      </c>
      <c r="AL233" s="371"/>
      <c r="AM233" s="371"/>
      <c r="AN233" s="374"/>
      <c r="AO233" s="371"/>
      <c r="AP233" s="374"/>
      <c r="AQ233" s="374"/>
      <c r="AR233" s="374"/>
      <c r="AS233" s="374"/>
      <c r="AT233" s="374"/>
      <c r="AU233" s="371"/>
      <c r="AV233" s="371"/>
    </row>
    <row r="234" spans="1:48" s="20" customFormat="1" ht="22.5" x14ac:dyDescent="0.2">
      <c r="A234" s="369"/>
      <c r="B234" s="370"/>
      <c r="C234" s="370"/>
      <c r="D234" s="369"/>
      <c r="E234" s="369"/>
      <c r="F234" s="369"/>
      <c r="G234" s="369"/>
      <c r="H234" s="369"/>
      <c r="I234" s="369"/>
      <c r="J234" s="369"/>
      <c r="K234" s="369"/>
      <c r="L234" s="369"/>
      <c r="M234" s="371"/>
      <c r="N234" s="371"/>
      <c r="O234" s="371"/>
      <c r="P234" s="372"/>
      <c r="Q234" s="371"/>
      <c r="R234" s="372"/>
      <c r="S234" s="371"/>
      <c r="T234" s="371"/>
      <c r="U234" s="373"/>
      <c r="V234" s="373"/>
      <c r="W234" s="371" t="s">
        <v>758</v>
      </c>
      <c r="X234" s="372">
        <v>4707.78</v>
      </c>
      <c r="Y234" s="371"/>
      <c r="Z234" s="374"/>
      <c r="AA234" s="372">
        <v>4707.78</v>
      </c>
      <c r="AB234" s="372">
        <v>4707.78</v>
      </c>
      <c r="AC234" s="372"/>
      <c r="AD234" s="372"/>
      <c r="AE234" s="372"/>
      <c r="AF234" s="373"/>
      <c r="AG234" s="371"/>
      <c r="AH234" s="374"/>
      <c r="AI234" s="374"/>
      <c r="AJ234" s="374"/>
      <c r="AK234" s="374"/>
      <c r="AL234" s="371"/>
      <c r="AM234" s="371"/>
      <c r="AN234" s="374"/>
      <c r="AO234" s="371"/>
      <c r="AP234" s="374"/>
      <c r="AQ234" s="374"/>
      <c r="AR234" s="374"/>
      <c r="AS234" s="374"/>
      <c r="AT234" s="374"/>
      <c r="AU234" s="371"/>
      <c r="AV234" s="371"/>
    </row>
    <row r="235" spans="1:48" s="20" customFormat="1" ht="45" x14ac:dyDescent="0.2">
      <c r="A235" s="369"/>
      <c r="B235" s="370" t="s">
        <v>647</v>
      </c>
      <c r="C235" s="370" t="s">
        <v>64</v>
      </c>
      <c r="D235" s="369"/>
      <c r="E235" s="369"/>
      <c r="F235" s="369"/>
      <c r="G235" s="369"/>
      <c r="H235" s="369"/>
      <c r="I235" s="369"/>
      <c r="J235" s="369"/>
      <c r="K235" s="369"/>
      <c r="L235" s="369"/>
      <c r="M235" s="371" t="s">
        <v>649</v>
      </c>
      <c r="N235" s="371" t="s">
        <v>952</v>
      </c>
      <c r="O235" s="371" t="s">
        <v>541</v>
      </c>
      <c r="P235" s="372">
        <v>4758.8029999999999</v>
      </c>
      <c r="Q235" s="371" t="s">
        <v>651</v>
      </c>
      <c r="R235" s="372">
        <v>4156.82</v>
      </c>
      <c r="S235" s="371" t="s">
        <v>876</v>
      </c>
      <c r="T235" s="371" t="s">
        <v>877</v>
      </c>
      <c r="U235" s="373" t="s">
        <v>62</v>
      </c>
      <c r="V235" s="373">
        <v>2</v>
      </c>
      <c r="W235" s="371" t="s">
        <v>880</v>
      </c>
      <c r="X235" s="372">
        <v>4156.82</v>
      </c>
      <c r="Y235" s="371"/>
      <c r="Z235" s="373">
        <v>1</v>
      </c>
      <c r="AA235" s="372">
        <v>4156.82</v>
      </c>
      <c r="AB235" s="372">
        <v>4156.82</v>
      </c>
      <c r="AC235" s="372" t="s">
        <v>880</v>
      </c>
      <c r="AD235" s="372">
        <v>4156.82</v>
      </c>
      <c r="AE235" s="372">
        <v>4156.82</v>
      </c>
      <c r="AF235" s="373" t="s">
        <v>953</v>
      </c>
      <c r="AG235" s="371" t="s">
        <v>654</v>
      </c>
      <c r="AH235" s="374">
        <v>42921</v>
      </c>
      <c r="AI235" s="374">
        <v>42921</v>
      </c>
      <c r="AJ235" s="374">
        <v>42933</v>
      </c>
      <c r="AK235" s="374">
        <v>42943</v>
      </c>
      <c r="AL235" s="371"/>
      <c r="AM235" s="371"/>
      <c r="AN235" s="374"/>
      <c r="AO235" s="371"/>
      <c r="AP235" s="374"/>
      <c r="AQ235" s="374"/>
      <c r="AR235" s="374"/>
      <c r="AS235" s="374"/>
      <c r="AT235" s="374"/>
      <c r="AU235" s="371"/>
      <c r="AV235" s="371"/>
    </row>
    <row r="236" spans="1:48" s="20" customFormat="1" ht="22.5" x14ac:dyDescent="0.2">
      <c r="A236" s="369"/>
      <c r="B236" s="370"/>
      <c r="C236" s="370"/>
      <c r="D236" s="369"/>
      <c r="E236" s="369"/>
      <c r="F236" s="369"/>
      <c r="G236" s="369"/>
      <c r="H236" s="369"/>
      <c r="I236" s="369"/>
      <c r="J236" s="369"/>
      <c r="K236" s="369"/>
      <c r="L236" s="369"/>
      <c r="M236" s="371"/>
      <c r="N236" s="371"/>
      <c r="O236" s="371"/>
      <c r="P236" s="372"/>
      <c r="Q236" s="371"/>
      <c r="R236" s="372"/>
      <c r="S236" s="371"/>
      <c r="T236" s="371"/>
      <c r="U236" s="373"/>
      <c r="V236" s="373"/>
      <c r="W236" s="371" t="s">
        <v>758</v>
      </c>
      <c r="X236" s="372">
        <v>4156.82</v>
      </c>
      <c r="Y236" s="371"/>
      <c r="Z236" s="374"/>
      <c r="AA236" s="372">
        <v>4156.82</v>
      </c>
      <c r="AB236" s="372">
        <v>4156.82</v>
      </c>
      <c r="AC236" s="372"/>
      <c r="AD236" s="372"/>
      <c r="AE236" s="372"/>
      <c r="AF236" s="373"/>
      <c r="AG236" s="371"/>
      <c r="AH236" s="374"/>
      <c r="AI236" s="374"/>
      <c r="AJ236" s="374"/>
      <c r="AK236" s="374"/>
      <c r="AL236" s="371"/>
      <c r="AM236" s="371"/>
      <c r="AN236" s="374"/>
      <c r="AO236" s="371"/>
      <c r="AP236" s="374"/>
      <c r="AQ236" s="374"/>
      <c r="AR236" s="374"/>
      <c r="AS236" s="374"/>
      <c r="AT236" s="374"/>
      <c r="AU236" s="371"/>
      <c r="AV236" s="371"/>
    </row>
    <row r="237" spans="1:48" s="20" customFormat="1" ht="56.25" x14ac:dyDescent="0.2">
      <c r="A237" s="369"/>
      <c r="B237" s="370" t="s">
        <v>647</v>
      </c>
      <c r="C237" s="370" t="s">
        <v>63</v>
      </c>
      <c r="D237" s="369"/>
      <c r="E237" s="369"/>
      <c r="F237" s="369"/>
      <c r="G237" s="369"/>
      <c r="H237" s="369"/>
      <c r="I237" s="369"/>
      <c r="J237" s="369"/>
      <c r="K237" s="369"/>
      <c r="L237" s="369"/>
      <c r="M237" s="371" t="s">
        <v>649</v>
      </c>
      <c r="N237" s="371" t="s">
        <v>954</v>
      </c>
      <c r="O237" s="371" t="s">
        <v>541</v>
      </c>
      <c r="P237" s="372">
        <v>339.79</v>
      </c>
      <c r="Q237" s="371" t="s">
        <v>651</v>
      </c>
      <c r="R237" s="372">
        <v>329.06</v>
      </c>
      <c r="S237" s="371" t="s">
        <v>876</v>
      </c>
      <c r="T237" s="371" t="s">
        <v>682</v>
      </c>
      <c r="U237" s="373"/>
      <c r="V237" s="373"/>
      <c r="W237" s="371"/>
      <c r="X237" s="372"/>
      <c r="Y237" s="371"/>
      <c r="Z237" s="373"/>
      <c r="AA237" s="372"/>
      <c r="AB237" s="372"/>
      <c r="AC237" s="372"/>
      <c r="AD237" s="372"/>
      <c r="AE237" s="372"/>
      <c r="AF237" s="373" t="s">
        <v>955</v>
      </c>
      <c r="AG237" s="371" t="s">
        <v>681</v>
      </c>
      <c r="AH237" s="374">
        <v>42594</v>
      </c>
      <c r="AI237" s="374">
        <v>42594</v>
      </c>
      <c r="AJ237" s="374">
        <v>42941</v>
      </c>
      <c r="AK237" s="374">
        <v>42941</v>
      </c>
      <c r="AL237" s="371"/>
      <c r="AM237" s="371"/>
      <c r="AN237" s="374"/>
      <c r="AO237" s="371"/>
      <c r="AP237" s="374"/>
      <c r="AQ237" s="374"/>
      <c r="AR237" s="374"/>
      <c r="AS237" s="374"/>
      <c r="AT237" s="374"/>
      <c r="AU237" s="371"/>
      <c r="AV237" s="371" t="s">
        <v>807</v>
      </c>
    </row>
    <row r="238" spans="1:48" s="20" customFormat="1" ht="56.25" x14ac:dyDescent="0.2">
      <c r="A238" s="369"/>
      <c r="B238" s="370" t="s">
        <v>647</v>
      </c>
      <c r="C238" s="370" t="s">
        <v>64</v>
      </c>
      <c r="D238" s="369"/>
      <c r="E238" s="369"/>
      <c r="F238" s="369"/>
      <c r="G238" s="369"/>
      <c r="H238" s="369"/>
      <c r="I238" s="369"/>
      <c r="J238" s="369"/>
      <c r="K238" s="369"/>
      <c r="L238" s="369"/>
      <c r="M238" s="371" t="s">
        <v>649</v>
      </c>
      <c r="N238" s="371" t="s">
        <v>956</v>
      </c>
      <c r="O238" s="371" t="s">
        <v>541</v>
      </c>
      <c r="P238" s="372">
        <v>1815.3</v>
      </c>
      <c r="Q238" s="371" t="s">
        <v>651</v>
      </c>
      <c r="R238" s="372">
        <v>1752.5</v>
      </c>
      <c r="S238" s="371" t="s">
        <v>876</v>
      </c>
      <c r="T238" s="371" t="s">
        <v>682</v>
      </c>
      <c r="U238" s="373"/>
      <c r="V238" s="373"/>
      <c r="W238" s="371"/>
      <c r="X238" s="372"/>
      <c r="Y238" s="371"/>
      <c r="Z238" s="373"/>
      <c r="AA238" s="372"/>
      <c r="AB238" s="372"/>
      <c r="AC238" s="372"/>
      <c r="AD238" s="372"/>
      <c r="AE238" s="372"/>
      <c r="AF238" s="373" t="s">
        <v>957</v>
      </c>
      <c r="AG238" s="371" t="s">
        <v>681</v>
      </c>
      <c r="AH238" s="374">
        <v>42594</v>
      </c>
      <c r="AI238" s="374">
        <v>42594</v>
      </c>
      <c r="AJ238" s="374">
        <v>42927</v>
      </c>
      <c r="AK238" s="374">
        <v>42927</v>
      </c>
      <c r="AL238" s="371"/>
      <c r="AM238" s="371"/>
      <c r="AN238" s="374"/>
      <c r="AO238" s="371"/>
      <c r="AP238" s="374"/>
      <c r="AQ238" s="374"/>
      <c r="AR238" s="374"/>
      <c r="AS238" s="374"/>
      <c r="AT238" s="374"/>
      <c r="AU238" s="371"/>
      <c r="AV238" s="371" t="s">
        <v>807</v>
      </c>
    </row>
    <row r="239" spans="1:48" s="20" customFormat="1" ht="33.75" x14ac:dyDescent="0.2">
      <c r="A239" s="369"/>
      <c r="B239" s="370" t="s">
        <v>647</v>
      </c>
      <c r="C239" s="370" t="s">
        <v>64</v>
      </c>
      <c r="D239" s="369"/>
      <c r="E239" s="369"/>
      <c r="F239" s="369"/>
      <c r="G239" s="369"/>
      <c r="H239" s="369"/>
      <c r="I239" s="369"/>
      <c r="J239" s="369"/>
      <c r="K239" s="369"/>
      <c r="L239" s="369"/>
      <c r="M239" s="371" t="s">
        <v>649</v>
      </c>
      <c r="N239" s="371" t="s">
        <v>958</v>
      </c>
      <c r="O239" s="371" t="s">
        <v>541</v>
      </c>
      <c r="P239" s="372">
        <v>13655.06</v>
      </c>
      <c r="Q239" s="371" t="s">
        <v>651</v>
      </c>
      <c r="R239" s="372">
        <v>11927.71</v>
      </c>
      <c r="S239" s="371" t="s">
        <v>876</v>
      </c>
      <c r="T239" s="371" t="s">
        <v>877</v>
      </c>
      <c r="U239" s="373"/>
      <c r="V239" s="373"/>
      <c r="W239" s="371"/>
      <c r="X239" s="372"/>
      <c r="Y239" s="371"/>
      <c r="Z239" s="373"/>
      <c r="AA239" s="372"/>
      <c r="AB239" s="372"/>
      <c r="AC239" s="372"/>
      <c r="AD239" s="372"/>
      <c r="AE239" s="372"/>
      <c r="AF239" s="373" t="s">
        <v>959</v>
      </c>
      <c r="AG239" s="371" t="s">
        <v>654</v>
      </c>
      <c r="AH239" s="374">
        <v>42926</v>
      </c>
      <c r="AI239" s="374">
        <v>42926</v>
      </c>
      <c r="AJ239" s="374">
        <v>42961</v>
      </c>
      <c r="AK239" s="374">
        <v>42996</v>
      </c>
      <c r="AL239" s="371"/>
      <c r="AM239" s="371"/>
      <c r="AN239" s="374"/>
      <c r="AO239" s="371"/>
      <c r="AP239" s="374"/>
      <c r="AQ239" s="374"/>
      <c r="AR239" s="374"/>
      <c r="AS239" s="374"/>
      <c r="AT239" s="374"/>
      <c r="AU239" s="371"/>
      <c r="AV239" s="371" t="s">
        <v>676</v>
      </c>
    </row>
    <row r="240" spans="1:48" s="20" customFormat="1" ht="33.75" x14ac:dyDescent="0.2">
      <c r="A240" s="369"/>
      <c r="B240" s="370" t="s">
        <v>647</v>
      </c>
      <c r="C240" s="370" t="s">
        <v>64</v>
      </c>
      <c r="D240" s="369"/>
      <c r="E240" s="369"/>
      <c r="F240" s="369"/>
      <c r="G240" s="369"/>
      <c r="H240" s="369"/>
      <c r="I240" s="369"/>
      <c r="J240" s="369"/>
      <c r="K240" s="369"/>
      <c r="L240" s="369"/>
      <c r="M240" s="371" t="s">
        <v>649</v>
      </c>
      <c r="N240" s="371" t="s">
        <v>960</v>
      </c>
      <c r="O240" s="371" t="s">
        <v>541</v>
      </c>
      <c r="P240" s="372">
        <v>10678.17</v>
      </c>
      <c r="Q240" s="371" t="s">
        <v>651</v>
      </c>
      <c r="R240" s="372">
        <v>9327.2999999999993</v>
      </c>
      <c r="S240" s="371" t="s">
        <v>876</v>
      </c>
      <c r="T240" s="371" t="s">
        <v>936</v>
      </c>
      <c r="U240" s="373" t="s">
        <v>62</v>
      </c>
      <c r="V240" s="373">
        <v>1</v>
      </c>
      <c r="W240" s="371" t="s">
        <v>880</v>
      </c>
      <c r="X240" s="372">
        <v>9327.2999999999993</v>
      </c>
      <c r="Y240" s="371"/>
      <c r="Z240" s="373"/>
      <c r="AA240" s="372"/>
      <c r="AB240" s="372"/>
      <c r="AC240" s="372" t="s">
        <v>880</v>
      </c>
      <c r="AD240" s="372">
        <v>9327.2999999999993</v>
      </c>
      <c r="AE240" s="372">
        <v>9327.2999999999993</v>
      </c>
      <c r="AF240" s="373" t="s">
        <v>961</v>
      </c>
      <c r="AG240" s="371" t="s">
        <v>654</v>
      </c>
      <c r="AH240" s="374">
        <v>42926</v>
      </c>
      <c r="AI240" s="374">
        <v>42926</v>
      </c>
      <c r="AJ240" s="374">
        <v>42937</v>
      </c>
      <c r="AK240" s="374">
        <v>42971</v>
      </c>
      <c r="AL240" s="371"/>
      <c r="AM240" s="371"/>
      <c r="AN240" s="374"/>
      <c r="AO240" s="371"/>
      <c r="AP240" s="374"/>
      <c r="AQ240" s="374"/>
      <c r="AR240" s="374"/>
      <c r="AS240" s="374"/>
      <c r="AT240" s="374"/>
      <c r="AU240" s="371"/>
      <c r="AV240" s="371"/>
    </row>
    <row r="241" spans="1:48" s="20" customFormat="1" ht="45" x14ac:dyDescent="0.2">
      <c r="A241" s="369"/>
      <c r="B241" s="370" t="s">
        <v>647</v>
      </c>
      <c r="C241" s="370" t="s">
        <v>64</v>
      </c>
      <c r="D241" s="369"/>
      <c r="E241" s="369"/>
      <c r="F241" s="369"/>
      <c r="G241" s="369"/>
      <c r="H241" s="369"/>
      <c r="I241" s="369"/>
      <c r="J241" s="369"/>
      <c r="K241" s="369"/>
      <c r="L241" s="369"/>
      <c r="M241" s="371" t="s">
        <v>649</v>
      </c>
      <c r="N241" s="371" t="s">
        <v>962</v>
      </c>
      <c r="O241" s="371" t="s">
        <v>541</v>
      </c>
      <c r="P241" s="372">
        <v>1333.35</v>
      </c>
      <c r="Q241" s="371" t="s">
        <v>651</v>
      </c>
      <c r="R241" s="372">
        <v>1164.3900000000001</v>
      </c>
      <c r="S241" s="371" t="s">
        <v>876</v>
      </c>
      <c r="T241" s="371" t="s">
        <v>877</v>
      </c>
      <c r="U241" s="373" t="s">
        <v>63</v>
      </c>
      <c r="V241" s="373">
        <v>2</v>
      </c>
      <c r="W241" s="371" t="s">
        <v>758</v>
      </c>
      <c r="X241" s="372">
        <v>1163.22</v>
      </c>
      <c r="Y241" s="371"/>
      <c r="Z241" s="373">
        <v>1</v>
      </c>
      <c r="AA241" s="372">
        <v>1163.22</v>
      </c>
      <c r="AB241" s="372">
        <v>1163.22</v>
      </c>
      <c r="AC241" s="372" t="s">
        <v>758</v>
      </c>
      <c r="AD241" s="372">
        <v>1163.22</v>
      </c>
      <c r="AE241" s="372">
        <v>1163.22</v>
      </c>
      <c r="AF241" s="373" t="s">
        <v>963</v>
      </c>
      <c r="AG241" s="371" t="s">
        <v>654</v>
      </c>
      <c r="AH241" s="374">
        <v>42926</v>
      </c>
      <c r="AI241" s="374">
        <v>42926</v>
      </c>
      <c r="AJ241" s="374">
        <v>42940</v>
      </c>
      <c r="AK241" s="374">
        <v>42975</v>
      </c>
      <c r="AL241" s="371"/>
      <c r="AM241" s="371"/>
      <c r="AN241" s="374"/>
      <c r="AO241" s="371"/>
      <c r="AP241" s="374"/>
      <c r="AQ241" s="374"/>
      <c r="AR241" s="374"/>
      <c r="AS241" s="374"/>
      <c r="AT241" s="374"/>
      <c r="AU241" s="371"/>
      <c r="AV241" s="371"/>
    </row>
    <row r="242" spans="1:48" s="20" customFormat="1" ht="22.5" x14ac:dyDescent="0.2">
      <c r="A242" s="369"/>
      <c r="B242" s="370"/>
      <c r="C242" s="370"/>
      <c r="D242" s="369"/>
      <c r="E242" s="369"/>
      <c r="F242" s="369"/>
      <c r="G242" s="369"/>
      <c r="H242" s="369"/>
      <c r="I242" s="369"/>
      <c r="J242" s="369"/>
      <c r="K242" s="369"/>
      <c r="L242" s="369"/>
      <c r="M242" s="371"/>
      <c r="N242" s="371"/>
      <c r="O242" s="371"/>
      <c r="P242" s="372"/>
      <c r="Q242" s="371"/>
      <c r="R242" s="372"/>
      <c r="S242" s="371"/>
      <c r="T242" s="371"/>
      <c r="U242" s="373"/>
      <c r="V242" s="373"/>
      <c r="W242" s="371" t="s">
        <v>728</v>
      </c>
      <c r="X242" s="372">
        <v>1164.69</v>
      </c>
      <c r="Y242" s="371"/>
      <c r="Z242" s="374"/>
      <c r="AA242" s="372">
        <v>1164.69</v>
      </c>
      <c r="AB242" s="372">
        <v>1164.69</v>
      </c>
      <c r="AC242" s="372"/>
      <c r="AD242" s="372"/>
      <c r="AE242" s="372"/>
      <c r="AF242" s="373"/>
      <c r="AG242" s="371"/>
      <c r="AH242" s="374"/>
      <c r="AI242" s="374"/>
      <c r="AJ242" s="374"/>
      <c r="AK242" s="374"/>
      <c r="AL242" s="371"/>
      <c r="AM242" s="371"/>
      <c r="AN242" s="374"/>
      <c r="AO242" s="371"/>
      <c r="AP242" s="374"/>
      <c r="AQ242" s="374"/>
      <c r="AR242" s="374"/>
      <c r="AS242" s="374"/>
      <c r="AT242" s="374"/>
      <c r="AU242" s="371"/>
      <c r="AV242" s="371"/>
    </row>
    <row r="243" spans="1:48" s="20" customFormat="1" ht="33.75" x14ac:dyDescent="0.2">
      <c r="A243" s="369"/>
      <c r="B243" s="370" t="s">
        <v>875</v>
      </c>
      <c r="C243" s="370" t="s">
        <v>64</v>
      </c>
      <c r="D243" s="369"/>
      <c r="E243" s="369"/>
      <c r="F243" s="369"/>
      <c r="G243" s="369"/>
      <c r="H243" s="369"/>
      <c r="I243" s="369"/>
      <c r="J243" s="369"/>
      <c r="K243" s="369"/>
      <c r="L243" s="369"/>
      <c r="M243" s="371" t="s">
        <v>964</v>
      </c>
      <c r="N243" s="371" t="s">
        <v>965</v>
      </c>
      <c r="O243" s="371" t="s">
        <v>541</v>
      </c>
      <c r="P243" s="372">
        <v>10000</v>
      </c>
      <c r="Q243" s="371" t="s">
        <v>666</v>
      </c>
      <c r="R243" s="372">
        <v>10000</v>
      </c>
      <c r="S243" s="371" t="s">
        <v>876</v>
      </c>
      <c r="T243" s="371" t="s">
        <v>656</v>
      </c>
      <c r="U243" s="373"/>
      <c r="V243" s="373"/>
      <c r="W243" s="371"/>
      <c r="X243" s="372"/>
      <c r="Y243" s="371"/>
      <c r="Z243" s="373"/>
      <c r="AA243" s="372"/>
      <c r="AB243" s="372"/>
      <c r="AC243" s="372"/>
      <c r="AD243" s="372"/>
      <c r="AE243" s="372"/>
      <c r="AF243" s="373" t="s">
        <v>966</v>
      </c>
      <c r="AG243" s="371" t="s">
        <v>654</v>
      </c>
      <c r="AH243" s="374">
        <v>42920</v>
      </c>
      <c r="AI243" s="374">
        <v>42920</v>
      </c>
      <c r="AJ243" s="374">
        <v>42958</v>
      </c>
      <c r="AK243" s="374">
        <v>42992</v>
      </c>
      <c r="AL243" s="371"/>
      <c r="AM243" s="371"/>
      <c r="AN243" s="374"/>
      <c r="AO243" s="371"/>
      <c r="AP243" s="374"/>
      <c r="AQ243" s="374"/>
      <c r="AR243" s="374"/>
      <c r="AS243" s="374"/>
      <c r="AT243" s="374"/>
      <c r="AU243" s="371"/>
      <c r="AV243" s="371" t="s">
        <v>676</v>
      </c>
    </row>
    <row r="244" spans="1:48" s="20" customFormat="1" ht="45" x14ac:dyDescent="0.2">
      <c r="A244" s="369"/>
      <c r="B244" s="370" t="s">
        <v>647</v>
      </c>
      <c r="C244" s="370" t="s">
        <v>64</v>
      </c>
      <c r="D244" s="369"/>
      <c r="E244" s="369"/>
      <c r="F244" s="369"/>
      <c r="G244" s="369"/>
      <c r="H244" s="369"/>
      <c r="I244" s="369"/>
      <c r="J244" s="369"/>
      <c r="K244" s="369"/>
      <c r="L244" s="369"/>
      <c r="M244" s="371" t="s">
        <v>649</v>
      </c>
      <c r="N244" s="371" t="s">
        <v>967</v>
      </c>
      <c r="O244" s="371" t="s">
        <v>541</v>
      </c>
      <c r="P244" s="372">
        <v>6113.98</v>
      </c>
      <c r="Q244" s="371" t="s">
        <v>651</v>
      </c>
      <c r="R244" s="372">
        <v>5340.62</v>
      </c>
      <c r="S244" s="371" t="s">
        <v>876</v>
      </c>
      <c r="T244" s="371" t="s">
        <v>877</v>
      </c>
      <c r="U244" s="373"/>
      <c r="V244" s="373"/>
      <c r="W244" s="371"/>
      <c r="X244" s="372"/>
      <c r="Y244" s="371"/>
      <c r="Z244" s="373"/>
      <c r="AA244" s="372"/>
      <c r="AB244" s="372"/>
      <c r="AC244" s="372"/>
      <c r="AD244" s="372"/>
      <c r="AE244" s="372"/>
      <c r="AF244" s="373" t="s">
        <v>968</v>
      </c>
      <c r="AG244" s="371" t="s">
        <v>654</v>
      </c>
      <c r="AH244" s="374">
        <v>42941</v>
      </c>
      <c r="AI244" s="374">
        <v>42941</v>
      </c>
      <c r="AJ244" s="374">
        <v>42962</v>
      </c>
      <c r="AK244" s="374">
        <v>42996</v>
      </c>
      <c r="AL244" s="371"/>
      <c r="AM244" s="371"/>
      <c r="AN244" s="374"/>
      <c r="AO244" s="371"/>
      <c r="AP244" s="374"/>
      <c r="AQ244" s="374"/>
      <c r="AR244" s="374"/>
      <c r="AS244" s="374"/>
      <c r="AT244" s="374"/>
      <c r="AU244" s="371"/>
      <c r="AV244" s="371" t="s">
        <v>676</v>
      </c>
    </row>
    <row r="245" spans="1:48" s="20" customFormat="1" ht="45" x14ac:dyDescent="0.2">
      <c r="A245" s="369"/>
      <c r="B245" s="370" t="s">
        <v>647</v>
      </c>
      <c r="C245" s="370" t="s">
        <v>64</v>
      </c>
      <c r="D245" s="369"/>
      <c r="E245" s="369"/>
      <c r="F245" s="369"/>
      <c r="G245" s="369"/>
      <c r="H245" s="369"/>
      <c r="I245" s="369"/>
      <c r="J245" s="369"/>
      <c r="K245" s="369"/>
      <c r="L245" s="369"/>
      <c r="M245" s="371" t="s">
        <v>649</v>
      </c>
      <c r="N245" s="371" t="s">
        <v>969</v>
      </c>
      <c r="O245" s="371" t="s">
        <v>541</v>
      </c>
      <c r="P245" s="372">
        <v>1973.16</v>
      </c>
      <c r="Q245" s="371" t="s">
        <v>651</v>
      </c>
      <c r="R245" s="372">
        <v>1723.57</v>
      </c>
      <c r="S245" s="371" t="s">
        <v>876</v>
      </c>
      <c r="T245" s="371" t="s">
        <v>877</v>
      </c>
      <c r="U245" s="373"/>
      <c r="V245" s="373"/>
      <c r="W245" s="371"/>
      <c r="X245" s="372"/>
      <c r="Y245" s="371"/>
      <c r="Z245" s="373"/>
      <c r="AA245" s="372"/>
      <c r="AB245" s="372"/>
      <c r="AC245" s="372"/>
      <c r="AD245" s="372"/>
      <c r="AE245" s="372"/>
      <c r="AF245" s="373" t="s">
        <v>970</v>
      </c>
      <c r="AG245" s="371" t="s">
        <v>654</v>
      </c>
      <c r="AH245" s="374">
        <v>42941</v>
      </c>
      <c r="AI245" s="374">
        <v>42941</v>
      </c>
      <c r="AJ245" s="374">
        <v>42958</v>
      </c>
      <c r="AK245" s="374">
        <v>42991</v>
      </c>
      <c r="AL245" s="371"/>
      <c r="AM245" s="371"/>
      <c r="AN245" s="374"/>
      <c r="AO245" s="371"/>
      <c r="AP245" s="374"/>
      <c r="AQ245" s="374"/>
      <c r="AR245" s="374"/>
      <c r="AS245" s="374"/>
      <c r="AT245" s="374"/>
      <c r="AU245" s="371"/>
      <c r="AV245" s="371" t="s">
        <v>676</v>
      </c>
    </row>
    <row r="246" spans="1:48" s="20" customFormat="1" ht="45" x14ac:dyDescent="0.2">
      <c r="A246" s="369"/>
      <c r="B246" s="370" t="s">
        <v>647</v>
      </c>
      <c r="C246" s="370" t="s">
        <v>64</v>
      </c>
      <c r="D246" s="369"/>
      <c r="E246" s="369"/>
      <c r="F246" s="369"/>
      <c r="G246" s="369"/>
      <c r="H246" s="369"/>
      <c r="I246" s="369"/>
      <c r="J246" s="369"/>
      <c r="K246" s="369"/>
      <c r="L246" s="369"/>
      <c r="M246" s="371" t="s">
        <v>747</v>
      </c>
      <c r="N246" s="371" t="s">
        <v>971</v>
      </c>
      <c r="O246" s="371" t="s">
        <v>541</v>
      </c>
      <c r="P246" s="372">
        <v>19831.39</v>
      </c>
      <c r="Q246" s="371" t="s">
        <v>651</v>
      </c>
      <c r="R246" s="372">
        <v>17322.37</v>
      </c>
      <c r="S246" s="371" t="s">
        <v>876</v>
      </c>
      <c r="T246" s="371" t="s">
        <v>936</v>
      </c>
      <c r="U246" s="373" t="s">
        <v>64</v>
      </c>
      <c r="V246" s="373">
        <v>1</v>
      </c>
      <c r="W246" s="371" t="s">
        <v>728</v>
      </c>
      <c r="X246" s="372">
        <v>17235.759999999998</v>
      </c>
      <c r="Y246" s="371"/>
      <c r="Z246" s="373"/>
      <c r="AA246" s="372"/>
      <c r="AB246" s="372"/>
      <c r="AC246" s="372" t="s">
        <v>728</v>
      </c>
      <c r="AD246" s="372">
        <v>17235.759999999998</v>
      </c>
      <c r="AE246" s="372">
        <v>17235.759999999998</v>
      </c>
      <c r="AF246" s="373" t="s">
        <v>972</v>
      </c>
      <c r="AG246" s="371" t="s">
        <v>654</v>
      </c>
      <c r="AH246" s="374">
        <v>42936</v>
      </c>
      <c r="AI246" s="374">
        <v>42936</v>
      </c>
      <c r="AJ246" s="374">
        <v>42947</v>
      </c>
      <c r="AK246" s="374">
        <v>42982</v>
      </c>
      <c r="AL246" s="371"/>
      <c r="AM246" s="371"/>
      <c r="AN246" s="374"/>
      <c r="AO246" s="371"/>
      <c r="AP246" s="374"/>
      <c r="AQ246" s="374"/>
      <c r="AR246" s="374"/>
      <c r="AS246" s="374"/>
      <c r="AT246" s="374"/>
      <c r="AU246" s="371"/>
      <c r="AV246" s="371"/>
    </row>
    <row r="247" spans="1:48" s="20" customFormat="1" ht="45" x14ac:dyDescent="0.2">
      <c r="A247" s="369"/>
      <c r="B247" s="370" t="s">
        <v>647</v>
      </c>
      <c r="C247" s="370" t="s">
        <v>64</v>
      </c>
      <c r="D247" s="369"/>
      <c r="E247" s="369"/>
      <c r="F247" s="369"/>
      <c r="G247" s="369"/>
      <c r="H247" s="369"/>
      <c r="I247" s="369"/>
      <c r="J247" s="369"/>
      <c r="K247" s="369"/>
      <c r="L247" s="369"/>
      <c r="M247" s="371" t="s">
        <v>747</v>
      </c>
      <c r="N247" s="371" t="s">
        <v>973</v>
      </c>
      <c r="O247" s="371" t="s">
        <v>541</v>
      </c>
      <c r="P247" s="372">
        <v>5379.88</v>
      </c>
      <c r="Q247" s="371" t="s">
        <v>651</v>
      </c>
      <c r="R247" s="372">
        <v>4722.4799999999996</v>
      </c>
      <c r="S247" s="371" t="s">
        <v>876</v>
      </c>
      <c r="T247" s="371" t="s">
        <v>682</v>
      </c>
      <c r="U247" s="373"/>
      <c r="V247" s="373"/>
      <c r="W247" s="371"/>
      <c r="X247" s="372"/>
      <c r="Y247" s="371"/>
      <c r="Z247" s="373"/>
      <c r="AA247" s="372"/>
      <c r="AB247" s="372"/>
      <c r="AC247" s="372"/>
      <c r="AD247" s="372"/>
      <c r="AE247" s="372"/>
      <c r="AF247" s="373" t="s">
        <v>974</v>
      </c>
      <c r="AG247" s="371" t="s">
        <v>654</v>
      </c>
      <c r="AH247" s="374">
        <v>42935</v>
      </c>
      <c r="AI247" s="374">
        <v>42935</v>
      </c>
      <c r="AJ247" s="374">
        <v>42951</v>
      </c>
      <c r="AK247" s="374">
        <v>42985</v>
      </c>
      <c r="AL247" s="371"/>
      <c r="AM247" s="371"/>
      <c r="AN247" s="374"/>
      <c r="AO247" s="371"/>
      <c r="AP247" s="374"/>
      <c r="AQ247" s="374"/>
      <c r="AR247" s="374"/>
      <c r="AS247" s="374"/>
      <c r="AT247" s="374"/>
      <c r="AU247" s="371"/>
      <c r="AV247" s="371" t="s">
        <v>676</v>
      </c>
    </row>
    <row r="248" spans="1:48" s="20" customFormat="1" ht="33.75" x14ac:dyDescent="0.2">
      <c r="A248" s="369"/>
      <c r="B248" s="370" t="s">
        <v>647</v>
      </c>
      <c r="C248" s="370" t="s">
        <v>64</v>
      </c>
      <c r="D248" s="369"/>
      <c r="E248" s="369"/>
      <c r="F248" s="369"/>
      <c r="G248" s="369"/>
      <c r="H248" s="369"/>
      <c r="I248" s="369"/>
      <c r="J248" s="369"/>
      <c r="K248" s="369"/>
      <c r="L248" s="369"/>
      <c r="M248" s="371" t="s">
        <v>649</v>
      </c>
      <c r="N248" s="371" t="s">
        <v>975</v>
      </c>
      <c r="O248" s="371" t="s">
        <v>541</v>
      </c>
      <c r="P248" s="372">
        <v>8362.6299999999992</v>
      </c>
      <c r="Q248" s="371" t="s">
        <v>651</v>
      </c>
      <c r="R248" s="372">
        <v>7243.87</v>
      </c>
      <c r="S248" s="371" t="s">
        <v>876</v>
      </c>
      <c r="T248" s="371" t="s">
        <v>877</v>
      </c>
      <c r="U248" s="373"/>
      <c r="V248" s="373"/>
      <c r="W248" s="371"/>
      <c r="X248" s="372"/>
      <c r="Y248" s="371"/>
      <c r="Z248" s="373"/>
      <c r="AA248" s="372"/>
      <c r="AB248" s="372"/>
      <c r="AC248" s="372"/>
      <c r="AD248" s="372"/>
      <c r="AE248" s="372"/>
      <c r="AF248" s="373" t="s">
        <v>976</v>
      </c>
      <c r="AG248" s="371" t="s">
        <v>654</v>
      </c>
      <c r="AH248" s="374">
        <v>42933</v>
      </c>
      <c r="AI248" s="374">
        <v>42933</v>
      </c>
      <c r="AJ248" s="374">
        <v>42954</v>
      </c>
      <c r="AK248" s="374">
        <v>42989</v>
      </c>
      <c r="AL248" s="371"/>
      <c r="AM248" s="371"/>
      <c r="AN248" s="374"/>
      <c r="AO248" s="371"/>
      <c r="AP248" s="374"/>
      <c r="AQ248" s="374"/>
      <c r="AR248" s="374"/>
      <c r="AS248" s="374"/>
      <c r="AT248" s="374"/>
      <c r="AU248" s="371"/>
      <c r="AV248" s="371" t="s">
        <v>676</v>
      </c>
    </row>
    <row r="249" spans="1:48" s="20" customFormat="1" ht="45" x14ac:dyDescent="0.2">
      <c r="A249" s="369"/>
      <c r="B249" s="370" t="s">
        <v>647</v>
      </c>
      <c r="C249" s="370" t="s">
        <v>64</v>
      </c>
      <c r="D249" s="369"/>
      <c r="E249" s="369"/>
      <c r="F249" s="369"/>
      <c r="G249" s="369"/>
      <c r="H249" s="369"/>
      <c r="I249" s="369"/>
      <c r="J249" s="369"/>
      <c r="K249" s="369"/>
      <c r="L249" s="369"/>
      <c r="M249" s="371" t="s">
        <v>649</v>
      </c>
      <c r="N249" s="371" t="s">
        <v>977</v>
      </c>
      <c r="O249" s="371" t="s">
        <v>541</v>
      </c>
      <c r="P249" s="372">
        <v>5567.89</v>
      </c>
      <c r="Q249" s="371" t="s">
        <v>651</v>
      </c>
      <c r="R249" s="372">
        <v>4825.74</v>
      </c>
      <c r="S249" s="371" t="s">
        <v>876</v>
      </c>
      <c r="T249" s="371" t="s">
        <v>877</v>
      </c>
      <c r="U249" s="373"/>
      <c r="V249" s="373"/>
      <c r="W249" s="371"/>
      <c r="X249" s="372"/>
      <c r="Y249" s="371"/>
      <c r="Z249" s="373"/>
      <c r="AA249" s="372"/>
      <c r="AB249" s="372"/>
      <c r="AC249" s="372"/>
      <c r="AD249" s="372"/>
      <c r="AE249" s="372"/>
      <c r="AF249" s="373" t="s">
        <v>978</v>
      </c>
      <c r="AG249" s="371" t="s">
        <v>654</v>
      </c>
      <c r="AH249" s="374">
        <v>42929</v>
      </c>
      <c r="AI249" s="374">
        <v>42929</v>
      </c>
      <c r="AJ249" s="374">
        <v>42958</v>
      </c>
      <c r="AK249" s="374">
        <v>42991</v>
      </c>
      <c r="AL249" s="371"/>
      <c r="AM249" s="371"/>
      <c r="AN249" s="374"/>
      <c r="AO249" s="371"/>
      <c r="AP249" s="374"/>
      <c r="AQ249" s="374"/>
      <c r="AR249" s="374"/>
      <c r="AS249" s="374"/>
      <c r="AT249" s="374"/>
      <c r="AU249" s="371"/>
      <c r="AV249" s="371" t="s">
        <v>676</v>
      </c>
    </row>
    <row r="250" spans="1:48" s="20" customFormat="1" ht="56.25" x14ac:dyDescent="0.2">
      <c r="A250" s="369"/>
      <c r="B250" s="370" t="s">
        <v>647</v>
      </c>
      <c r="C250" s="370" t="s">
        <v>64</v>
      </c>
      <c r="D250" s="369"/>
      <c r="E250" s="369"/>
      <c r="F250" s="369"/>
      <c r="G250" s="369"/>
      <c r="H250" s="369"/>
      <c r="I250" s="369"/>
      <c r="J250" s="369"/>
      <c r="K250" s="369"/>
      <c r="L250" s="369"/>
      <c r="M250" s="371" t="s">
        <v>649</v>
      </c>
      <c r="N250" s="371" t="s">
        <v>979</v>
      </c>
      <c r="O250" s="371" t="s">
        <v>541</v>
      </c>
      <c r="P250" s="372">
        <v>1911.94</v>
      </c>
      <c r="Q250" s="371" t="s">
        <v>651</v>
      </c>
      <c r="R250" s="372">
        <v>1911.94</v>
      </c>
      <c r="S250" s="371" t="s">
        <v>876</v>
      </c>
      <c r="T250" s="371" t="s">
        <v>877</v>
      </c>
      <c r="U250" s="373"/>
      <c r="V250" s="373"/>
      <c r="W250" s="371"/>
      <c r="X250" s="372"/>
      <c r="Y250" s="371"/>
      <c r="Z250" s="373"/>
      <c r="AA250" s="372"/>
      <c r="AB250" s="372"/>
      <c r="AC250" s="372"/>
      <c r="AD250" s="372"/>
      <c r="AE250" s="372"/>
      <c r="AF250" s="373" t="s">
        <v>980</v>
      </c>
      <c r="AG250" s="371" t="s">
        <v>654</v>
      </c>
      <c r="AH250" s="374">
        <v>42958</v>
      </c>
      <c r="AI250" s="374">
        <v>42958</v>
      </c>
      <c r="AJ250" s="374">
        <v>42991</v>
      </c>
      <c r="AK250" s="374">
        <v>43024</v>
      </c>
      <c r="AL250" s="371"/>
      <c r="AM250" s="371"/>
      <c r="AN250" s="374"/>
      <c r="AO250" s="371"/>
      <c r="AP250" s="374"/>
      <c r="AQ250" s="374"/>
      <c r="AR250" s="374"/>
      <c r="AS250" s="374"/>
      <c r="AT250" s="374"/>
      <c r="AU250" s="371"/>
      <c r="AV250" s="371" t="s">
        <v>676</v>
      </c>
    </row>
    <row r="251" spans="1:48" s="20" customFormat="1" ht="56.25" x14ac:dyDescent="0.2">
      <c r="A251" s="369"/>
      <c r="B251" s="370" t="s">
        <v>647</v>
      </c>
      <c r="C251" s="370" t="s">
        <v>64</v>
      </c>
      <c r="D251" s="369"/>
      <c r="E251" s="369"/>
      <c r="F251" s="369"/>
      <c r="G251" s="369"/>
      <c r="H251" s="369"/>
      <c r="I251" s="369"/>
      <c r="J251" s="369"/>
      <c r="K251" s="369"/>
      <c r="L251" s="369"/>
      <c r="M251" s="371" t="s">
        <v>649</v>
      </c>
      <c r="N251" s="371" t="s">
        <v>981</v>
      </c>
      <c r="O251" s="371" t="s">
        <v>541</v>
      </c>
      <c r="P251" s="372">
        <v>10804.99</v>
      </c>
      <c r="Q251" s="371" t="s">
        <v>651</v>
      </c>
      <c r="R251" s="372">
        <v>10804.99</v>
      </c>
      <c r="S251" s="371" t="s">
        <v>876</v>
      </c>
      <c r="T251" s="371" t="s">
        <v>877</v>
      </c>
      <c r="U251" s="373"/>
      <c r="V251" s="373"/>
      <c r="W251" s="371"/>
      <c r="X251" s="372"/>
      <c r="Y251" s="371"/>
      <c r="Z251" s="373"/>
      <c r="AA251" s="372"/>
      <c r="AB251" s="372"/>
      <c r="AC251" s="372"/>
      <c r="AD251" s="372"/>
      <c r="AE251" s="372"/>
      <c r="AF251" s="373" t="s">
        <v>982</v>
      </c>
      <c r="AG251" s="371" t="s">
        <v>654</v>
      </c>
      <c r="AH251" s="374">
        <v>42969</v>
      </c>
      <c r="AI251" s="374">
        <v>42969</v>
      </c>
      <c r="AJ251" s="374">
        <v>42991</v>
      </c>
      <c r="AK251" s="374">
        <v>43024</v>
      </c>
      <c r="AL251" s="371"/>
      <c r="AM251" s="371"/>
      <c r="AN251" s="374"/>
      <c r="AO251" s="371"/>
      <c r="AP251" s="374"/>
      <c r="AQ251" s="374"/>
      <c r="AR251" s="374"/>
      <c r="AS251" s="374"/>
      <c r="AT251" s="374"/>
      <c r="AU251" s="371"/>
      <c r="AV251" s="371" t="s">
        <v>676</v>
      </c>
    </row>
    <row r="252" spans="1:48" s="20" customFormat="1" ht="33.75" x14ac:dyDescent="0.2">
      <c r="A252" s="369"/>
      <c r="B252" s="370" t="s">
        <v>647</v>
      </c>
      <c r="C252" s="370" t="s">
        <v>64</v>
      </c>
      <c r="D252" s="369"/>
      <c r="E252" s="369"/>
      <c r="F252" s="369"/>
      <c r="G252" s="369"/>
      <c r="H252" s="369"/>
      <c r="I252" s="369"/>
      <c r="J252" s="369"/>
      <c r="K252" s="369"/>
      <c r="L252" s="369"/>
      <c r="M252" s="371" t="s">
        <v>649</v>
      </c>
      <c r="N252" s="371" t="s">
        <v>983</v>
      </c>
      <c r="O252" s="371" t="s">
        <v>541</v>
      </c>
      <c r="P252" s="372">
        <v>1638.16</v>
      </c>
      <c r="Q252" s="371" t="s">
        <v>651</v>
      </c>
      <c r="R252" s="372">
        <v>1638.16</v>
      </c>
      <c r="S252" s="371" t="s">
        <v>876</v>
      </c>
      <c r="T252" s="371" t="s">
        <v>877</v>
      </c>
      <c r="U252" s="373"/>
      <c r="V252" s="373"/>
      <c r="W252" s="371"/>
      <c r="X252" s="372"/>
      <c r="Y252" s="371"/>
      <c r="Z252" s="373"/>
      <c r="AA252" s="372"/>
      <c r="AB252" s="372"/>
      <c r="AC252" s="372"/>
      <c r="AD252" s="372"/>
      <c r="AE252" s="372"/>
      <c r="AF252" s="373" t="s">
        <v>984</v>
      </c>
      <c r="AG252" s="371" t="s">
        <v>654</v>
      </c>
      <c r="AH252" s="374">
        <v>42972</v>
      </c>
      <c r="AI252" s="374">
        <v>42972</v>
      </c>
      <c r="AJ252" s="374">
        <v>42986</v>
      </c>
      <c r="AK252" s="374">
        <v>43018</v>
      </c>
      <c r="AL252" s="371"/>
      <c r="AM252" s="371"/>
      <c r="AN252" s="374"/>
      <c r="AO252" s="371"/>
      <c r="AP252" s="374"/>
      <c r="AQ252" s="374"/>
      <c r="AR252" s="374"/>
      <c r="AS252" s="374"/>
      <c r="AT252" s="374"/>
      <c r="AU252" s="371"/>
      <c r="AV252" s="371" t="s">
        <v>676</v>
      </c>
    </row>
    <row r="253" spans="1:48" s="20" customFormat="1" ht="45" x14ac:dyDescent="0.2">
      <c r="A253" s="369"/>
      <c r="B253" s="370" t="s">
        <v>647</v>
      </c>
      <c r="C253" s="370" t="s">
        <v>64</v>
      </c>
      <c r="D253" s="369"/>
      <c r="E253" s="369"/>
      <c r="F253" s="369"/>
      <c r="G253" s="369"/>
      <c r="H253" s="369"/>
      <c r="I253" s="369"/>
      <c r="J253" s="369"/>
      <c r="K253" s="369"/>
      <c r="L253" s="369"/>
      <c r="M253" s="371" t="s">
        <v>649</v>
      </c>
      <c r="N253" s="371" t="s">
        <v>985</v>
      </c>
      <c r="O253" s="371" t="s">
        <v>541</v>
      </c>
      <c r="P253" s="372">
        <v>6343.03</v>
      </c>
      <c r="Q253" s="371" t="s">
        <v>651</v>
      </c>
      <c r="R253" s="372">
        <v>6343.03</v>
      </c>
      <c r="S253" s="371" t="s">
        <v>876</v>
      </c>
      <c r="T253" s="371" t="s">
        <v>877</v>
      </c>
      <c r="U253" s="373"/>
      <c r="V253" s="373"/>
      <c r="W253" s="371"/>
      <c r="X253" s="372"/>
      <c r="Y253" s="371"/>
      <c r="Z253" s="373"/>
      <c r="AA253" s="372"/>
      <c r="AB253" s="372"/>
      <c r="AC253" s="372"/>
      <c r="AD253" s="372"/>
      <c r="AE253" s="372"/>
      <c r="AF253" s="373" t="s">
        <v>986</v>
      </c>
      <c r="AG253" s="371" t="s">
        <v>654</v>
      </c>
      <c r="AH253" s="374">
        <v>42972</v>
      </c>
      <c r="AI253" s="374">
        <v>42972</v>
      </c>
      <c r="AJ253" s="374">
        <v>42992</v>
      </c>
      <c r="AK253" s="374">
        <v>43027</v>
      </c>
      <c r="AL253" s="371"/>
      <c r="AM253" s="371"/>
      <c r="AN253" s="374"/>
      <c r="AO253" s="371"/>
      <c r="AP253" s="374"/>
      <c r="AQ253" s="374"/>
      <c r="AR253" s="374"/>
      <c r="AS253" s="374"/>
      <c r="AT253" s="374"/>
      <c r="AU253" s="371"/>
      <c r="AV253" s="371" t="s">
        <v>676</v>
      </c>
    </row>
    <row r="254" spans="1:48" s="20" customFormat="1" ht="67.5" x14ac:dyDescent="0.2">
      <c r="A254" s="369"/>
      <c r="B254" s="370" t="s">
        <v>647</v>
      </c>
      <c r="C254" s="370" t="s">
        <v>64</v>
      </c>
      <c r="D254" s="369"/>
      <c r="E254" s="369"/>
      <c r="F254" s="369"/>
      <c r="G254" s="369"/>
      <c r="H254" s="369"/>
      <c r="I254" s="369"/>
      <c r="J254" s="369"/>
      <c r="K254" s="369"/>
      <c r="L254" s="369"/>
      <c r="M254" s="371" t="s">
        <v>649</v>
      </c>
      <c r="N254" s="371" t="s">
        <v>987</v>
      </c>
      <c r="O254" s="371" t="s">
        <v>541</v>
      </c>
      <c r="P254" s="372">
        <v>15910.35</v>
      </c>
      <c r="Q254" s="371" t="s">
        <v>651</v>
      </c>
      <c r="R254" s="372">
        <v>15910.35</v>
      </c>
      <c r="S254" s="371" t="s">
        <v>876</v>
      </c>
      <c r="T254" s="371" t="s">
        <v>877</v>
      </c>
      <c r="U254" s="373"/>
      <c r="V254" s="373"/>
      <c r="W254" s="371"/>
      <c r="X254" s="372"/>
      <c r="Y254" s="371"/>
      <c r="Z254" s="373"/>
      <c r="AA254" s="372"/>
      <c r="AB254" s="372"/>
      <c r="AC254" s="372"/>
      <c r="AD254" s="372"/>
      <c r="AE254" s="372"/>
      <c r="AF254" s="373" t="s">
        <v>988</v>
      </c>
      <c r="AG254" s="371" t="s">
        <v>654</v>
      </c>
      <c r="AH254" s="374">
        <v>42972</v>
      </c>
      <c r="AI254" s="374">
        <v>42972</v>
      </c>
      <c r="AJ254" s="374">
        <v>42991</v>
      </c>
      <c r="AK254" s="374">
        <v>43024</v>
      </c>
      <c r="AL254" s="371"/>
      <c r="AM254" s="371"/>
      <c r="AN254" s="374"/>
      <c r="AO254" s="371"/>
      <c r="AP254" s="374"/>
      <c r="AQ254" s="374"/>
      <c r="AR254" s="374"/>
      <c r="AS254" s="374"/>
      <c r="AT254" s="374"/>
      <c r="AU254" s="371"/>
      <c r="AV254" s="371" t="s">
        <v>676</v>
      </c>
    </row>
    <row r="255" spans="1:48" s="20" customFormat="1" ht="33.75" x14ac:dyDescent="0.2">
      <c r="A255" s="369"/>
      <c r="B255" s="370" t="s">
        <v>647</v>
      </c>
      <c r="C255" s="370" t="s">
        <v>64</v>
      </c>
      <c r="D255" s="369"/>
      <c r="E255" s="369"/>
      <c r="F255" s="369"/>
      <c r="G255" s="369"/>
      <c r="H255" s="369"/>
      <c r="I255" s="369"/>
      <c r="J255" s="369"/>
      <c r="K255" s="369"/>
      <c r="L255" s="369"/>
      <c r="M255" s="371" t="s">
        <v>649</v>
      </c>
      <c r="N255" s="371" t="s">
        <v>989</v>
      </c>
      <c r="O255" s="371" t="s">
        <v>541</v>
      </c>
      <c r="P255" s="372">
        <v>12919.47</v>
      </c>
      <c r="Q255" s="371" t="s">
        <v>651</v>
      </c>
      <c r="R255" s="372">
        <v>12919.47</v>
      </c>
      <c r="S255" s="371" t="s">
        <v>876</v>
      </c>
      <c r="T255" s="371" t="s">
        <v>877</v>
      </c>
      <c r="U255" s="373"/>
      <c r="V255" s="373"/>
      <c r="W255" s="371"/>
      <c r="X255" s="372"/>
      <c r="Y255" s="371"/>
      <c r="Z255" s="373"/>
      <c r="AA255" s="372"/>
      <c r="AB255" s="372"/>
      <c r="AC255" s="372"/>
      <c r="AD255" s="372"/>
      <c r="AE255" s="372"/>
      <c r="AF255" s="373" t="s">
        <v>990</v>
      </c>
      <c r="AG255" s="371" t="s">
        <v>654</v>
      </c>
      <c r="AH255" s="374">
        <v>42972</v>
      </c>
      <c r="AI255" s="374">
        <v>42972</v>
      </c>
      <c r="AJ255" s="374">
        <v>42992</v>
      </c>
      <c r="AK255" s="374">
        <v>43027</v>
      </c>
      <c r="AL255" s="371"/>
      <c r="AM255" s="371"/>
      <c r="AN255" s="374"/>
      <c r="AO255" s="371"/>
      <c r="AP255" s="374"/>
      <c r="AQ255" s="374"/>
      <c r="AR255" s="374"/>
      <c r="AS255" s="374"/>
      <c r="AT255" s="374"/>
      <c r="AU255" s="371"/>
      <c r="AV255" s="371" t="s">
        <v>676</v>
      </c>
    </row>
    <row r="256" spans="1:48" s="20" customFormat="1" ht="45" x14ac:dyDescent="0.2">
      <c r="A256" s="369"/>
      <c r="B256" s="370" t="s">
        <v>647</v>
      </c>
      <c r="C256" s="370" t="s">
        <v>64</v>
      </c>
      <c r="D256" s="369"/>
      <c r="E256" s="369"/>
      <c r="F256" s="369"/>
      <c r="G256" s="369"/>
      <c r="H256" s="369"/>
      <c r="I256" s="369"/>
      <c r="J256" s="369"/>
      <c r="K256" s="369"/>
      <c r="L256" s="369"/>
      <c r="M256" s="371" t="s">
        <v>649</v>
      </c>
      <c r="N256" s="371" t="s">
        <v>991</v>
      </c>
      <c r="O256" s="371" t="s">
        <v>541</v>
      </c>
      <c r="P256" s="372">
        <v>11055.24</v>
      </c>
      <c r="Q256" s="371" t="s">
        <v>651</v>
      </c>
      <c r="R256" s="372">
        <v>11055.24</v>
      </c>
      <c r="S256" s="371" t="s">
        <v>876</v>
      </c>
      <c r="T256" s="371" t="s">
        <v>877</v>
      </c>
      <c r="U256" s="373"/>
      <c r="V256" s="373"/>
      <c r="W256" s="371"/>
      <c r="X256" s="372"/>
      <c r="Y256" s="371"/>
      <c r="Z256" s="373"/>
      <c r="AA256" s="372"/>
      <c r="AB256" s="372"/>
      <c r="AC256" s="372"/>
      <c r="AD256" s="372"/>
      <c r="AE256" s="372"/>
      <c r="AF256" s="373" t="s">
        <v>992</v>
      </c>
      <c r="AG256" s="371" t="s">
        <v>654</v>
      </c>
      <c r="AH256" s="374">
        <v>42972</v>
      </c>
      <c r="AI256" s="374">
        <v>42972</v>
      </c>
      <c r="AJ256" s="374">
        <v>42992</v>
      </c>
      <c r="AK256" s="374">
        <v>43025</v>
      </c>
      <c r="AL256" s="371"/>
      <c r="AM256" s="371"/>
      <c r="AN256" s="374"/>
      <c r="AO256" s="371"/>
      <c r="AP256" s="374"/>
      <c r="AQ256" s="374"/>
      <c r="AR256" s="374"/>
      <c r="AS256" s="374"/>
      <c r="AT256" s="374"/>
      <c r="AU256" s="371"/>
      <c r="AV256" s="371" t="s">
        <v>676</v>
      </c>
    </row>
    <row r="257" spans="1:48" s="20" customFormat="1" ht="56.25" x14ac:dyDescent="0.2">
      <c r="A257" s="369"/>
      <c r="B257" s="370" t="s">
        <v>647</v>
      </c>
      <c r="C257" s="370" t="s">
        <v>64</v>
      </c>
      <c r="D257" s="369"/>
      <c r="E257" s="369"/>
      <c r="F257" s="369"/>
      <c r="G257" s="369"/>
      <c r="H257" s="369"/>
      <c r="I257" s="369"/>
      <c r="J257" s="369"/>
      <c r="K257" s="369"/>
      <c r="L257" s="369"/>
      <c r="M257" s="371" t="s">
        <v>649</v>
      </c>
      <c r="N257" s="371" t="s">
        <v>993</v>
      </c>
      <c r="O257" s="371" t="s">
        <v>541</v>
      </c>
      <c r="P257" s="372">
        <v>22410.959999999999</v>
      </c>
      <c r="Q257" s="371" t="s">
        <v>651</v>
      </c>
      <c r="R257" s="372">
        <v>22410.959999999999</v>
      </c>
      <c r="S257" s="371" t="s">
        <v>876</v>
      </c>
      <c r="T257" s="371" t="s">
        <v>877</v>
      </c>
      <c r="U257" s="373"/>
      <c r="V257" s="373"/>
      <c r="W257" s="371"/>
      <c r="X257" s="372"/>
      <c r="Y257" s="371"/>
      <c r="Z257" s="373"/>
      <c r="AA257" s="372"/>
      <c r="AB257" s="372"/>
      <c r="AC257" s="372"/>
      <c r="AD257" s="372"/>
      <c r="AE257" s="372"/>
      <c r="AF257" s="373" t="s">
        <v>994</v>
      </c>
      <c r="AG257" s="371" t="s">
        <v>654</v>
      </c>
      <c r="AH257" s="374">
        <v>42972</v>
      </c>
      <c r="AI257" s="374">
        <v>42972</v>
      </c>
      <c r="AJ257" s="374">
        <v>42992</v>
      </c>
      <c r="AK257" s="374">
        <v>43027</v>
      </c>
      <c r="AL257" s="371"/>
      <c r="AM257" s="371"/>
      <c r="AN257" s="374"/>
      <c r="AO257" s="371"/>
      <c r="AP257" s="374"/>
      <c r="AQ257" s="374"/>
      <c r="AR257" s="374"/>
      <c r="AS257" s="374"/>
      <c r="AT257" s="374"/>
      <c r="AU257" s="371"/>
      <c r="AV257" s="371" t="s">
        <v>676</v>
      </c>
    </row>
    <row r="258" spans="1:48" s="20" customFormat="1" ht="33.75" x14ac:dyDescent="0.2">
      <c r="A258" s="369"/>
      <c r="B258" s="370" t="s">
        <v>647</v>
      </c>
      <c r="C258" s="370" t="s">
        <v>64</v>
      </c>
      <c r="D258" s="369"/>
      <c r="E258" s="369"/>
      <c r="F258" s="369"/>
      <c r="G258" s="369"/>
      <c r="H258" s="369"/>
      <c r="I258" s="369"/>
      <c r="J258" s="369"/>
      <c r="K258" s="369"/>
      <c r="L258" s="369"/>
      <c r="M258" s="371" t="s">
        <v>649</v>
      </c>
      <c r="N258" s="371" t="s">
        <v>995</v>
      </c>
      <c r="O258" s="371" t="s">
        <v>541</v>
      </c>
      <c r="P258" s="372">
        <v>9906.14</v>
      </c>
      <c r="Q258" s="371" t="s">
        <v>651</v>
      </c>
      <c r="R258" s="372">
        <v>9906.14</v>
      </c>
      <c r="S258" s="371" t="s">
        <v>876</v>
      </c>
      <c r="T258" s="371" t="s">
        <v>877</v>
      </c>
      <c r="U258" s="373"/>
      <c r="V258" s="373"/>
      <c r="W258" s="371"/>
      <c r="X258" s="372"/>
      <c r="Y258" s="371"/>
      <c r="Z258" s="373"/>
      <c r="AA258" s="372"/>
      <c r="AB258" s="372"/>
      <c r="AC258" s="372"/>
      <c r="AD258" s="372"/>
      <c r="AE258" s="372"/>
      <c r="AF258" s="373" t="s">
        <v>996</v>
      </c>
      <c r="AG258" s="371" t="s">
        <v>654</v>
      </c>
      <c r="AH258" s="374">
        <v>42972</v>
      </c>
      <c r="AI258" s="374">
        <v>42972</v>
      </c>
      <c r="AJ258" s="374">
        <v>42992</v>
      </c>
      <c r="AK258" s="374">
        <v>43027</v>
      </c>
      <c r="AL258" s="371"/>
      <c r="AM258" s="371"/>
      <c r="AN258" s="374"/>
      <c r="AO258" s="371"/>
      <c r="AP258" s="374"/>
      <c r="AQ258" s="374"/>
      <c r="AR258" s="374"/>
      <c r="AS258" s="374"/>
      <c r="AT258" s="374"/>
      <c r="AU258" s="371"/>
      <c r="AV258" s="371" t="s">
        <v>676</v>
      </c>
    </row>
    <row r="259" spans="1:48" s="20" customFormat="1" ht="67.5" x14ac:dyDescent="0.2">
      <c r="A259" s="369"/>
      <c r="B259" s="370" t="s">
        <v>647</v>
      </c>
      <c r="C259" s="370" t="s">
        <v>64</v>
      </c>
      <c r="D259" s="369"/>
      <c r="E259" s="369"/>
      <c r="F259" s="369"/>
      <c r="G259" s="369"/>
      <c r="H259" s="369"/>
      <c r="I259" s="369"/>
      <c r="J259" s="369"/>
      <c r="K259" s="369"/>
      <c r="L259" s="369"/>
      <c r="M259" s="371" t="s">
        <v>649</v>
      </c>
      <c r="N259" s="371" t="s">
        <v>997</v>
      </c>
      <c r="O259" s="371" t="s">
        <v>541</v>
      </c>
      <c r="P259" s="372">
        <v>18746.849999999999</v>
      </c>
      <c r="Q259" s="371" t="s">
        <v>651</v>
      </c>
      <c r="R259" s="372">
        <v>18746.849999999999</v>
      </c>
      <c r="S259" s="371" t="s">
        <v>876</v>
      </c>
      <c r="T259" s="371" t="s">
        <v>877</v>
      </c>
      <c r="U259" s="373"/>
      <c r="V259" s="373"/>
      <c r="W259" s="371"/>
      <c r="X259" s="372"/>
      <c r="Y259" s="371"/>
      <c r="Z259" s="373"/>
      <c r="AA259" s="372"/>
      <c r="AB259" s="372"/>
      <c r="AC259" s="372"/>
      <c r="AD259" s="372"/>
      <c r="AE259" s="372"/>
      <c r="AF259" s="373" t="s">
        <v>998</v>
      </c>
      <c r="AG259" s="371" t="s">
        <v>654</v>
      </c>
      <c r="AH259" s="374">
        <v>42975</v>
      </c>
      <c r="AI259" s="374">
        <v>42975</v>
      </c>
      <c r="AJ259" s="374">
        <v>42986</v>
      </c>
      <c r="AK259" s="374">
        <v>43017</v>
      </c>
      <c r="AL259" s="371"/>
      <c r="AM259" s="371"/>
      <c r="AN259" s="374"/>
      <c r="AO259" s="371"/>
      <c r="AP259" s="374"/>
      <c r="AQ259" s="374"/>
      <c r="AR259" s="374"/>
      <c r="AS259" s="374"/>
      <c r="AT259" s="374"/>
      <c r="AU259" s="371"/>
      <c r="AV259" s="371" t="s">
        <v>676</v>
      </c>
    </row>
    <row r="260" spans="1:48" s="20" customFormat="1" ht="33.75" x14ac:dyDescent="0.2">
      <c r="A260" s="369"/>
      <c r="B260" s="370" t="s">
        <v>647</v>
      </c>
      <c r="C260" s="370" t="s">
        <v>64</v>
      </c>
      <c r="D260" s="369"/>
      <c r="E260" s="369"/>
      <c r="F260" s="369"/>
      <c r="G260" s="369"/>
      <c r="H260" s="369"/>
      <c r="I260" s="369"/>
      <c r="J260" s="369"/>
      <c r="K260" s="369"/>
      <c r="L260" s="369"/>
      <c r="M260" s="371" t="s">
        <v>649</v>
      </c>
      <c r="N260" s="371" t="s">
        <v>999</v>
      </c>
      <c r="O260" s="371" t="s">
        <v>541</v>
      </c>
      <c r="P260" s="372">
        <v>6304.39</v>
      </c>
      <c r="Q260" s="371" t="s">
        <v>651</v>
      </c>
      <c r="R260" s="372">
        <v>6304.39</v>
      </c>
      <c r="S260" s="371" t="s">
        <v>876</v>
      </c>
      <c r="T260" s="371" t="s">
        <v>877</v>
      </c>
      <c r="U260" s="373"/>
      <c r="V260" s="373"/>
      <c r="W260" s="371"/>
      <c r="X260" s="372"/>
      <c r="Y260" s="371"/>
      <c r="Z260" s="373"/>
      <c r="AA260" s="372"/>
      <c r="AB260" s="372"/>
      <c r="AC260" s="372"/>
      <c r="AD260" s="372"/>
      <c r="AE260" s="372"/>
      <c r="AF260" s="373" t="s">
        <v>1000</v>
      </c>
      <c r="AG260" s="371" t="s">
        <v>654</v>
      </c>
      <c r="AH260" s="374">
        <v>42975</v>
      </c>
      <c r="AI260" s="374">
        <v>42975</v>
      </c>
      <c r="AJ260" s="374">
        <v>42986</v>
      </c>
      <c r="AK260" s="374">
        <v>43020</v>
      </c>
      <c r="AL260" s="371"/>
      <c r="AM260" s="371"/>
      <c r="AN260" s="374"/>
      <c r="AO260" s="371"/>
      <c r="AP260" s="374"/>
      <c r="AQ260" s="374"/>
      <c r="AR260" s="374"/>
      <c r="AS260" s="374"/>
      <c r="AT260" s="374"/>
      <c r="AU260" s="371"/>
      <c r="AV260" s="371" t="s">
        <v>676</v>
      </c>
    </row>
    <row r="261" spans="1:48" s="20" customFormat="1" ht="33.75" x14ac:dyDescent="0.2">
      <c r="A261" s="369"/>
      <c r="B261" s="370" t="s">
        <v>647</v>
      </c>
      <c r="C261" s="370" t="s">
        <v>64</v>
      </c>
      <c r="D261" s="369"/>
      <c r="E261" s="369"/>
      <c r="F261" s="369"/>
      <c r="G261" s="369"/>
      <c r="H261" s="369"/>
      <c r="I261" s="369"/>
      <c r="J261" s="369"/>
      <c r="K261" s="369"/>
      <c r="L261" s="369"/>
      <c r="M261" s="371" t="s">
        <v>649</v>
      </c>
      <c r="N261" s="371" t="s">
        <v>1001</v>
      </c>
      <c r="O261" s="371" t="s">
        <v>541</v>
      </c>
      <c r="P261" s="372">
        <v>4134.2299999999996</v>
      </c>
      <c r="Q261" s="371" t="s">
        <v>651</v>
      </c>
      <c r="R261" s="372">
        <v>4134.2299999999996</v>
      </c>
      <c r="S261" s="371" t="s">
        <v>876</v>
      </c>
      <c r="T261" s="371" t="s">
        <v>877</v>
      </c>
      <c r="U261" s="373"/>
      <c r="V261" s="373"/>
      <c r="W261" s="371"/>
      <c r="X261" s="372"/>
      <c r="Y261" s="371"/>
      <c r="Z261" s="373"/>
      <c r="AA261" s="372"/>
      <c r="AB261" s="372"/>
      <c r="AC261" s="372"/>
      <c r="AD261" s="372"/>
      <c r="AE261" s="372"/>
      <c r="AF261" s="373" t="s">
        <v>1002</v>
      </c>
      <c r="AG261" s="371" t="s">
        <v>654</v>
      </c>
      <c r="AH261" s="374">
        <v>42975</v>
      </c>
      <c r="AI261" s="374">
        <v>42975</v>
      </c>
      <c r="AJ261" s="374">
        <v>42986</v>
      </c>
      <c r="AK261" s="374">
        <v>43018</v>
      </c>
      <c r="AL261" s="371"/>
      <c r="AM261" s="371"/>
      <c r="AN261" s="374"/>
      <c r="AO261" s="371"/>
      <c r="AP261" s="374"/>
      <c r="AQ261" s="374"/>
      <c r="AR261" s="374"/>
      <c r="AS261" s="374"/>
      <c r="AT261" s="374"/>
      <c r="AU261" s="371"/>
      <c r="AV261" s="371" t="s">
        <v>676</v>
      </c>
    </row>
    <row r="262" spans="1:48" s="20" customFormat="1" ht="67.5" x14ac:dyDescent="0.2">
      <c r="A262" s="369"/>
      <c r="B262" s="370" t="s">
        <v>647</v>
      </c>
      <c r="C262" s="370" t="s">
        <v>64</v>
      </c>
      <c r="D262" s="369"/>
      <c r="E262" s="369"/>
      <c r="F262" s="369"/>
      <c r="G262" s="369"/>
      <c r="H262" s="369"/>
      <c r="I262" s="369"/>
      <c r="J262" s="369"/>
      <c r="K262" s="369"/>
      <c r="L262" s="369"/>
      <c r="M262" s="371" t="s">
        <v>649</v>
      </c>
      <c r="N262" s="371" t="s">
        <v>1003</v>
      </c>
      <c r="O262" s="371" t="s">
        <v>541</v>
      </c>
      <c r="P262" s="372">
        <v>30628.65</v>
      </c>
      <c r="Q262" s="371" t="s">
        <v>651</v>
      </c>
      <c r="R262" s="372">
        <v>30628.65</v>
      </c>
      <c r="S262" s="371" t="s">
        <v>876</v>
      </c>
      <c r="T262" s="371" t="s">
        <v>877</v>
      </c>
      <c r="U262" s="373"/>
      <c r="V262" s="373"/>
      <c r="W262" s="371"/>
      <c r="X262" s="372"/>
      <c r="Y262" s="371"/>
      <c r="Z262" s="373"/>
      <c r="AA262" s="372"/>
      <c r="AB262" s="372"/>
      <c r="AC262" s="372"/>
      <c r="AD262" s="372"/>
      <c r="AE262" s="372"/>
      <c r="AF262" s="373" t="s">
        <v>1004</v>
      </c>
      <c r="AG262" s="371" t="s">
        <v>654</v>
      </c>
      <c r="AH262" s="374">
        <v>42975</v>
      </c>
      <c r="AI262" s="374">
        <v>42975</v>
      </c>
      <c r="AJ262" s="374">
        <v>42986</v>
      </c>
      <c r="AK262" s="374">
        <v>43020</v>
      </c>
      <c r="AL262" s="371"/>
      <c r="AM262" s="371"/>
      <c r="AN262" s="374"/>
      <c r="AO262" s="371"/>
      <c r="AP262" s="374"/>
      <c r="AQ262" s="374"/>
      <c r="AR262" s="374"/>
      <c r="AS262" s="374"/>
      <c r="AT262" s="374"/>
      <c r="AU262" s="371"/>
      <c r="AV262" s="371" t="s">
        <v>676</v>
      </c>
    </row>
    <row r="263" spans="1:48" s="20" customFormat="1" ht="67.5" x14ac:dyDescent="0.2">
      <c r="A263" s="369"/>
      <c r="B263" s="370" t="s">
        <v>647</v>
      </c>
      <c r="C263" s="370" t="s">
        <v>64</v>
      </c>
      <c r="D263" s="369"/>
      <c r="E263" s="369"/>
      <c r="F263" s="369"/>
      <c r="G263" s="369"/>
      <c r="H263" s="369"/>
      <c r="I263" s="369"/>
      <c r="J263" s="369"/>
      <c r="K263" s="369"/>
      <c r="L263" s="369"/>
      <c r="M263" s="371" t="s">
        <v>649</v>
      </c>
      <c r="N263" s="371" t="s">
        <v>1005</v>
      </c>
      <c r="O263" s="371" t="s">
        <v>541</v>
      </c>
      <c r="P263" s="372">
        <v>48077.11</v>
      </c>
      <c r="Q263" s="371" t="s">
        <v>651</v>
      </c>
      <c r="R263" s="372">
        <v>48077.11</v>
      </c>
      <c r="S263" s="371" t="s">
        <v>876</v>
      </c>
      <c r="T263" s="371" t="s">
        <v>877</v>
      </c>
      <c r="U263" s="373"/>
      <c r="V263" s="373"/>
      <c r="W263" s="371"/>
      <c r="X263" s="372"/>
      <c r="Y263" s="371"/>
      <c r="Z263" s="373"/>
      <c r="AA263" s="372"/>
      <c r="AB263" s="372"/>
      <c r="AC263" s="372"/>
      <c r="AD263" s="372"/>
      <c r="AE263" s="372"/>
      <c r="AF263" s="373" t="s">
        <v>1006</v>
      </c>
      <c r="AG263" s="371" t="s">
        <v>654</v>
      </c>
      <c r="AH263" s="374">
        <v>42976</v>
      </c>
      <c r="AI263" s="374">
        <v>42976</v>
      </c>
      <c r="AJ263" s="374">
        <v>42989</v>
      </c>
      <c r="AK263" s="374">
        <v>43020</v>
      </c>
      <c r="AL263" s="371"/>
      <c r="AM263" s="371"/>
      <c r="AN263" s="374"/>
      <c r="AO263" s="371"/>
      <c r="AP263" s="374"/>
      <c r="AQ263" s="374"/>
      <c r="AR263" s="374"/>
      <c r="AS263" s="374"/>
      <c r="AT263" s="374"/>
      <c r="AU263" s="371"/>
      <c r="AV263" s="371" t="s">
        <v>676</v>
      </c>
    </row>
    <row r="264" spans="1:48" s="20" customFormat="1" ht="67.5" x14ac:dyDescent="0.2">
      <c r="A264" s="369"/>
      <c r="B264" s="370" t="s">
        <v>647</v>
      </c>
      <c r="C264" s="370" t="s">
        <v>64</v>
      </c>
      <c r="D264" s="369"/>
      <c r="E264" s="369"/>
      <c r="F264" s="369"/>
      <c r="G264" s="369"/>
      <c r="H264" s="369"/>
      <c r="I264" s="369"/>
      <c r="J264" s="369"/>
      <c r="K264" s="369"/>
      <c r="L264" s="369"/>
      <c r="M264" s="371" t="s">
        <v>649</v>
      </c>
      <c r="N264" s="371" t="s">
        <v>1007</v>
      </c>
      <c r="O264" s="371" t="s">
        <v>541</v>
      </c>
      <c r="P264" s="372">
        <v>8295.64</v>
      </c>
      <c r="Q264" s="371" t="s">
        <v>651</v>
      </c>
      <c r="R264" s="372">
        <v>8295.64</v>
      </c>
      <c r="S264" s="371" t="s">
        <v>876</v>
      </c>
      <c r="T264" s="371" t="s">
        <v>877</v>
      </c>
      <c r="U264" s="373"/>
      <c r="V264" s="373"/>
      <c r="W264" s="371"/>
      <c r="X264" s="372"/>
      <c r="Y264" s="371"/>
      <c r="Z264" s="373"/>
      <c r="AA264" s="372"/>
      <c r="AB264" s="372"/>
      <c r="AC264" s="372"/>
      <c r="AD264" s="372"/>
      <c r="AE264" s="372"/>
      <c r="AF264" s="373" t="s">
        <v>1008</v>
      </c>
      <c r="AG264" s="371" t="s">
        <v>654</v>
      </c>
      <c r="AH264" s="374">
        <v>42976</v>
      </c>
      <c r="AI264" s="374">
        <v>42976</v>
      </c>
      <c r="AJ264" s="374">
        <v>42989</v>
      </c>
      <c r="AK264" s="374">
        <v>43021</v>
      </c>
      <c r="AL264" s="371"/>
      <c r="AM264" s="371"/>
      <c r="AN264" s="374"/>
      <c r="AO264" s="371"/>
      <c r="AP264" s="374"/>
      <c r="AQ264" s="374"/>
      <c r="AR264" s="374"/>
      <c r="AS264" s="374"/>
      <c r="AT264" s="374"/>
      <c r="AU264" s="371"/>
      <c r="AV264" s="371" t="s">
        <v>676</v>
      </c>
    </row>
    <row r="265" spans="1:48" s="20" customFormat="1" ht="56.25" x14ac:dyDescent="0.2">
      <c r="A265" s="369"/>
      <c r="B265" s="370" t="s">
        <v>647</v>
      </c>
      <c r="C265" s="370" t="s">
        <v>64</v>
      </c>
      <c r="D265" s="369"/>
      <c r="E265" s="369"/>
      <c r="F265" s="369"/>
      <c r="G265" s="369"/>
      <c r="H265" s="369"/>
      <c r="I265" s="369"/>
      <c r="J265" s="369"/>
      <c r="K265" s="369"/>
      <c r="L265" s="369"/>
      <c r="M265" s="371" t="s">
        <v>649</v>
      </c>
      <c r="N265" s="371" t="s">
        <v>1009</v>
      </c>
      <c r="O265" s="371" t="s">
        <v>541</v>
      </c>
      <c r="P265" s="372">
        <v>17660.89</v>
      </c>
      <c r="Q265" s="371" t="s">
        <v>651</v>
      </c>
      <c r="R265" s="372">
        <v>17660.89</v>
      </c>
      <c r="S265" s="371" t="s">
        <v>876</v>
      </c>
      <c r="T265" s="371" t="s">
        <v>877</v>
      </c>
      <c r="U265" s="373"/>
      <c r="V265" s="373"/>
      <c r="W265" s="371"/>
      <c r="X265" s="372"/>
      <c r="Y265" s="371"/>
      <c r="Z265" s="373"/>
      <c r="AA265" s="372"/>
      <c r="AB265" s="372"/>
      <c r="AC265" s="372"/>
      <c r="AD265" s="372"/>
      <c r="AE265" s="372"/>
      <c r="AF265" s="373" t="s">
        <v>1010</v>
      </c>
      <c r="AG265" s="371" t="s">
        <v>654</v>
      </c>
      <c r="AH265" s="374">
        <v>42976</v>
      </c>
      <c r="AI265" s="374">
        <v>42976</v>
      </c>
      <c r="AJ265" s="374">
        <v>42989</v>
      </c>
      <c r="AK265" s="374">
        <v>43021</v>
      </c>
      <c r="AL265" s="371"/>
      <c r="AM265" s="371"/>
      <c r="AN265" s="374"/>
      <c r="AO265" s="371"/>
      <c r="AP265" s="374"/>
      <c r="AQ265" s="374"/>
      <c r="AR265" s="374"/>
      <c r="AS265" s="374"/>
      <c r="AT265" s="374"/>
      <c r="AU265" s="371"/>
      <c r="AV265" s="371" t="s">
        <v>676</v>
      </c>
    </row>
    <row r="266" spans="1:48" s="20" customFormat="1" ht="22.5" x14ac:dyDescent="0.2">
      <c r="A266" s="369"/>
      <c r="B266" s="370" t="s">
        <v>647</v>
      </c>
      <c r="C266" s="370" t="s">
        <v>64</v>
      </c>
      <c r="D266" s="369"/>
      <c r="E266" s="369"/>
      <c r="F266" s="369"/>
      <c r="G266" s="369"/>
      <c r="H266" s="369"/>
      <c r="I266" s="369"/>
      <c r="J266" s="369"/>
      <c r="K266" s="369"/>
      <c r="L266" s="369"/>
      <c r="M266" s="371" t="s">
        <v>649</v>
      </c>
      <c r="N266" s="371" t="s">
        <v>1011</v>
      </c>
      <c r="O266" s="371" t="s">
        <v>541</v>
      </c>
      <c r="P266" s="372">
        <v>1598.54</v>
      </c>
      <c r="Q266" s="371" t="s">
        <v>651</v>
      </c>
      <c r="R266" s="372">
        <v>1598.54</v>
      </c>
      <c r="S266" s="371" t="s">
        <v>876</v>
      </c>
      <c r="T266" s="371" t="s">
        <v>877</v>
      </c>
      <c r="U266" s="373"/>
      <c r="V266" s="373"/>
      <c r="W266" s="371"/>
      <c r="X266" s="372"/>
      <c r="Y266" s="371"/>
      <c r="Z266" s="373"/>
      <c r="AA266" s="372"/>
      <c r="AB266" s="372"/>
      <c r="AC266" s="372"/>
      <c r="AD266" s="372"/>
      <c r="AE266" s="372"/>
      <c r="AF266" s="373" t="s">
        <v>1012</v>
      </c>
      <c r="AG266" s="371" t="s">
        <v>654</v>
      </c>
      <c r="AH266" s="374">
        <v>42978</v>
      </c>
      <c r="AI266" s="374">
        <v>42978</v>
      </c>
      <c r="AJ266" s="374">
        <v>42985</v>
      </c>
      <c r="AK266" s="374">
        <v>43021</v>
      </c>
      <c r="AL266" s="371"/>
      <c r="AM266" s="371"/>
      <c r="AN266" s="374"/>
      <c r="AO266" s="371"/>
      <c r="AP266" s="374"/>
      <c r="AQ266" s="374"/>
      <c r="AR266" s="374"/>
      <c r="AS266" s="374"/>
      <c r="AT266" s="374"/>
      <c r="AU266" s="371"/>
      <c r="AV266" s="371" t="s">
        <v>676</v>
      </c>
    </row>
    <row r="267" spans="1:48" s="20" customFormat="1" ht="11.25" x14ac:dyDescent="0.2">
      <c r="A267" s="23">
        <v>3</v>
      </c>
      <c r="B267" s="21" t="s">
        <v>541</v>
      </c>
      <c r="C267" s="21"/>
      <c r="D267" s="23" t="s">
        <v>598</v>
      </c>
      <c r="E267" s="23"/>
      <c r="F267" s="23"/>
      <c r="G267" s="381">
        <f>'6.2. Паспорт фин осв ввод факт'!P37</f>
        <v>20.373547647507614</v>
      </c>
      <c r="H267" s="381"/>
      <c r="I267" s="381">
        <f>'6.2. Паспорт фин осв ввод факт'!P39</f>
        <v>336.45601835491459</v>
      </c>
      <c r="J267" s="381">
        <f>'6.2. Паспорт фин осв ввод факт'!P40</f>
        <v>84.114004588728648</v>
      </c>
      <c r="K267" s="381">
        <f>'6.2. Паспорт фин осв ввод факт'!P41</f>
        <v>280.38001529576212</v>
      </c>
      <c r="L267" s="23"/>
      <c r="M267" s="21"/>
      <c r="N267" s="21"/>
      <c r="O267" s="21"/>
      <c r="P267" s="24"/>
      <c r="Q267" s="21"/>
      <c r="R267" s="24"/>
      <c r="S267" s="21"/>
      <c r="T267" s="21"/>
      <c r="U267" s="23"/>
      <c r="V267" s="23"/>
      <c r="W267" s="21"/>
      <c r="X267" s="24"/>
      <c r="Y267" s="21"/>
      <c r="Z267" s="22"/>
      <c r="AA267" s="24"/>
      <c r="AB267" s="24"/>
      <c r="AC267" s="24"/>
      <c r="AD267" s="24"/>
      <c r="AE267" s="24"/>
      <c r="AF267" s="23"/>
      <c r="AG267" s="21"/>
      <c r="AH267" s="22"/>
      <c r="AI267" s="22"/>
      <c r="AJ267" s="22"/>
      <c r="AK267" s="22"/>
      <c r="AL267" s="21"/>
      <c r="AM267" s="21"/>
      <c r="AN267" s="22"/>
      <c r="AO267" s="21"/>
      <c r="AP267" s="22"/>
      <c r="AQ267" s="22"/>
      <c r="AR267" s="22"/>
      <c r="AS267" s="22"/>
      <c r="AT267" s="22"/>
      <c r="AU267" s="21"/>
      <c r="AV267" s="21"/>
    </row>
    <row r="268" spans="1:48" s="20" customFormat="1" ht="11.25" x14ac:dyDescent="0.2">
      <c r="A268" s="23">
        <v>4</v>
      </c>
      <c r="B268" s="21" t="s">
        <v>541</v>
      </c>
      <c r="C268" s="21"/>
      <c r="D268" s="23" t="s">
        <v>599</v>
      </c>
      <c r="E268" s="23"/>
      <c r="F268" s="23"/>
      <c r="G268" s="381">
        <f>'6.2. Паспорт фин осв ввод факт'!T37</f>
        <v>12.987603453327395</v>
      </c>
      <c r="H268" s="381"/>
      <c r="I268" s="381">
        <f>'6.2. Паспорт фин осв ввод факт'!T39</f>
        <v>16.208529109752586</v>
      </c>
      <c r="J268" s="381">
        <f>'6.2. Паспорт фин осв ввод факт'!T40</f>
        <v>4.0521322774381465</v>
      </c>
      <c r="K268" s="381">
        <f>'6.2. Паспорт фин осв ввод факт'!T41</f>
        <v>13.507107591460491</v>
      </c>
      <c r="L268" s="23"/>
      <c r="M268" s="21"/>
      <c r="N268" s="21"/>
      <c r="O268" s="21"/>
      <c r="P268" s="24"/>
      <c r="Q268" s="21"/>
      <c r="R268" s="24"/>
      <c r="S268" s="21"/>
      <c r="T268" s="21"/>
      <c r="U268" s="23"/>
      <c r="V268" s="23"/>
      <c r="W268" s="21"/>
      <c r="X268" s="24"/>
      <c r="Y268" s="21"/>
      <c r="Z268" s="22"/>
      <c r="AA268" s="24"/>
      <c r="AB268" s="24"/>
      <c r="AC268" s="24"/>
      <c r="AD268" s="24"/>
      <c r="AE268" s="24"/>
      <c r="AF268" s="23"/>
      <c r="AG268" s="21"/>
      <c r="AH268" s="22"/>
      <c r="AI268" s="22"/>
      <c r="AJ268" s="22"/>
      <c r="AK268" s="22"/>
      <c r="AL268" s="21"/>
      <c r="AM268" s="21"/>
      <c r="AN268" s="22"/>
      <c r="AO268" s="21"/>
      <c r="AP268" s="22"/>
      <c r="AQ268" s="22"/>
      <c r="AR268" s="22"/>
      <c r="AS268" s="22"/>
      <c r="AT268" s="22"/>
      <c r="AU268" s="21"/>
      <c r="AV268" s="21"/>
    </row>
    <row r="269" spans="1:48" s="20" customFormat="1" ht="11.25" x14ac:dyDescent="0.2">
      <c r="A269" s="23">
        <v>5</v>
      </c>
      <c r="B269" s="21" t="s">
        <v>541</v>
      </c>
      <c r="C269" s="21"/>
      <c r="D269" s="23" t="s">
        <v>600</v>
      </c>
      <c r="E269" s="23"/>
      <c r="F269" s="23"/>
      <c r="G269" s="381">
        <f>'6.2. Паспорт фин осв ввод факт'!X37</f>
        <v>13.64881694285606</v>
      </c>
      <c r="H269" s="381"/>
      <c r="I269" s="381">
        <f>'6.2. Паспорт фин осв ввод факт'!X39</f>
        <v>17.033723544684364</v>
      </c>
      <c r="J269" s="381">
        <f>'6.2. Паспорт фин осв ввод факт'!X40</f>
        <v>4.2584308861710909</v>
      </c>
      <c r="K269" s="381">
        <f>'6.2. Паспорт фин осв ввод факт'!X41</f>
        <v>14.194769620570305</v>
      </c>
      <c r="L269" s="23"/>
      <c r="M269" s="21"/>
      <c r="N269" s="21"/>
      <c r="O269" s="21"/>
      <c r="P269" s="24"/>
      <c r="Q269" s="21"/>
      <c r="R269" s="24"/>
      <c r="S269" s="21"/>
      <c r="T269" s="21"/>
      <c r="U269" s="23"/>
      <c r="V269" s="23"/>
      <c r="W269" s="21"/>
      <c r="X269" s="24"/>
      <c r="Y269" s="21"/>
      <c r="Z269" s="22"/>
      <c r="AA269" s="24"/>
      <c r="AB269" s="24"/>
      <c r="AC269" s="24"/>
      <c r="AD269" s="24"/>
      <c r="AE269" s="24"/>
      <c r="AF269" s="23"/>
      <c r="AG269" s="21"/>
      <c r="AH269" s="22"/>
      <c r="AI269" s="22"/>
      <c r="AJ269" s="22"/>
      <c r="AK269" s="22"/>
      <c r="AL269" s="21"/>
      <c r="AM269" s="21"/>
      <c r="AN269" s="22"/>
      <c r="AO269" s="21"/>
      <c r="AP269" s="22"/>
      <c r="AQ269" s="22"/>
      <c r="AR269" s="22"/>
      <c r="AS269" s="22"/>
      <c r="AT269" s="22"/>
      <c r="AU269" s="21"/>
      <c r="AV269" s="21"/>
    </row>
    <row r="270" spans="1:48" s="20" customFormat="1" ht="11.25" x14ac:dyDescent="0.2">
      <c r="A270" s="23">
        <v>6</v>
      </c>
      <c r="B270" s="21" t="s">
        <v>541</v>
      </c>
      <c r="C270" s="21"/>
      <c r="D270" s="23" t="s">
        <v>551</v>
      </c>
      <c r="E270" s="23"/>
      <c r="F270" s="23"/>
      <c r="G270" s="381">
        <v>17.112409181423246</v>
      </c>
      <c r="H270" s="381"/>
      <c r="I270" s="381">
        <f>44.4922638717004*0.6*0.8</f>
        <v>21.356286658416195</v>
      </c>
      <c r="J270" s="381">
        <f>44.4922638717004*0.6*0.2</f>
        <v>5.3390716646040488</v>
      </c>
      <c r="K270" s="381">
        <f>44.4922638717004*0.4</f>
        <v>17.796905548680162</v>
      </c>
      <c r="L270" s="23"/>
      <c r="M270" s="21"/>
      <c r="N270" s="21"/>
      <c r="O270" s="21"/>
      <c r="P270" s="24"/>
      <c r="Q270" s="21"/>
      <c r="R270" s="24"/>
      <c r="S270" s="21"/>
      <c r="T270" s="21"/>
      <c r="U270" s="23"/>
      <c r="V270" s="23"/>
      <c r="W270" s="21"/>
      <c r="X270" s="24"/>
      <c r="Y270" s="21"/>
      <c r="Z270" s="22"/>
      <c r="AA270" s="24"/>
      <c r="AB270" s="24"/>
      <c r="AC270" s="24"/>
      <c r="AD270" s="24"/>
      <c r="AE270" s="24"/>
      <c r="AF270" s="23"/>
      <c r="AG270" s="21"/>
      <c r="AH270" s="22"/>
      <c r="AI270" s="22"/>
      <c r="AJ270" s="22"/>
      <c r="AK270" s="22"/>
      <c r="AL270" s="21"/>
      <c r="AM270" s="21"/>
      <c r="AN270" s="22"/>
      <c r="AO270" s="21"/>
      <c r="AP270" s="22"/>
      <c r="AQ270" s="22"/>
      <c r="AR270" s="22"/>
      <c r="AS270" s="22"/>
      <c r="AT270" s="22"/>
      <c r="AU270" s="21"/>
      <c r="AV270" s="21"/>
    </row>
  </sheetData>
  <autoFilter ref="A25:AV270"/>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95"/>
  <sheetViews>
    <sheetView view="pageBreakPreview" zoomScale="90" zoomScaleNormal="90" zoomScaleSheetLayoutView="90" workbookViewId="0">
      <selection activeCell="B114" sqref="B114"/>
    </sheetView>
  </sheetViews>
  <sheetFormatPr defaultRowHeight="15.75" x14ac:dyDescent="0.25"/>
  <cols>
    <col min="1" max="2" width="66.140625" style="114" customWidth="1"/>
    <col min="3" max="3" width="9.140625" style="115" hidden="1" customWidth="1"/>
    <col min="4" max="4" width="8.85546875" style="115" hidden="1" customWidth="1"/>
    <col min="5" max="5" width="9.140625" style="115" hidden="1" customWidth="1"/>
    <col min="6"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1" t="s">
        <v>68</v>
      </c>
      <c r="E1" s="557" t="s">
        <v>616</v>
      </c>
    </row>
    <row r="2" spans="1:8" ht="18.75" x14ac:dyDescent="0.3">
      <c r="B2" s="15" t="s">
        <v>10</v>
      </c>
      <c r="E2" s="557"/>
    </row>
    <row r="3" spans="1:8" ht="18.75" x14ac:dyDescent="0.3">
      <c r="B3" s="15" t="s">
        <v>540</v>
      </c>
      <c r="E3" s="557"/>
    </row>
    <row r="4" spans="1:8" x14ac:dyDescent="0.25">
      <c r="B4" s="44"/>
      <c r="E4" s="557"/>
    </row>
    <row r="5" spans="1:8" ht="18.75" x14ac:dyDescent="0.3">
      <c r="A5" s="558" t="str">
        <f>'7. Паспорт отчет о закупке'!A5:AV5</f>
        <v>Год раскрытия информации: 2018 год</v>
      </c>
      <c r="B5" s="558"/>
      <c r="C5" s="84"/>
      <c r="D5" s="84"/>
      <c r="E5" s="557"/>
      <c r="F5" s="84"/>
      <c r="G5" s="84"/>
      <c r="H5" s="84"/>
    </row>
    <row r="6" spans="1:8" ht="18.75" x14ac:dyDescent="0.3">
      <c r="A6" s="141"/>
      <c r="B6" s="141"/>
      <c r="C6" s="141"/>
      <c r="D6" s="141"/>
      <c r="E6" s="557"/>
      <c r="F6" s="141"/>
      <c r="G6" s="141"/>
      <c r="H6" s="141"/>
    </row>
    <row r="7" spans="1:8" ht="18.75" x14ac:dyDescent="0.25">
      <c r="A7" s="430" t="s">
        <v>9</v>
      </c>
      <c r="B7" s="430"/>
      <c r="C7" s="145"/>
      <c r="D7" s="145"/>
      <c r="E7" s="557"/>
      <c r="F7" s="145"/>
      <c r="G7" s="145"/>
      <c r="H7" s="145"/>
    </row>
    <row r="8" spans="1:8" ht="18.75" x14ac:dyDescent="0.25">
      <c r="A8" s="145"/>
      <c r="B8" s="145"/>
      <c r="C8" s="145"/>
      <c r="D8" s="145"/>
      <c r="E8" s="557"/>
      <c r="F8" s="145"/>
      <c r="G8" s="145"/>
      <c r="H8" s="145"/>
    </row>
    <row r="9" spans="1:8" x14ac:dyDescent="0.25">
      <c r="A9" s="431" t="str">
        <f>'1. паспорт местоположение'!A9:C9</f>
        <v>АО "Янтарьэнерго"</v>
      </c>
      <c r="B9" s="431"/>
      <c r="C9" s="146"/>
      <c r="D9" s="146"/>
      <c r="E9" s="557"/>
      <c r="F9" s="146"/>
      <c r="G9" s="146"/>
      <c r="H9" s="146"/>
    </row>
    <row r="10" spans="1:8" x14ac:dyDescent="0.25">
      <c r="A10" s="427" t="s">
        <v>8</v>
      </c>
      <c r="B10" s="427"/>
      <c r="C10" s="147"/>
      <c r="D10" s="147"/>
      <c r="E10" s="557"/>
      <c r="F10" s="147"/>
      <c r="G10" s="147"/>
      <c r="H10" s="147"/>
    </row>
    <row r="11" spans="1:8" ht="18.75" x14ac:dyDescent="0.25">
      <c r="A11" s="145"/>
      <c r="B11" s="145"/>
      <c r="C11" s="145"/>
      <c r="D11" s="145"/>
      <c r="E11" s="557"/>
      <c r="F11" s="145"/>
      <c r="G11" s="145"/>
      <c r="H11" s="145"/>
    </row>
    <row r="12" spans="1:8" ht="30.75" customHeight="1" x14ac:dyDescent="0.25">
      <c r="A12" s="431" t="str">
        <f>'1. паспорт местоположение'!A12:C12</f>
        <v>Г</v>
      </c>
      <c r="B12" s="431"/>
      <c r="C12" s="146"/>
      <c r="D12" s="146"/>
      <c r="E12" s="557"/>
      <c r="F12" s="146"/>
      <c r="G12" s="146"/>
      <c r="H12" s="146"/>
    </row>
    <row r="13" spans="1:8" x14ac:dyDescent="0.25">
      <c r="A13" s="427" t="s">
        <v>7</v>
      </c>
      <c r="B13" s="427"/>
      <c r="C13" s="147"/>
      <c r="D13" s="147"/>
      <c r="E13" s="557"/>
      <c r="F13" s="147"/>
      <c r="G13" s="147"/>
      <c r="H13" s="147"/>
    </row>
    <row r="14" spans="1:8" ht="18.75" x14ac:dyDescent="0.25">
      <c r="A14" s="11"/>
      <c r="B14" s="11"/>
      <c r="C14" s="11"/>
      <c r="D14" s="11"/>
      <c r="E14" s="557"/>
      <c r="F14" s="11"/>
      <c r="G14" s="11"/>
      <c r="H14" s="11"/>
    </row>
    <row r="15" spans="1:8" ht="39" customHeight="1" x14ac:dyDescent="0.25">
      <c r="A15" s="432"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32"/>
      <c r="C15" s="146"/>
      <c r="D15" s="146"/>
      <c r="E15" s="557"/>
      <c r="F15" s="146"/>
      <c r="G15" s="146"/>
      <c r="H15" s="146"/>
    </row>
    <row r="16" spans="1:8" x14ac:dyDescent="0.25">
      <c r="A16" s="427" t="s">
        <v>6</v>
      </c>
      <c r="B16" s="427"/>
      <c r="C16" s="147"/>
      <c r="D16" s="147"/>
      <c r="E16" s="557"/>
      <c r="F16" s="147"/>
      <c r="G16" s="147"/>
      <c r="H16" s="147"/>
    </row>
    <row r="17" spans="1:5" x14ac:dyDescent="0.25">
      <c r="B17" s="116"/>
      <c r="E17" s="557"/>
    </row>
    <row r="18" spans="1:5" ht="33.75" customHeight="1" x14ac:dyDescent="0.25">
      <c r="A18" s="559" t="s">
        <v>522</v>
      </c>
      <c r="B18" s="560"/>
      <c r="E18" s="557"/>
    </row>
    <row r="19" spans="1:5" x14ac:dyDescent="0.25">
      <c r="B19" s="44"/>
      <c r="E19" s="557"/>
    </row>
    <row r="20" spans="1:5" ht="16.5" thickBot="1" x14ac:dyDescent="0.3">
      <c r="B20" s="117"/>
      <c r="E20" s="557"/>
    </row>
    <row r="21" spans="1:5" ht="29.45" customHeight="1" thickBot="1" x14ac:dyDescent="0.3">
      <c r="A21" s="118" t="s">
        <v>391</v>
      </c>
      <c r="B21" s="119" t="str">
        <f>A15</f>
        <v>Технологическое присоединение энергопринимающих устройств потребителей максимальной мощностью до 15 кВт включительно</v>
      </c>
      <c r="E21" s="557"/>
    </row>
    <row r="22" spans="1:5" ht="16.5" thickBot="1" x14ac:dyDescent="0.3">
      <c r="A22" s="118" t="s">
        <v>392</v>
      </c>
      <c r="B22" s="119" t="str">
        <f>'1. паспорт местоположение'!C27</f>
        <v>Калининградская область</v>
      </c>
      <c r="E22" s="557"/>
    </row>
    <row r="23" spans="1:5" ht="16.5" thickBot="1" x14ac:dyDescent="0.3">
      <c r="A23" s="118" t="s">
        <v>357</v>
      </c>
      <c r="B23" s="120" t="s">
        <v>612</v>
      </c>
      <c r="E23" s="342"/>
    </row>
    <row r="24" spans="1:5" ht="16.5" thickBot="1" x14ac:dyDescent="0.3">
      <c r="A24" s="118" t="s">
        <v>393</v>
      </c>
      <c r="B24" s="120" t="s">
        <v>1044</v>
      </c>
      <c r="E24" s="342" t="s">
        <v>617</v>
      </c>
    </row>
    <row r="25" spans="1:5" ht="16.5" hidden="1" thickBot="1" x14ac:dyDescent="0.3">
      <c r="A25" s="118" t="s">
        <v>393</v>
      </c>
      <c r="B25" s="120" t="s">
        <v>619</v>
      </c>
      <c r="E25" s="342" t="s">
        <v>618</v>
      </c>
    </row>
    <row r="26" spans="1:5" ht="16.5" thickBot="1" x14ac:dyDescent="0.3">
      <c r="A26" s="121" t="s">
        <v>394</v>
      </c>
      <c r="B26" s="119" t="s">
        <v>1045</v>
      </c>
    </row>
    <row r="27" spans="1:5" ht="16.5" thickBot="1" x14ac:dyDescent="0.3">
      <c r="A27" s="122" t="s">
        <v>395</v>
      </c>
      <c r="B27" s="123" t="s">
        <v>615</v>
      </c>
    </row>
    <row r="28" spans="1:5" ht="29.25" thickBot="1" x14ac:dyDescent="0.3">
      <c r="A28" s="130" t="s">
        <v>1046</v>
      </c>
      <c r="B28" s="352">
        <f>'[5]6.2. Паспорт фин осв ввод'!D24</f>
        <v>2782.5947665186213</v>
      </c>
    </row>
    <row r="29" spans="1:5" ht="16.5" thickBot="1" x14ac:dyDescent="0.3">
      <c r="A29" s="125" t="s">
        <v>396</v>
      </c>
      <c r="B29" s="125" t="s">
        <v>1034</v>
      </c>
    </row>
    <row r="30" spans="1:5" ht="29.25" thickBot="1" x14ac:dyDescent="0.3">
      <c r="A30" s="131" t="s">
        <v>397</v>
      </c>
      <c r="B30" s="125"/>
    </row>
    <row r="31" spans="1:5" s="66" customFormat="1" ht="29.25" thickBot="1" x14ac:dyDescent="0.3">
      <c r="A31" s="131" t="s">
        <v>398</v>
      </c>
      <c r="B31" s="352">
        <f>B33+B122+B139</f>
        <v>359.47682675999999</v>
      </c>
    </row>
    <row r="32" spans="1:5" s="66" customFormat="1" ht="16.5" thickBot="1" x14ac:dyDescent="0.3">
      <c r="A32" s="125" t="s">
        <v>399</v>
      </c>
      <c r="B32" s="352"/>
    </row>
    <row r="33" spans="1:3" s="66" customFormat="1" ht="29.25" thickBot="1" x14ac:dyDescent="0.3">
      <c r="A33" s="131" t="s">
        <v>400</v>
      </c>
      <c r="B33" s="352">
        <f xml:space="preserve"> SUMIF(C34:C163,10,B34:B163)</f>
        <v>359.47682675999999</v>
      </c>
    </row>
    <row r="34" spans="1:3" s="353" customFormat="1" ht="30.75" thickBot="1" x14ac:dyDescent="0.3">
      <c r="A34" s="354" t="s">
        <v>627</v>
      </c>
      <c r="B34" s="355">
        <v>25.11799564</v>
      </c>
      <c r="C34" s="353">
        <v>10</v>
      </c>
    </row>
    <row r="35" spans="1:3" s="66" customFormat="1" ht="16.5" thickBot="1" x14ac:dyDescent="0.3">
      <c r="A35" s="125" t="s">
        <v>402</v>
      </c>
      <c r="B35" s="161">
        <f>B34/$B$28</f>
        <v>9.0268248694457924E-3</v>
      </c>
    </row>
    <row r="36" spans="1:3" s="66" customFormat="1" ht="16.5" thickBot="1" x14ac:dyDescent="0.3">
      <c r="A36" s="125" t="s">
        <v>403</v>
      </c>
      <c r="B36" s="352">
        <v>7.5353986900000001</v>
      </c>
      <c r="C36" s="66">
        <v>1</v>
      </c>
    </row>
    <row r="37" spans="1:3" s="66" customFormat="1" ht="16.5" thickBot="1" x14ac:dyDescent="0.3">
      <c r="A37" s="125" t="s">
        <v>404</v>
      </c>
      <c r="B37" s="352">
        <v>0</v>
      </c>
      <c r="C37" s="66">
        <v>2</v>
      </c>
    </row>
    <row r="38" spans="1:3" s="353" customFormat="1" ht="30.75" thickBot="1" x14ac:dyDescent="0.3">
      <c r="A38" s="354" t="s">
        <v>628</v>
      </c>
      <c r="B38" s="355">
        <v>24.552574</v>
      </c>
      <c r="C38" s="353">
        <v>10</v>
      </c>
    </row>
    <row r="39" spans="1:3" s="66" customFormat="1" ht="16.5" thickBot="1" x14ac:dyDescent="0.3">
      <c r="A39" s="125" t="s">
        <v>402</v>
      </c>
      <c r="B39" s="161">
        <f t="shared" ref="B39" si="0">B38/$B$28</f>
        <v>8.8236254503987234E-3</v>
      </c>
    </row>
    <row r="40" spans="1:3" s="66" customFormat="1" ht="16.5" thickBot="1" x14ac:dyDescent="0.3">
      <c r="A40" s="125" t="s">
        <v>403</v>
      </c>
      <c r="B40" s="352">
        <v>7.3657722000000003</v>
      </c>
      <c r="C40" s="66">
        <v>1</v>
      </c>
    </row>
    <row r="41" spans="1:3" s="66" customFormat="1" ht="16.5" thickBot="1" x14ac:dyDescent="0.3">
      <c r="A41" s="125" t="s">
        <v>404</v>
      </c>
      <c r="B41" s="352">
        <v>0</v>
      </c>
      <c r="C41" s="66">
        <v>2</v>
      </c>
    </row>
    <row r="42" spans="1:3" s="353" customFormat="1" ht="30.75" thickBot="1" x14ac:dyDescent="0.3">
      <c r="A42" s="354" t="s">
        <v>629</v>
      </c>
      <c r="B42" s="355">
        <v>30.648496239999997</v>
      </c>
      <c r="C42" s="353">
        <v>10</v>
      </c>
    </row>
    <row r="43" spans="1:3" s="66" customFormat="1" ht="16.5" thickBot="1" x14ac:dyDescent="0.3">
      <c r="A43" s="125" t="s">
        <v>402</v>
      </c>
      <c r="B43" s="161">
        <f t="shared" ref="B43" si="1">B42/$B$28</f>
        <v>1.1014358471731458E-2</v>
      </c>
    </row>
    <row r="44" spans="1:3" s="66" customFormat="1" ht="16.5" thickBot="1" x14ac:dyDescent="0.3">
      <c r="A44" s="125" t="s">
        <v>403</v>
      </c>
      <c r="B44" s="352">
        <v>9.1945484800000017</v>
      </c>
      <c r="C44" s="66">
        <v>1</v>
      </c>
    </row>
    <row r="45" spans="1:3" s="66" customFormat="1" ht="16.5" thickBot="1" x14ac:dyDescent="0.3">
      <c r="A45" s="125" t="s">
        <v>404</v>
      </c>
      <c r="B45" s="352">
        <v>0</v>
      </c>
      <c r="C45" s="66">
        <v>2</v>
      </c>
    </row>
    <row r="46" spans="1:3" s="353" customFormat="1" ht="30.75" thickBot="1" x14ac:dyDescent="0.3">
      <c r="A46" s="354" t="s">
        <v>630</v>
      </c>
      <c r="B46" s="355">
        <v>33.651431930000001</v>
      </c>
      <c r="C46" s="353">
        <v>10</v>
      </c>
    </row>
    <row r="47" spans="1:3" s="66" customFormat="1" ht="16.5" thickBot="1" x14ac:dyDescent="0.3">
      <c r="A47" s="125" t="s">
        <v>402</v>
      </c>
      <c r="B47" s="161">
        <f t="shared" ref="B47" si="2">B46/$B$28</f>
        <v>1.209354388749254E-2</v>
      </c>
    </row>
    <row r="48" spans="1:3" s="66" customFormat="1" ht="16.5" thickBot="1" x14ac:dyDescent="0.3">
      <c r="A48" s="125" t="s">
        <v>403</v>
      </c>
      <c r="B48" s="352">
        <v>10.095429579999999</v>
      </c>
      <c r="C48" s="66">
        <v>1</v>
      </c>
    </row>
    <row r="49" spans="1:3" s="66" customFormat="1" ht="16.5" thickBot="1" x14ac:dyDescent="0.3">
      <c r="A49" s="125" t="s">
        <v>404</v>
      </c>
      <c r="B49" s="352">
        <v>0</v>
      </c>
      <c r="C49" s="66">
        <v>2</v>
      </c>
    </row>
    <row r="50" spans="1:3" s="353" customFormat="1" ht="30.75" thickBot="1" x14ac:dyDescent="0.3">
      <c r="A50" s="354" t="s">
        <v>631</v>
      </c>
      <c r="B50" s="355">
        <v>29.719372</v>
      </c>
      <c r="C50" s="353">
        <v>10</v>
      </c>
    </row>
    <row r="51" spans="1:3" s="66" customFormat="1" ht="16.5" thickBot="1" x14ac:dyDescent="0.3">
      <c r="A51" s="125" t="s">
        <v>402</v>
      </c>
      <c r="B51" s="161">
        <f t="shared" ref="B51" si="3">B50/$B$28</f>
        <v>1.0680452776522218E-2</v>
      </c>
    </row>
    <row r="52" spans="1:3" s="66" customFormat="1" ht="16.5" thickBot="1" x14ac:dyDescent="0.3">
      <c r="A52" s="125" t="s">
        <v>403</v>
      </c>
      <c r="B52" s="352">
        <v>8.9158118699999989</v>
      </c>
      <c r="C52" s="66">
        <v>1</v>
      </c>
    </row>
    <row r="53" spans="1:3" s="66" customFormat="1" ht="16.5" thickBot="1" x14ac:dyDescent="0.3">
      <c r="A53" s="125" t="s">
        <v>404</v>
      </c>
      <c r="B53" s="352">
        <v>0</v>
      </c>
      <c r="C53" s="66">
        <v>2</v>
      </c>
    </row>
    <row r="54" spans="1:3" s="353" customFormat="1" ht="30.75" thickBot="1" x14ac:dyDescent="0.3">
      <c r="A54" s="354" t="s">
        <v>632</v>
      </c>
      <c r="B54" s="355">
        <v>17.899847730000001</v>
      </c>
      <c r="C54" s="353">
        <v>10</v>
      </c>
    </row>
    <row r="55" spans="1:3" s="66" customFormat="1" ht="16.5" thickBot="1" x14ac:dyDescent="0.3">
      <c r="A55" s="125" t="s">
        <v>402</v>
      </c>
      <c r="B55" s="161">
        <f t="shared" ref="B55" si="4">B54/$B$28</f>
        <v>6.4327899791154211E-3</v>
      </c>
    </row>
    <row r="56" spans="1:3" s="66" customFormat="1" ht="16.5" thickBot="1" x14ac:dyDescent="0.3">
      <c r="A56" s="125" t="s">
        <v>403</v>
      </c>
      <c r="B56" s="352">
        <v>5.3699543200000006</v>
      </c>
      <c r="C56" s="66">
        <v>1</v>
      </c>
    </row>
    <row r="57" spans="1:3" s="66" customFormat="1" ht="16.5" thickBot="1" x14ac:dyDescent="0.3">
      <c r="A57" s="125" t="s">
        <v>404</v>
      </c>
      <c r="B57" s="352">
        <v>0</v>
      </c>
      <c r="C57" s="66">
        <v>2</v>
      </c>
    </row>
    <row r="58" spans="1:3" s="353" customFormat="1" ht="30.75" thickBot="1" x14ac:dyDescent="0.3">
      <c r="A58" s="354" t="s">
        <v>633</v>
      </c>
      <c r="B58" s="355">
        <v>23.015552379999999</v>
      </c>
      <c r="C58" s="353">
        <v>10</v>
      </c>
    </row>
    <row r="59" spans="1:3" s="66" customFormat="1" ht="16.5" thickBot="1" x14ac:dyDescent="0.3">
      <c r="A59" s="125" t="s">
        <v>402</v>
      </c>
      <c r="B59" s="161">
        <f t="shared" ref="B59" si="5">B58/$B$28</f>
        <v>8.2712555406676668E-3</v>
      </c>
    </row>
    <row r="60" spans="1:3" s="66" customFormat="1" ht="16.5" thickBot="1" x14ac:dyDescent="0.3">
      <c r="A60" s="125" t="s">
        <v>403</v>
      </c>
      <c r="B60" s="352">
        <v>6.9046657100000006</v>
      </c>
      <c r="C60" s="66">
        <v>1</v>
      </c>
    </row>
    <row r="61" spans="1:3" s="66" customFormat="1" ht="16.5" thickBot="1" x14ac:dyDescent="0.3">
      <c r="A61" s="125" t="s">
        <v>404</v>
      </c>
      <c r="B61" s="352">
        <v>0</v>
      </c>
      <c r="C61" s="66">
        <v>2</v>
      </c>
    </row>
    <row r="62" spans="1:3" s="353" customFormat="1" ht="30.75" thickBot="1" x14ac:dyDescent="0.3">
      <c r="A62" s="354" t="s">
        <v>634</v>
      </c>
      <c r="B62" s="355">
        <v>31.085807429999999</v>
      </c>
      <c r="C62" s="353">
        <v>10</v>
      </c>
    </row>
    <row r="63" spans="1:3" s="66" customFormat="1" ht="16.5" thickBot="1" x14ac:dyDescent="0.3">
      <c r="A63" s="125" t="s">
        <v>402</v>
      </c>
      <c r="B63" s="161">
        <f t="shared" ref="B63" si="6">B62/$B$28</f>
        <v>1.1171517967343942E-2</v>
      </c>
    </row>
    <row r="64" spans="1:3" s="66" customFormat="1" ht="16.5" thickBot="1" x14ac:dyDescent="0.3">
      <c r="A64" s="125" t="s">
        <v>403</v>
      </c>
      <c r="B64" s="352">
        <v>9.3257422299999995</v>
      </c>
      <c r="C64" s="66">
        <v>1</v>
      </c>
    </row>
    <row r="65" spans="1:3" s="66" customFormat="1" ht="16.5" thickBot="1" x14ac:dyDescent="0.3">
      <c r="A65" s="125" t="s">
        <v>404</v>
      </c>
      <c r="B65" s="352">
        <v>0</v>
      </c>
      <c r="C65" s="66">
        <v>2</v>
      </c>
    </row>
    <row r="66" spans="1:3" s="353" customFormat="1" ht="30.75" thickBot="1" x14ac:dyDescent="0.3">
      <c r="A66" s="354" t="s">
        <v>635</v>
      </c>
      <c r="B66" s="355">
        <v>22.78487509</v>
      </c>
      <c r="C66" s="353">
        <v>10</v>
      </c>
    </row>
    <row r="67" spans="1:3" s="66" customFormat="1" ht="16.5" thickBot="1" x14ac:dyDescent="0.3">
      <c r="A67" s="125" t="s">
        <v>402</v>
      </c>
      <c r="B67" s="161">
        <f t="shared" ref="B67" si="7">B66/$B$28</f>
        <v>8.1883554745942281E-3</v>
      </c>
    </row>
    <row r="68" spans="1:3" s="66" customFormat="1" ht="16.5" thickBot="1" x14ac:dyDescent="0.3">
      <c r="A68" s="125" t="s">
        <v>403</v>
      </c>
      <c r="B68" s="352">
        <v>6.8354625300000009</v>
      </c>
      <c r="C68" s="66">
        <v>1</v>
      </c>
    </row>
    <row r="69" spans="1:3" s="66" customFormat="1" ht="16.5" thickBot="1" x14ac:dyDescent="0.3">
      <c r="A69" s="125" t="s">
        <v>404</v>
      </c>
      <c r="B69" s="352">
        <v>0</v>
      </c>
      <c r="C69" s="66">
        <v>2</v>
      </c>
    </row>
    <row r="70" spans="1:3" s="353" customFormat="1" ht="30.75" thickBot="1" x14ac:dyDescent="0.3">
      <c r="A70" s="354" t="s">
        <v>636</v>
      </c>
      <c r="B70" s="355">
        <v>22.287543300000003</v>
      </c>
      <c r="C70" s="353">
        <v>10</v>
      </c>
    </row>
    <row r="71" spans="1:3" s="66" customFormat="1" ht="16.5" thickBot="1" x14ac:dyDescent="0.3">
      <c r="A71" s="125" t="s">
        <v>402</v>
      </c>
      <c r="B71" s="161">
        <f t="shared" ref="B71" si="8">B70/$B$28</f>
        <v>8.0096259678819649E-3</v>
      </c>
    </row>
    <row r="72" spans="1:3" s="66" customFormat="1" ht="16.5" thickBot="1" x14ac:dyDescent="0.3">
      <c r="A72" s="125" t="s">
        <v>403</v>
      </c>
      <c r="B72" s="352">
        <v>6.59</v>
      </c>
      <c r="C72" s="66">
        <v>1</v>
      </c>
    </row>
    <row r="73" spans="1:3" s="66" customFormat="1" ht="16.5" thickBot="1" x14ac:dyDescent="0.3">
      <c r="A73" s="125" t="s">
        <v>404</v>
      </c>
      <c r="B73" s="352">
        <v>0</v>
      </c>
      <c r="C73" s="66">
        <v>2</v>
      </c>
    </row>
    <row r="74" spans="1:3" s="353" customFormat="1" ht="30.75" thickBot="1" x14ac:dyDescent="0.3">
      <c r="A74" s="354" t="s">
        <v>637</v>
      </c>
      <c r="B74" s="355">
        <v>26.60117863</v>
      </c>
      <c r="C74" s="353">
        <v>10</v>
      </c>
    </row>
    <row r="75" spans="1:3" s="66" customFormat="1" ht="16.5" thickBot="1" x14ac:dyDescent="0.3">
      <c r="A75" s="125" t="s">
        <v>402</v>
      </c>
      <c r="B75" s="161">
        <f t="shared" ref="B75" si="9">B74/$B$28</f>
        <v>9.559846424666946E-3</v>
      </c>
    </row>
    <row r="76" spans="1:3" s="66" customFormat="1" ht="16.5" thickBot="1" x14ac:dyDescent="0.3">
      <c r="A76" s="125" t="s">
        <v>403</v>
      </c>
      <c r="B76" s="352">
        <v>7.7599351299999997</v>
      </c>
      <c r="C76" s="66">
        <v>1</v>
      </c>
    </row>
    <row r="77" spans="1:3" s="66" customFormat="1" ht="16.5" thickBot="1" x14ac:dyDescent="0.3">
      <c r="A77" s="125" t="s">
        <v>404</v>
      </c>
      <c r="B77" s="352">
        <v>0</v>
      </c>
      <c r="C77" s="66">
        <v>2</v>
      </c>
    </row>
    <row r="78" spans="1:3" s="353" customFormat="1" ht="30.75" thickBot="1" x14ac:dyDescent="0.3">
      <c r="A78" s="354" t="s">
        <v>638</v>
      </c>
      <c r="B78" s="355">
        <v>24.014896989999997</v>
      </c>
      <c r="C78" s="353">
        <v>10</v>
      </c>
    </row>
    <row r="79" spans="1:3" s="66" customFormat="1" ht="16.5" thickBot="1" x14ac:dyDescent="0.3">
      <c r="A79" s="125" t="s">
        <v>402</v>
      </c>
      <c r="B79" s="161">
        <f t="shared" ref="B79" si="10">B78/$B$28</f>
        <v>8.6303968076694385E-3</v>
      </c>
    </row>
    <row r="80" spans="1:3" s="66" customFormat="1" ht="16.5" thickBot="1" x14ac:dyDescent="0.3">
      <c r="A80" s="125" t="s">
        <v>403</v>
      </c>
      <c r="B80" s="352">
        <v>7.0836149100000005</v>
      </c>
      <c r="C80" s="66">
        <v>1</v>
      </c>
    </row>
    <row r="81" spans="1:3" s="66" customFormat="1" ht="16.5" thickBot="1" x14ac:dyDescent="0.3">
      <c r="A81" s="125" t="s">
        <v>404</v>
      </c>
      <c r="B81" s="352">
        <v>0</v>
      </c>
      <c r="C81" s="66">
        <v>2</v>
      </c>
    </row>
    <row r="82" spans="1:3" s="353" customFormat="1" ht="30.75" thickBot="1" x14ac:dyDescent="0.3">
      <c r="A82" s="354" t="s">
        <v>639</v>
      </c>
      <c r="B82" s="355">
        <v>4.0827484199999997</v>
      </c>
      <c r="C82" s="353">
        <v>10</v>
      </c>
    </row>
    <row r="83" spans="1:3" s="66" customFormat="1" ht="16.5" thickBot="1" x14ac:dyDescent="0.3">
      <c r="A83" s="125" t="s">
        <v>402</v>
      </c>
      <c r="B83" s="161">
        <f t="shared" ref="B83" si="11">B82/$B$28</f>
        <v>1.4672450581469452E-3</v>
      </c>
    </row>
    <row r="84" spans="1:3" s="66" customFormat="1" ht="16.5" thickBot="1" x14ac:dyDescent="0.3">
      <c r="A84" s="125" t="s">
        <v>403</v>
      </c>
      <c r="B84" s="352">
        <v>1.22482453</v>
      </c>
      <c r="C84" s="66">
        <v>1</v>
      </c>
    </row>
    <row r="85" spans="1:3" s="66" customFormat="1" ht="16.5" thickBot="1" x14ac:dyDescent="0.3">
      <c r="A85" s="125" t="s">
        <v>404</v>
      </c>
      <c r="B85" s="352">
        <v>0</v>
      </c>
      <c r="C85" s="66">
        <v>2</v>
      </c>
    </row>
    <row r="86" spans="1:3" s="353" customFormat="1" ht="30.75" thickBot="1" x14ac:dyDescent="0.3">
      <c r="A86" s="354" t="s">
        <v>640</v>
      </c>
      <c r="B86" s="355">
        <v>11.21825194</v>
      </c>
      <c r="C86" s="353">
        <v>10</v>
      </c>
    </row>
    <row r="87" spans="1:3" s="66" customFormat="1" ht="16.5" thickBot="1" x14ac:dyDescent="0.3">
      <c r="A87" s="125" t="s">
        <v>402</v>
      </c>
      <c r="B87" s="161">
        <f t="shared" ref="B87" si="12">B86/$B$28</f>
        <v>4.031579472146947E-3</v>
      </c>
    </row>
    <row r="88" spans="1:3" s="66" customFormat="1" ht="16.5" thickBot="1" x14ac:dyDescent="0.3">
      <c r="A88" s="125" t="s">
        <v>403</v>
      </c>
      <c r="B88" s="352">
        <v>3.3654755800000005</v>
      </c>
      <c r="C88" s="66">
        <v>1</v>
      </c>
    </row>
    <row r="89" spans="1:3" s="66" customFormat="1" ht="16.5" thickBot="1" x14ac:dyDescent="0.3">
      <c r="A89" s="125" t="s">
        <v>404</v>
      </c>
      <c r="B89" s="352">
        <v>0</v>
      </c>
      <c r="C89" s="66">
        <v>2</v>
      </c>
    </row>
    <row r="90" spans="1:3" s="66" customFormat="1" ht="30.75" thickBot="1" x14ac:dyDescent="0.3">
      <c r="A90" s="354" t="s">
        <v>641</v>
      </c>
      <c r="B90" s="355">
        <v>11.13754078</v>
      </c>
      <c r="C90" s="66">
        <v>2</v>
      </c>
    </row>
    <row r="91" spans="1:3" s="66" customFormat="1" ht="16.5" thickBot="1" x14ac:dyDescent="0.3">
      <c r="A91" s="125" t="s">
        <v>402</v>
      </c>
      <c r="B91" s="161">
        <f t="shared" ref="B91" si="13">B90/$B$28</f>
        <v>4.0025737538256336E-3</v>
      </c>
    </row>
    <row r="92" spans="1:3" s="66" customFormat="1" ht="16.5" thickBot="1" x14ac:dyDescent="0.3">
      <c r="A92" s="125" t="s">
        <v>403</v>
      </c>
      <c r="B92" s="352">
        <v>3.3412622299999999</v>
      </c>
      <c r="C92" s="66">
        <v>1</v>
      </c>
    </row>
    <row r="93" spans="1:3" s="66" customFormat="1" ht="16.5" thickBot="1" x14ac:dyDescent="0.3">
      <c r="A93" s="125" t="s">
        <v>404</v>
      </c>
      <c r="B93" s="352">
        <v>0</v>
      </c>
      <c r="C93" s="66">
        <v>2</v>
      </c>
    </row>
    <row r="94" spans="1:3" s="66" customFormat="1" ht="30.75" thickBot="1" x14ac:dyDescent="0.3">
      <c r="A94" s="354" t="s">
        <v>645</v>
      </c>
      <c r="B94" s="355">
        <v>15.763896239999999</v>
      </c>
      <c r="C94" s="66">
        <v>2</v>
      </c>
    </row>
    <row r="95" spans="1:3" s="66" customFormat="1" ht="16.5" thickBot="1" x14ac:dyDescent="0.3">
      <c r="A95" s="125" t="s">
        <v>402</v>
      </c>
      <c r="B95" s="161">
        <f t="shared" ref="B95" si="14">B94/$B$28</f>
        <v>5.6651785699010108E-3</v>
      </c>
    </row>
    <row r="96" spans="1:3" s="66" customFormat="1" ht="16.5" thickBot="1" x14ac:dyDescent="0.3">
      <c r="A96" s="125" t="s">
        <v>403</v>
      </c>
      <c r="B96" s="352">
        <v>4.7291688700000005</v>
      </c>
      <c r="C96" s="66">
        <v>1</v>
      </c>
    </row>
    <row r="97" spans="1:3" s="66" customFormat="1" ht="16.5" thickBot="1" x14ac:dyDescent="0.3">
      <c r="A97" s="125" t="s">
        <v>404</v>
      </c>
      <c r="B97" s="352">
        <v>0</v>
      </c>
      <c r="C97" s="66">
        <v>2</v>
      </c>
    </row>
    <row r="98" spans="1:3" s="66" customFormat="1" ht="30.75" thickBot="1" x14ac:dyDescent="0.3">
      <c r="A98" s="354" t="s">
        <v>642</v>
      </c>
      <c r="B98" s="355">
        <v>32.191026379999997</v>
      </c>
      <c r="C98" s="66">
        <v>2</v>
      </c>
    </row>
    <row r="99" spans="1:3" s="66" customFormat="1" ht="16.5" thickBot="1" x14ac:dyDescent="0.3">
      <c r="A99" s="125" t="s">
        <v>402</v>
      </c>
      <c r="B99" s="161">
        <f t="shared" ref="B99" si="15">B98/$B$28</f>
        <v>1.1568708015747133E-2</v>
      </c>
    </row>
    <row r="100" spans="1:3" s="66" customFormat="1" ht="16.5" thickBot="1" x14ac:dyDescent="0.3">
      <c r="A100" s="125" t="s">
        <v>403</v>
      </c>
      <c r="B100" s="352">
        <v>8.3210379200000002</v>
      </c>
      <c r="C100" s="66">
        <v>1</v>
      </c>
    </row>
    <row r="101" spans="1:3" s="66" customFormat="1" ht="16.5" thickBot="1" x14ac:dyDescent="0.3">
      <c r="A101" s="125" t="s">
        <v>404</v>
      </c>
      <c r="B101" s="352">
        <v>0</v>
      </c>
      <c r="C101" s="66">
        <v>2</v>
      </c>
    </row>
    <row r="102" spans="1:3" s="66" customFormat="1" ht="30.75" thickBot="1" x14ac:dyDescent="0.3">
      <c r="A102" s="354" t="s">
        <v>643</v>
      </c>
      <c r="B102" s="355">
        <v>34.351952829999995</v>
      </c>
      <c r="C102" s="66">
        <v>2</v>
      </c>
    </row>
    <row r="103" spans="1:3" s="66" customFormat="1" ht="16.5" thickBot="1" x14ac:dyDescent="0.3">
      <c r="A103" s="125" t="s">
        <v>402</v>
      </c>
      <c r="B103" s="161">
        <f t="shared" ref="B103" si="16">B102/$B$28</f>
        <v>1.2345294846140546E-2</v>
      </c>
    </row>
    <row r="104" spans="1:3" s="66" customFormat="1" ht="16.5" thickBot="1" x14ac:dyDescent="0.3">
      <c r="A104" s="125" t="s">
        <v>403</v>
      </c>
      <c r="B104" s="352">
        <v>10.305585850000002</v>
      </c>
      <c r="C104" s="66">
        <v>1</v>
      </c>
    </row>
    <row r="105" spans="1:3" s="66" customFormat="1" ht="16.5" thickBot="1" x14ac:dyDescent="0.3">
      <c r="A105" s="125" t="s">
        <v>404</v>
      </c>
      <c r="B105" s="352">
        <v>0</v>
      </c>
      <c r="C105" s="66">
        <v>2</v>
      </c>
    </row>
    <row r="106" spans="1:3" s="353" customFormat="1" ht="16.5" thickBot="1" x14ac:dyDescent="0.3">
      <c r="A106" s="354" t="s">
        <v>646</v>
      </c>
      <c r="B106" s="355">
        <v>10.877025589999999</v>
      </c>
      <c r="C106" s="353">
        <v>10</v>
      </c>
    </row>
    <row r="107" spans="1:3" s="66" customFormat="1" ht="16.5" thickBot="1" x14ac:dyDescent="0.3">
      <c r="A107" s="125" t="s">
        <v>402</v>
      </c>
      <c r="B107" s="161">
        <f t="shared" ref="B107" si="17">B106/$B$28</f>
        <v>3.9089506387624444E-3</v>
      </c>
    </row>
    <row r="108" spans="1:3" s="66" customFormat="1" ht="16.5" thickBot="1" x14ac:dyDescent="0.3">
      <c r="A108" s="125" t="s">
        <v>403</v>
      </c>
      <c r="B108" s="352">
        <v>3.2631076299999999</v>
      </c>
      <c r="C108" s="66">
        <v>1</v>
      </c>
    </row>
    <row r="109" spans="1:3" s="66" customFormat="1" ht="16.5" thickBot="1" x14ac:dyDescent="0.3">
      <c r="A109" s="125" t="s">
        <v>404</v>
      </c>
      <c r="B109" s="352">
        <v>0</v>
      </c>
      <c r="C109" s="66">
        <v>2</v>
      </c>
    </row>
    <row r="110" spans="1:3" s="353" customFormat="1" ht="30.75" thickBot="1" x14ac:dyDescent="0.3">
      <c r="A110" s="354" t="s">
        <v>644</v>
      </c>
      <c r="B110" s="355">
        <v>21.91922945</v>
      </c>
      <c r="C110" s="353">
        <v>10</v>
      </c>
    </row>
    <row r="111" spans="1:3" s="66" customFormat="1" ht="16.5" thickBot="1" x14ac:dyDescent="0.3">
      <c r="A111" s="125" t="s">
        <v>402</v>
      </c>
      <c r="B111" s="161">
        <f t="shared" ref="B111" si="18">B110/$B$28</f>
        <v>7.877262515455577E-3</v>
      </c>
    </row>
    <row r="112" spans="1:3" s="66" customFormat="1" ht="16.5" thickBot="1" x14ac:dyDescent="0.3">
      <c r="A112" s="125" t="s">
        <v>403</v>
      </c>
      <c r="B112" s="352">
        <v>6.5757688300000003</v>
      </c>
      <c r="C112" s="66">
        <v>1</v>
      </c>
    </row>
    <row r="113" spans="1:3" s="66" customFormat="1" ht="16.5" thickBot="1" x14ac:dyDescent="0.3">
      <c r="A113" s="125" t="s">
        <v>404</v>
      </c>
      <c r="B113" s="352">
        <v>0</v>
      </c>
      <c r="C113" s="66">
        <v>2</v>
      </c>
    </row>
    <row r="114" spans="1:3" s="353" customFormat="1" ht="16.5" thickBot="1" x14ac:dyDescent="0.3">
      <c r="A114" s="159" t="s">
        <v>401</v>
      </c>
      <c r="B114" s="160"/>
      <c r="C114" s="353">
        <v>10</v>
      </c>
    </row>
    <row r="115" spans="1:3" s="66" customFormat="1" ht="16.5" thickBot="1" x14ac:dyDescent="0.3">
      <c r="A115" s="125" t="s">
        <v>402</v>
      </c>
      <c r="B115" s="161">
        <f t="shared" ref="B115" si="19">B114/$B$28</f>
        <v>0</v>
      </c>
    </row>
    <row r="116" spans="1:3" s="66" customFormat="1" ht="16.5" thickBot="1" x14ac:dyDescent="0.3">
      <c r="A116" s="125" t="s">
        <v>403</v>
      </c>
      <c r="B116" s="352"/>
      <c r="C116" s="66">
        <v>1</v>
      </c>
    </row>
    <row r="117" spans="1:3" s="66" customFormat="1" ht="16.5" thickBot="1" x14ac:dyDescent="0.3">
      <c r="A117" s="125" t="s">
        <v>404</v>
      </c>
      <c r="B117" s="352"/>
      <c r="C117" s="66">
        <v>2</v>
      </c>
    </row>
    <row r="118" spans="1:3" s="353" customFormat="1" ht="16.5" thickBot="1" x14ac:dyDescent="0.3">
      <c r="A118" s="159" t="s">
        <v>401</v>
      </c>
      <c r="B118" s="160"/>
      <c r="C118" s="353">
        <v>10</v>
      </c>
    </row>
    <row r="119" spans="1:3" s="66" customFormat="1" ht="16.5" thickBot="1" x14ac:dyDescent="0.3">
      <c r="A119" s="125" t="s">
        <v>402</v>
      </c>
      <c r="B119" s="161">
        <f t="shared" ref="B119" si="20">B118/$B$28</f>
        <v>0</v>
      </c>
    </row>
    <row r="120" spans="1:3" s="66" customFormat="1" ht="16.5" thickBot="1" x14ac:dyDescent="0.3">
      <c r="A120" s="125" t="s">
        <v>403</v>
      </c>
      <c r="B120" s="352"/>
      <c r="C120" s="66">
        <v>1</v>
      </c>
    </row>
    <row r="121" spans="1:3" s="66" customFormat="1" ht="16.5" thickBot="1" x14ac:dyDescent="0.3">
      <c r="A121" s="125" t="s">
        <v>404</v>
      </c>
      <c r="B121" s="352"/>
      <c r="C121" s="66">
        <v>2</v>
      </c>
    </row>
    <row r="122" spans="1:3" s="66" customFormat="1" ht="29.25" thickBot="1" x14ac:dyDescent="0.3">
      <c r="A122" s="131" t="s">
        <v>405</v>
      </c>
      <c r="B122" s="352">
        <f xml:space="preserve"> SUMIF(C123:C240,20,B123:B240)</f>
        <v>0</v>
      </c>
      <c r="C122" s="66">
        <v>2</v>
      </c>
    </row>
    <row r="123" spans="1:3" s="353" customFormat="1" ht="16.5" thickBot="1" x14ac:dyDescent="0.3">
      <c r="A123" s="159" t="s">
        <v>401</v>
      </c>
      <c r="B123" s="160"/>
      <c r="C123" s="353">
        <v>20</v>
      </c>
    </row>
    <row r="124" spans="1:3" s="66" customFormat="1" ht="16.5" thickBot="1" x14ac:dyDescent="0.3">
      <c r="A124" s="125" t="s">
        <v>402</v>
      </c>
      <c r="B124" s="161">
        <f>B123/$B$28</f>
        <v>0</v>
      </c>
    </row>
    <row r="125" spans="1:3" s="66" customFormat="1" ht="16.5" thickBot="1" x14ac:dyDescent="0.3">
      <c r="A125" s="125" t="s">
        <v>403</v>
      </c>
      <c r="B125" s="158"/>
      <c r="C125" s="66">
        <v>1</v>
      </c>
    </row>
    <row r="126" spans="1:3" s="66" customFormat="1" ht="16.5" thickBot="1" x14ac:dyDescent="0.3">
      <c r="A126" s="125" t="s">
        <v>404</v>
      </c>
      <c r="B126" s="158"/>
      <c r="C126" s="66">
        <v>2</v>
      </c>
    </row>
    <row r="127" spans="1:3" s="353" customFormat="1" ht="16.5" thickBot="1" x14ac:dyDescent="0.3">
      <c r="A127" s="159" t="s">
        <v>401</v>
      </c>
      <c r="B127" s="160"/>
      <c r="C127" s="353">
        <v>20</v>
      </c>
    </row>
    <row r="128" spans="1:3" s="66" customFormat="1" ht="16.5" thickBot="1" x14ac:dyDescent="0.3">
      <c r="A128" s="125" t="s">
        <v>402</v>
      </c>
      <c r="B128" s="161">
        <f>B127/$B$28</f>
        <v>0</v>
      </c>
    </row>
    <row r="129" spans="1:3" s="66" customFormat="1" ht="16.5" thickBot="1" x14ac:dyDescent="0.3">
      <c r="A129" s="125" t="s">
        <v>403</v>
      </c>
      <c r="B129" s="158"/>
      <c r="C129" s="66">
        <v>1</v>
      </c>
    </row>
    <row r="130" spans="1:3" s="66" customFormat="1" ht="16.5" thickBot="1" x14ac:dyDescent="0.3">
      <c r="A130" s="125" t="s">
        <v>404</v>
      </c>
      <c r="B130" s="158"/>
      <c r="C130" s="66">
        <v>2</v>
      </c>
    </row>
    <row r="131" spans="1:3" s="353" customFormat="1" ht="16.5" thickBot="1" x14ac:dyDescent="0.3">
      <c r="A131" s="159" t="s">
        <v>401</v>
      </c>
      <c r="B131" s="160"/>
      <c r="C131" s="353">
        <v>20</v>
      </c>
    </row>
    <row r="132" spans="1:3" s="66" customFormat="1" ht="16.5" thickBot="1" x14ac:dyDescent="0.3">
      <c r="A132" s="125" t="s">
        <v>402</v>
      </c>
      <c r="B132" s="161">
        <f>B131/$B$28</f>
        <v>0</v>
      </c>
    </row>
    <row r="133" spans="1:3" s="66" customFormat="1" ht="16.5" thickBot="1" x14ac:dyDescent="0.3">
      <c r="A133" s="125" t="s">
        <v>403</v>
      </c>
      <c r="B133" s="158"/>
      <c r="C133" s="66">
        <v>1</v>
      </c>
    </row>
    <row r="134" spans="1:3" s="66" customFormat="1" ht="16.5" thickBot="1" x14ac:dyDescent="0.3">
      <c r="A134" s="125" t="s">
        <v>404</v>
      </c>
      <c r="B134" s="158"/>
      <c r="C134" s="66">
        <v>2</v>
      </c>
    </row>
    <row r="135" spans="1:3" s="353" customFormat="1" ht="16.5" thickBot="1" x14ac:dyDescent="0.3">
      <c r="A135" s="159" t="s">
        <v>401</v>
      </c>
      <c r="B135" s="160"/>
      <c r="C135" s="353">
        <v>20</v>
      </c>
    </row>
    <row r="136" spans="1:3" s="66" customFormat="1" ht="16.5" thickBot="1" x14ac:dyDescent="0.3">
      <c r="A136" s="125" t="s">
        <v>402</v>
      </c>
      <c r="B136" s="161">
        <f>B135/$B$28</f>
        <v>0</v>
      </c>
    </row>
    <row r="137" spans="1:3" s="66" customFormat="1" ht="16.5" thickBot="1" x14ac:dyDescent="0.3">
      <c r="A137" s="125" t="s">
        <v>403</v>
      </c>
      <c r="B137" s="158"/>
      <c r="C137" s="66">
        <v>1</v>
      </c>
    </row>
    <row r="138" spans="1:3" s="66" customFormat="1" ht="16.5" thickBot="1" x14ac:dyDescent="0.3">
      <c r="A138" s="125" t="s">
        <v>404</v>
      </c>
      <c r="B138" s="158"/>
      <c r="C138" s="66">
        <v>2</v>
      </c>
    </row>
    <row r="139" spans="1:3" s="66" customFormat="1" ht="29.25" thickBot="1" x14ac:dyDescent="0.3">
      <c r="A139" s="131" t="s">
        <v>406</v>
      </c>
      <c r="B139" s="352">
        <f xml:space="preserve"> SUMIF(C140:C257,30,B140:B257)</f>
        <v>0</v>
      </c>
      <c r="C139" s="66">
        <v>2</v>
      </c>
    </row>
    <row r="140" spans="1:3" s="353" customFormat="1" ht="16.5" thickBot="1" x14ac:dyDescent="0.3">
      <c r="A140" s="159" t="s">
        <v>401</v>
      </c>
      <c r="B140" s="160"/>
      <c r="C140" s="353">
        <v>30</v>
      </c>
    </row>
    <row r="141" spans="1:3" s="66" customFormat="1" ht="16.5" thickBot="1" x14ac:dyDescent="0.3">
      <c r="A141" s="125" t="s">
        <v>402</v>
      </c>
      <c r="B141" s="161">
        <f t="shared" ref="B141" si="21">B140/$B$28</f>
        <v>0</v>
      </c>
    </row>
    <row r="142" spans="1:3" s="66" customFormat="1" ht="16.5" thickBot="1" x14ac:dyDescent="0.3">
      <c r="A142" s="125" t="s">
        <v>403</v>
      </c>
      <c r="B142" s="158"/>
      <c r="C142" s="66">
        <v>1</v>
      </c>
    </row>
    <row r="143" spans="1:3" s="66" customFormat="1" ht="16.5" thickBot="1" x14ac:dyDescent="0.3">
      <c r="A143" s="125" t="s">
        <v>404</v>
      </c>
      <c r="B143" s="158"/>
      <c r="C143" s="66">
        <v>2</v>
      </c>
    </row>
    <row r="144" spans="1:3" s="353" customFormat="1" ht="16.5" thickBot="1" x14ac:dyDescent="0.3">
      <c r="A144" s="159" t="s">
        <v>401</v>
      </c>
      <c r="B144" s="160"/>
      <c r="C144" s="353">
        <v>30</v>
      </c>
    </row>
    <row r="145" spans="1:3" s="66" customFormat="1" ht="16.5" thickBot="1" x14ac:dyDescent="0.3">
      <c r="A145" s="125" t="s">
        <v>402</v>
      </c>
      <c r="B145" s="161">
        <f t="shared" ref="B145" si="22">B144/$B$28</f>
        <v>0</v>
      </c>
    </row>
    <row r="146" spans="1:3" s="66" customFormat="1" ht="16.5" thickBot="1" x14ac:dyDescent="0.3">
      <c r="A146" s="125" t="s">
        <v>403</v>
      </c>
      <c r="B146" s="158"/>
      <c r="C146" s="66">
        <v>1</v>
      </c>
    </row>
    <row r="147" spans="1:3" s="66" customFormat="1" ht="16.5" thickBot="1" x14ac:dyDescent="0.3">
      <c r="A147" s="125" t="s">
        <v>404</v>
      </c>
      <c r="B147" s="158"/>
      <c r="C147" s="66">
        <v>2</v>
      </c>
    </row>
    <row r="148" spans="1:3" s="353" customFormat="1" ht="16.5" thickBot="1" x14ac:dyDescent="0.3">
      <c r="A148" s="159" t="s">
        <v>401</v>
      </c>
      <c r="B148" s="160"/>
      <c r="C148" s="353">
        <v>30</v>
      </c>
    </row>
    <row r="149" spans="1:3" s="66" customFormat="1" ht="16.5" thickBot="1" x14ac:dyDescent="0.3">
      <c r="A149" s="125" t="s">
        <v>402</v>
      </c>
      <c r="B149" s="161">
        <f t="shared" ref="B149" si="23">B148/$B$28</f>
        <v>0</v>
      </c>
    </row>
    <row r="150" spans="1:3" s="66" customFormat="1" ht="16.5" thickBot="1" x14ac:dyDescent="0.3">
      <c r="A150" s="125" t="s">
        <v>403</v>
      </c>
      <c r="B150" s="158"/>
      <c r="C150" s="66">
        <v>1</v>
      </c>
    </row>
    <row r="151" spans="1:3" s="66" customFormat="1" ht="16.5" thickBot="1" x14ac:dyDescent="0.3">
      <c r="A151" s="125" t="s">
        <v>404</v>
      </c>
      <c r="B151" s="158"/>
      <c r="C151" s="66">
        <v>2</v>
      </c>
    </row>
    <row r="152" spans="1:3" s="353" customFormat="1" ht="16.5" thickBot="1" x14ac:dyDescent="0.3">
      <c r="A152" s="159" t="s">
        <v>401</v>
      </c>
      <c r="B152" s="160"/>
      <c r="C152" s="353">
        <v>30</v>
      </c>
    </row>
    <row r="153" spans="1:3" s="66" customFormat="1" ht="16.5" thickBot="1" x14ac:dyDescent="0.3">
      <c r="A153" s="125" t="s">
        <v>402</v>
      </c>
      <c r="B153" s="161">
        <f t="shared" ref="B153" si="24">B152/$B$28</f>
        <v>0</v>
      </c>
    </row>
    <row r="154" spans="1:3" s="66" customFormat="1" ht="16.5" thickBot="1" x14ac:dyDescent="0.3">
      <c r="A154" s="125" t="s">
        <v>403</v>
      </c>
      <c r="B154" s="158"/>
      <c r="C154" s="66">
        <v>1</v>
      </c>
    </row>
    <row r="155" spans="1:3" s="66" customFormat="1" ht="16.5" thickBot="1" x14ac:dyDescent="0.3">
      <c r="A155" s="125" t="s">
        <v>404</v>
      </c>
      <c r="B155" s="158"/>
      <c r="C155" s="66">
        <v>2</v>
      </c>
    </row>
    <row r="156" spans="1:3" s="353" customFormat="1" ht="16.5" thickBot="1" x14ac:dyDescent="0.3">
      <c r="A156" s="159" t="s">
        <v>401</v>
      </c>
      <c r="B156" s="160"/>
      <c r="C156" s="353">
        <v>30</v>
      </c>
    </row>
    <row r="157" spans="1:3" s="66" customFormat="1" ht="16.5" thickBot="1" x14ac:dyDescent="0.3">
      <c r="A157" s="125" t="s">
        <v>402</v>
      </c>
      <c r="B157" s="161">
        <f t="shared" ref="B157:B161" si="25">B156/$B$28</f>
        <v>0</v>
      </c>
    </row>
    <row r="158" spans="1:3" s="66" customFormat="1" ht="16.5" thickBot="1" x14ac:dyDescent="0.3">
      <c r="A158" s="125" t="s">
        <v>403</v>
      </c>
      <c r="B158" s="158"/>
      <c r="C158" s="66">
        <v>1</v>
      </c>
    </row>
    <row r="159" spans="1:3" s="66" customFormat="1" ht="16.5" thickBot="1" x14ac:dyDescent="0.3">
      <c r="A159" s="125" t="s">
        <v>404</v>
      </c>
      <c r="B159" s="158"/>
      <c r="C159" s="66">
        <v>2</v>
      </c>
    </row>
    <row r="160" spans="1:3" s="353" customFormat="1" ht="16.5" thickBot="1" x14ac:dyDescent="0.3">
      <c r="A160" s="159" t="s">
        <v>401</v>
      </c>
      <c r="B160" s="160"/>
      <c r="C160" s="353">
        <v>30</v>
      </c>
    </row>
    <row r="161" spans="1:3" s="66" customFormat="1" ht="16.5" thickBot="1" x14ac:dyDescent="0.3">
      <c r="A161" s="125" t="s">
        <v>402</v>
      </c>
      <c r="B161" s="161">
        <f t="shared" si="25"/>
        <v>0</v>
      </c>
    </row>
    <row r="162" spans="1:3" s="66" customFormat="1" ht="16.5" thickBot="1" x14ac:dyDescent="0.3">
      <c r="A162" s="125" t="s">
        <v>403</v>
      </c>
      <c r="B162" s="158"/>
      <c r="C162" s="66">
        <v>1</v>
      </c>
    </row>
    <row r="163" spans="1:3" s="66" customFormat="1" ht="16.5" thickBot="1" x14ac:dyDescent="0.3">
      <c r="A163" s="125" t="s">
        <v>404</v>
      </c>
      <c r="B163" s="158"/>
      <c r="C163" s="66">
        <v>2</v>
      </c>
    </row>
    <row r="164" spans="1:3" s="66" customFormat="1" ht="29.25" thickBot="1" x14ac:dyDescent="0.3">
      <c r="A164" s="124" t="s">
        <v>407</v>
      </c>
      <c r="B164" s="132"/>
    </row>
    <row r="165" spans="1:3" s="66" customFormat="1" ht="16.5" thickBot="1" x14ac:dyDescent="0.3">
      <c r="A165" s="126" t="s">
        <v>399</v>
      </c>
      <c r="B165" s="132"/>
    </row>
    <row r="166" spans="1:3" s="66" customFormat="1" ht="16.5" thickBot="1" x14ac:dyDescent="0.3">
      <c r="A166" s="126" t="s">
        <v>408</v>
      </c>
      <c r="B166" s="132"/>
    </row>
    <row r="167" spans="1:3" s="66" customFormat="1" ht="16.5" thickBot="1" x14ac:dyDescent="0.3">
      <c r="A167" s="126" t="s">
        <v>409</v>
      </c>
      <c r="B167" s="132"/>
    </row>
    <row r="168" spans="1:3" s="66" customFormat="1" ht="16.5" thickBot="1" x14ac:dyDescent="0.3">
      <c r="A168" s="126" t="s">
        <v>410</v>
      </c>
      <c r="B168" s="132"/>
    </row>
    <row r="169" spans="1:3" s="66" customFormat="1" ht="16.5" thickBot="1" x14ac:dyDescent="0.3">
      <c r="A169" s="121" t="s">
        <v>411</v>
      </c>
      <c r="B169" s="162">
        <f>B170/$B$28</f>
        <v>4.8193351293397017E-2</v>
      </c>
    </row>
    <row r="170" spans="1:3" s="66" customFormat="1" ht="16.5" thickBot="1" x14ac:dyDescent="0.3">
      <c r="A170" s="121" t="s">
        <v>412</v>
      </c>
      <c r="B170" s="356">
        <f xml:space="preserve"> SUMIF(C34:C163,1,B34:B163)</f>
        <v>134.10256708999998</v>
      </c>
    </row>
    <row r="171" spans="1:3" s="66" customFormat="1" ht="16.5" thickBot="1" x14ac:dyDescent="0.3">
      <c r="A171" s="121" t="s">
        <v>413</v>
      </c>
      <c r="B171" s="162">
        <f>B172/$B$28</f>
        <v>3.3581755185614327E-2</v>
      </c>
    </row>
    <row r="172" spans="1:3" s="66" customFormat="1" ht="16.5" thickBot="1" x14ac:dyDescent="0.3">
      <c r="A172" s="122" t="s">
        <v>414</v>
      </c>
      <c r="B172" s="356">
        <f xml:space="preserve"> SUMIF(C34:C163,2,B34:B163)</f>
        <v>93.444416230000002</v>
      </c>
    </row>
    <row r="173" spans="1:3" s="66" customFormat="1" x14ac:dyDescent="0.25">
      <c r="A173" s="124" t="s">
        <v>415</v>
      </c>
      <c r="B173" s="126"/>
    </row>
    <row r="174" spans="1:3" s="66" customFormat="1" x14ac:dyDescent="0.25">
      <c r="A174" s="128" t="s">
        <v>416</v>
      </c>
      <c r="B174" s="128" t="s">
        <v>541</v>
      </c>
    </row>
    <row r="175" spans="1:3" s="66" customFormat="1" x14ac:dyDescent="0.25">
      <c r="A175" s="128" t="s">
        <v>417</v>
      </c>
      <c r="B175" s="128"/>
    </row>
    <row r="176" spans="1:3" s="66" customFormat="1" x14ac:dyDescent="0.25">
      <c r="A176" s="128" t="s">
        <v>418</v>
      </c>
      <c r="B176" s="128"/>
    </row>
    <row r="177" spans="1:2" s="66" customFormat="1" x14ac:dyDescent="0.25">
      <c r="A177" s="128" t="s">
        <v>419</v>
      </c>
      <c r="B177" s="128"/>
    </row>
    <row r="178" spans="1:2" s="66" customFormat="1" ht="16.5" thickBot="1" x14ac:dyDescent="0.3">
      <c r="A178" s="129" t="s">
        <v>420</v>
      </c>
      <c r="B178" s="129"/>
    </row>
    <row r="179" spans="1:2" s="66" customFormat="1" ht="30.75" thickBot="1" x14ac:dyDescent="0.3">
      <c r="A179" s="126" t="s">
        <v>421</v>
      </c>
      <c r="B179" s="127"/>
    </row>
    <row r="180" spans="1:2" s="66" customFormat="1" ht="29.25" thickBot="1" x14ac:dyDescent="0.3">
      <c r="A180" s="121" t="s">
        <v>422</v>
      </c>
      <c r="B180" s="127"/>
    </row>
    <row r="181" spans="1:2" s="66" customFormat="1" ht="16.5" thickBot="1" x14ac:dyDescent="0.3">
      <c r="A181" s="126" t="s">
        <v>399</v>
      </c>
      <c r="B181" s="134"/>
    </row>
    <row r="182" spans="1:2" s="66" customFormat="1" ht="16.5" thickBot="1" x14ac:dyDescent="0.3">
      <c r="A182" s="126" t="s">
        <v>423</v>
      </c>
      <c r="B182" s="127"/>
    </row>
    <row r="183" spans="1:2" s="66" customFormat="1" ht="16.5" thickBot="1" x14ac:dyDescent="0.3">
      <c r="A183" s="126" t="s">
        <v>424</v>
      </c>
      <c r="B183" s="134"/>
    </row>
    <row r="184" spans="1:2" s="66" customFormat="1" ht="30.75" thickBot="1" x14ac:dyDescent="0.3">
      <c r="A184" s="135" t="s">
        <v>425</v>
      </c>
      <c r="B184" s="351" t="s">
        <v>426</v>
      </c>
    </row>
    <row r="185" spans="1:2" s="66" customFormat="1" ht="16.5" thickBot="1" x14ac:dyDescent="0.3">
      <c r="A185" s="121" t="s">
        <v>427</v>
      </c>
      <c r="B185" s="133"/>
    </row>
    <row r="186" spans="1:2" s="66" customFormat="1" ht="16.5" thickBot="1" x14ac:dyDescent="0.3">
      <c r="A186" s="128" t="s">
        <v>428</v>
      </c>
      <c r="B186" s="136"/>
    </row>
    <row r="187" spans="1:2" s="66" customFormat="1" ht="16.5" thickBot="1" x14ac:dyDescent="0.3">
      <c r="A187" s="128" t="s">
        <v>429</v>
      </c>
      <c r="B187" s="136"/>
    </row>
    <row r="188" spans="1:2" s="66" customFormat="1" ht="16.5" thickBot="1" x14ac:dyDescent="0.3">
      <c r="A188" s="128" t="s">
        <v>430</v>
      </c>
      <c r="B188" s="136"/>
    </row>
    <row r="189" spans="1:2" s="66" customFormat="1" ht="45.75" thickBot="1" x14ac:dyDescent="0.3">
      <c r="A189" s="137" t="s">
        <v>431</v>
      </c>
      <c r="B189" s="134" t="s">
        <v>626</v>
      </c>
    </row>
    <row r="190" spans="1:2" s="66" customFormat="1" ht="28.5" x14ac:dyDescent="0.25">
      <c r="A190" s="124" t="s">
        <v>432</v>
      </c>
      <c r="B190" s="554" t="s">
        <v>433</v>
      </c>
    </row>
    <row r="191" spans="1:2" s="66" customFormat="1" x14ac:dyDescent="0.25">
      <c r="A191" s="128" t="s">
        <v>434</v>
      </c>
      <c r="B191" s="555"/>
    </row>
    <row r="192" spans="1:2" s="66" customFormat="1" x14ac:dyDescent="0.25">
      <c r="A192" s="128" t="s">
        <v>435</v>
      </c>
      <c r="B192" s="555"/>
    </row>
    <row r="193" spans="1:2" s="66" customFormat="1" x14ac:dyDescent="0.25">
      <c r="A193" s="128" t="s">
        <v>436</v>
      </c>
      <c r="B193" s="555"/>
    </row>
    <row r="194" spans="1:2" s="66" customFormat="1" x14ac:dyDescent="0.25">
      <c r="A194" s="128" t="s">
        <v>437</v>
      </c>
      <c r="B194" s="555"/>
    </row>
    <row r="195" spans="1:2" s="66" customFormat="1" ht="16.5" thickBot="1" x14ac:dyDescent="0.3">
      <c r="A195" s="138" t="s">
        <v>438</v>
      </c>
      <c r="B195" s="556"/>
    </row>
  </sheetData>
  <mergeCells count="11">
    <mergeCell ref="B190:B195"/>
    <mergeCell ref="E1:E22"/>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B21" sqref="B2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26" t="str">
        <f>'1. паспорт местоположение'!A5:C5</f>
        <v>Год раскрытия информации: 2018 год</v>
      </c>
      <c r="B4" s="426"/>
      <c r="C4" s="426"/>
      <c r="D4" s="426"/>
      <c r="E4" s="426"/>
      <c r="F4" s="426"/>
      <c r="G4" s="426"/>
      <c r="H4" s="426"/>
      <c r="I4" s="426"/>
      <c r="J4" s="426"/>
      <c r="K4" s="426"/>
      <c r="L4" s="426"/>
      <c r="M4" s="426"/>
      <c r="N4" s="426"/>
      <c r="O4" s="426"/>
      <c r="P4" s="426"/>
      <c r="Q4" s="426"/>
      <c r="R4" s="426"/>
      <c r="S4" s="426"/>
    </row>
    <row r="5" spans="1:28" s="12" customFormat="1" ht="15.75" x14ac:dyDescent="0.2">
      <c r="A5" s="332"/>
      <c r="B5" s="18"/>
      <c r="C5" s="18"/>
      <c r="D5" s="18"/>
      <c r="E5" s="18"/>
      <c r="F5" s="18"/>
      <c r="G5" s="18"/>
      <c r="H5" s="18"/>
      <c r="I5" s="18"/>
      <c r="J5" s="18"/>
      <c r="K5" s="18"/>
      <c r="L5" s="18"/>
      <c r="M5" s="18"/>
      <c r="N5" s="18"/>
      <c r="O5" s="18"/>
      <c r="P5" s="18"/>
      <c r="Q5" s="18"/>
      <c r="R5" s="18"/>
      <c r="S5" s="18"/>
    </row>
    <row r="6" spans="1:28" s="12" customFormat="1" ht="18.75" x14ac:dyDescent="0.2">
      <c r="A6" s="434" t="s">
        <v>9</v>
      </c>
      <c r="B6" s="434"/>
      <c r="C6" s="434"/>
      <c r="D6" s="434"/>
      <c r="E6" s="434"/>
      <c r="F6" s="434"/>
      <c r="G6" s="434"/>
      <c r="H6" s="434"/>
      <c r="I6" s="434"/>
      <c r="J6" s="434"/>
      <c r="K6" s="434"/>
      <c r="L6" s="434"/>
      <c r="M6" s="434"/>
      <c r="N6" s="434"/>
      <c r="O6" s="434"/>
      <c r="P6" s="434"/>
      <c r="Q6" s="434"/>
      <c r="R6" s="434"/>
      <c r="S6" s="434"/>
      <c r="T6" s="13"/>
      <c r="U6" s="13"/>
      <c r="V6" s="13"/>
      <c r="W6" s="13"/>
      <c r="X6" s="13"/>
      <c r="Y6" s="13"/>
      <c r="Z6" s="13"/>
      <c r="AA6" s="13"/>
      <c r="AB6" s="13"/>
    </row>
    <row r="7" spans="1:28" s="12" customFormat="1" ht="18.75" x14ac:dyDescent="0.2">
      <c r="A7" s="434"/>
      <c r="B7" s="434"/>
      <c r="C7" s="434"/>
      <c r="D7" s="434"/>
      <c r="E7" s="434"/>
      <c r="F7" s="434"/>
      <c r="G7" s="434"/>
      <c r="H7" s="434"/>
      <c r="I7" s="434"/>
      <c r="J7" s="434"/>
      <c r="K7" s="434"/>
      <c r="L7" s="434"/>
      <c r="M7" s="434"/>
      <c r="N7" s="434"/>
      <c r="O7" s="434"/>
      <c r="P7" s="434"/>
      <c r="Q7" s="434"/>
      <c r="R7" s="434"/>
      <c r="S7" s="434"/>
      <c r="T7" s="13"/>
      <c r="U7" s="13"/>
      <c r="V7" s="13"/>
      <c r="W7" s="13"/>
      <c r="X7" s="13"/>
      <c r="Y7" s="13"/>
      <c r="Z7" s="13"/>
      <c r="AA7" s="13"/>
      <c r="AB7" s="13"/>
    </row>
    <row r="8" spans="1:28" s="12" customFormat="1" ht="18.75" x14ac:dyDescent="0.2">
      <c r="A8" s="435" t="str">
        <f>'1. паспорт местоположение'!A9:C9</f>
        <v>АО "Янтарьэнерго"</v>
      </c>
      <c r="B8" s="435"/>
      <c r="C8" s="435"/>
      <c r="D8" s="435"/>
      <c r="E8" s="435"/>
      <c r="F8" s="435"/>
      <c r="G8" s="435"/>
      <c r="H8" s="435"/>
      <c r="I8" s="435"/>
      <c r="J8" s="435"/>
      <c r="K8" s="435"/>
      <c r="L8" s="435"/>
      <c r="M8" s="435"/>
      <c r="N8" s="435"/>
      <c r="O8" s="435"/>
      <c r="P8" s="435"/>
      <c r="Q8" s="435"/>
      <c r="R8" s="435"/>
      <c r="S8" s="435"/>
      <c r="T8" s="13"/>
      <c r="U8" s="13"/>
      <c r="V8" s="13"/>
      <c r="W8" s="13"/>
      <c r="X8" s="13"/>
      <c r="Y8" s="13"/>
      <c r="Z8" s="13"/>
      <c r="AA8" s="13"/>
      <c r="AB8" s="13"/>
    </row>
    <row r="9" spans="1:28" s="12" customFormat="1" ht="18.75" x14ac:dyDescent="0.2">
      <c r="A9" s="439" t="s">
        <v>8</v>
      </c>
      <c r="B9" s="439"/>
      <c r="C9" s="439"/>
      <c r="D9" s="439"/>
      <c r="E9" s="439"/>
      <c r="F9" s="439"/>
      <c r="G9" s="439"/>
      <c r="H9" s="439"/>
      <c r="I9" s="439"/>
      <c r="J9" s="439"/>
      <c r="K9" s="439"/>
      <c r="L9" s="439"/>
      <c r="M9" s="439"/>
      <c r="N9" s="439"/>
      <c r="O9" s="439"/>
      <c r="P9" s="439"/>
      <c r="Q9" s="439"/>
      <c r="R9" s="439"/>
      <c r="S9" s="439"/>
      <c r="T9" s="13"/>
      <c r="U9" s="13"/>
      <c r="V9" s="13"/>
      <c r="W9" s="13"/>
      <c r="X9" s="13"/>
      <c r="Y9" s="13"/>
      <c r="Z9" s="13"/>
      <c r="AA9" s="13"/>
      <c r="AB9" s="13"/>
    </row>
    <row r="10" spans="1:28" s="12" customFormat="1" ht="18.75" x14ac:dyDescent="0.2">
      <c r="A10" s="434"/>
      <c r="B10" s="434"/>
      <c r="C10" s="434"/>
      <c r="D10" s="434"/>
      <c r="E10" s="434"/>
      <c r="F10" s="434"/>
      <c r="G10" s="434"/>
      <c r="H10" s="434"/>
      <c r="I10" s="434"/>
      <c r="J10" s="434"/>
      <c r="K10" s="434"/>
      <c r="L10" s="434"/>
      <c r="M10" s="434"/>
      <c r="N10" s="434"/>
      <c r="O10" s="434"/>
      <c r="P10" s="434"/>
      <c r="Q10" s="434"/>
      <c r="R10" s="434"/>
      <c r="S10" s="434"/>
      <c r="T10" s="13"/>
      <c r="U10" s="13"/>
      <c r="V10" s="13"/>
      <c r="W10" s="13"/>
      <c r="X10" s="13"/>
      <c r="Y10" s="13"/>
      <c r="Z10" s="13"/>
      <c r="AA10" s="13"/>
      <c r="AB10" s="13"/>
    </row>
    <row r="11" spans="1:28" s="12" customFormat="1" ht="18.75" x14ac:dyDescent="0.2">
      <c r="A11" s="435" t="str">
        <f>'1. паспорт местоположение'!A12:C12</f>
        <v>Г</v>
      </c>
      <c r="B11" s="435"/>
      <c r="C11" s="435"/>
      <c r="D11" s="435"/>
      <c r="E11" s="435"/>
      <c r="F11" s="435"/>
      <c r="G11" s="435"/>
      <c r="H11" s="435"/>
      <c r="I11" s="435"/>
      <c r="J11" s="435"/>
      <c r="K11" s="435"/>
      <c r="L11" s="435"/>
      <c r="M11" s="435"/>
      <c r="N11" s="435"/>
      <c r="O11" s="435"/>
      <c r="P11" s="435"/>
      <c r="Q11" s="435"/>
      <c r="R11" s="435"/>
      <c r="S11" s="435"/>
      <c r="T11" s="13"/>
      <c r="U11" s="13"/>
      <c r="V11" s="13"/>
      <c r="W11" s="13"/>
      <c r="X11" s="13"/>
      <c r="Y11" s="13"/>
      <c r="Z11" s="13"/>
      <c r="AA11" s="13"/>
      <c r="AB11" s="13"/>
    </row>
    <row r="12" spans="1:28" s="12" customFormat="1" ht="18.75" x14ac:dyDescent="0.2">
      <c r="A12" s="439" t="s">
        <v>7</v>
      </c>
      <c r="B12" s="439"/>
      <c r="C12" s="439"/>
      <c r="D12" s="439"/>
      <c r="E12" s="439"/>
      <c r="F12" s="439"/>
      <c r="G12" s="439"/>
      <c r="H12" s="439"/>
      <c r="I12" s="439"/>
      <c r="J12" s="439"/>
      <c r="K12" s="439"/>
      <c r="L12" s="439"/>
      <c r="M12" s="439"/>
      <c r="N12" s="439"/>
      <c r="O12" s="439"/>
      <c r="P12" s="439"/>
      <c r="Q12" s="439"/>
      <c r="R12" s="439"/>
      <c r="S12" s="439"/>
      <c r="T12" s="13"/>
      <c r="U12" s="13"/>
      <c r="V12" s="13"/>
      <c r="W12" s="13"/>
      <c r="X12" s="13"/>
      <c r="Y12" s="13"/>
      <c r="Z12" s="13"/>
      <c r="AA12" s="13"/>
      <c r="AB12" s="13"/>
    </row>
    <row r="13" spans="1:28" s="9"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10"/>
      <c r="U13" s="10"/>
      <c r="V13" s="10"/>
      <c r="W13" s="10"/>
      <c r="X13" s="10"/>
      <c r="Y13" s="10"/>
      <c r="Z13" s="10"/>
      <c r="AA13" s="10"/>
      <c r="AB13" s="10"/>
    </row>
    <row r="14" spans="1:28" s="3" customFormat="1" ht="15.75" x14ac:dyDescent="0.2">
      <c r="A14"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435"/>
      <c r="C14" s="435"/>
      <c r="D14" s="435"/>
      <c r="E14" s="435"/>
      <c r="F14" s="435"/>
      <c r="G14" s="435"/>
      <c r="H14" s="435"/>
      <c r="I14" s="435"/>
      <c r="J14" s="435"/>
      <c r="K14" s="435"/>
      <c r="L14" s="435"/>
      <c r="M14" s="435"/>
      <c r="N14" s="435"/>
      <c r="O14" s="435"/>
      <c r="P14" s="435"/>
      <c r="Q14" s="435"/>
      <c r="R14" s="435"/>
      <c r="S14" s="435"/>
      <c r="T14" s="8"/>
      <c r="U14" s="8"/>
      <c r="V14" s="8"/>
      <c r="W14" s="8"/>
      <c r="X14" s="8"/>
      <c r="Y14" s="8"/>
      <c r="Z14" s="8"/>
      <c r="AA14" s="8"/>
      <c r="AB14" s="8"/>
    </row>
    <row r="15" spans="1:28" s="3" customFormat="1" ht="15" customHeight="1" x14ac:dyDescent="0.2">
      <c r="A15" s="427" t="s">
        <v>6</v>
      </c>
      <c r="B15" s="427"/>
      <c r="C15" s="427"/>
      <c r="D15" s="427"/>
      <c r="E15" s="427"/>
      <c r="F15" s="427"/>
      <c r="G15" s="427"/>
      <c r="H15" s="427"/>
      <c r="I15" s="427"/>
      <c r="J15" s="427"/>
      <c r="K15" s="427"/>
      <c r="L15" s="427"/>
      <c r="M15" s="427"/>
      <c r="N15" s="427"/>
      <c r="O15" s="427"/>
      <c r="P15" s="427"/>
      <c r="Q15" s="427"/>
      <c r="R15" s="427"/>
      <c r="S15" s="427"/>
      <c r="T15" s="6"/>
      <c r="U15" s="6"/>
      <c r="V15" s="6"/>
      <c r="W15" s="6"/>
      <c r="X15" s="6"/>
      <c r="Y15" s="6"/>
      <c r="Z15" s="6"/>
      <c r="AA15" s="6"/>
      <c r="AB15" s="6"/>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28" t="s">
        <v>497</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3" t="s">
        <v>5</v>
      </c>
      <c r="B19" s="433" t="s">
        <v>107</v>
      </c>
      <c r="C19" s="436" t="s">
        <v>390</v>
      </c>
      <c r="D19" s="433" t="s">
        <v>389</v>
      </c>
      <c r="E19" s="433" t="s">
        <v>106</v>
      </c>
      <c r="F19" s="433" t="s">
        <v>105</v>
      </c>
      <c r="G19" s="433" t="s">
        <v>385</v>
      </c>
      <c r="H19" s="433" t="s">
        <v>104</v>
      </c>
      <c r="I19" s="433" t="s">
        <v>103</v>
      </c>
      <c r="J19" s="433" t="s">
        <v>102</v>
      </c>
      <c r="K19" s="433" t="s">
        <v>101</v>
      </c>
      <c r="L19" s="433" t="s">
        <v>100</v>
      </c>
      <c r="M19" s="433" t="s">
        <v>99</v>
      </c>
      <c r="N19" s="433" t="s">
        <v>98</v>
      </c>
      <c r="O19" s="433" t="s">
        <v>97</v>
      </c>
      <c r="P19" s="433" t="s">
        <v>96</v>
      </c>
      <c r="Q19" s="433" t="s">
        <v>388</v>
      </c>
      <c r="R19" s="433"/>
      <c r="S19" s="438" t="s">
        <v>489</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42" t="s">
        <v>386</v>
      </c>
      <c r="R20" s="43" t="s">
        <v>387</v>
      </c>
      <c r="S20" s="438"/>
      <c r="T20" s="32"/>
      <c r="U20" s="32"/>
      <c r="V20" s="32"/>
      <c r="W20" s="32"/>
      <c r="X20" s="32"/>
      <c r="Y20" s="32"/>
      <c r="Z20" s="31"/>
      <c r="AA20" s="31"/>
      <c r="AB20" s="31"/>
    </row>
    <row r="21" spans="1:28" s="3" customFormat="1" ht="18.75" x14ac:dyDescent="0.2">
      <c r="A21" s="42">
        <v>1</v>
      </c>
      <c r="B21" s="47">
        <v>2</v>
      </c>
      <c r="C21" s="42">
        <v>3</v>
      </c>
      <c r="D21" s="47">
        <v>4</v>
      </c>
      <c r="E21" s="42">
        <v>5</v>
      </c>
      <c r="F21" s="47">
        <v>6</v>
      </c>
      <c r="G21" s="143">
        <v>7</v>
      </c>
      <c r="H21" s="144">
        <v>8</v>
      </c>
      <c r="I21" s="143">
        <v>9</v>
      </c>
      <c r="J21" s="144">
        <v>10</v>
      </c>
      <c r="K21" s="143">
        <v>11</v>
      </c>
      <c r="L21" s="144">
        <v>12</v>
      </c>
      <c r="M21" s="143">
        <v>13</v>
      </c>
      <c r="N21" s="144">
        <v>14</v>
      </c>
      <c r="O21" s="143">
        <v>15</v>
      </c>
      <c r="P21" s="144">
        <v>16</v>
      </c>
      <c r="Q21" s="143">
        <v>17</v>
      </c>
      <c r="R21" s="144">
        <v>18</v>
      </c>
      <c r="S21" s="143">
        <v>19</v>
      </c>
      <c r="T21" s="32"/>
      <c r="U21" s="32"/>
      <c r="V21" s="32"/>
      <c r="W21" s="32"/>
      <c r="X21" s="32"/>
      <c r="Y21" s="32"/>
      <c r="Z21" s="31"/>
      <c r="AA21" s="31"/>
      <c r="AB21" s="31"/>
    </row>
    <row r="22" spans="1:28" s="3" customFormat="1" ht="32.25" customHeight="1" x14ac:dyDescent="0.2">
      <c r="A22" s="42"/>
      <c r="B22" s="47" t="s">
        <v>95</v>
      </c>
      <c r="C22" s="47"/>
      <c r="D22" s="47"/>
      <c r="E22" s="47" t="s">
        <v>94</v>
      </c>
      <c r="F22" s="47" t="s">
        <v>93</v>
      </c>
      <c r="G22" s="47" t="s">
        <v>490</v>
      </c>
      <c r="H22" s="47"/>
      <c r="I22" s="47"/>
      <c r="J22" s="47"/>
      <c r="K22" s="47"/>
      <c r="L22" s="47"/>
      <c r="M22" s="47"/>
      <c r="N22" s="47"/>
      <c r="O22" s="47"/>
      <c r="P22" s="47"/>
      <c r="Q22" s="40"/>
      <c r="R22" s="5"/>
      <c r="S22" s="142"/>
      <c r="T22" s="32"/>
      <c r="U22" s="32"/>
      <c r="V22" s="32"/>
      <c r="W22" s="32"/>
      <c r="X22" s="32"/>
      <c r="Y22" s="32"/>
      <c r="Z22" s="31"/>
      <c r="AA22" s="31"/>
      <c r="AB22" s="31"/>
    </row>
    <row r="23" spans="1:28" s="3" customFormat="1" ht="18.75" x14ac:dyDescent="0.2">
      <c r="A23" s="42"/>
      <c r="B23" s="47" t="s">
        <v>95</v>
      </c>
      <c r="C23" s="47"/>
      <c r="D23" s="47"/>
      <c r="E23" s="47" t="s">
        <v>94</v>
      </c>
      <c r="F23" s="47" t="s">
        <v>93</v>
      </c>
      <c r="G23" s="47" t="s">
        <v>92</v>
      </c>
      <c r="H23" s="34"/>
      <c r="I23" s="34"/>
      <c r="J23" s="34"/>
      <c r="K23" s="34"/>
      <c r="L23" s="34"/>
      <c r="M23" s="34"/>
      <c r="N23" s="34"/>
      <c r="O23" s="34"/>
      <c r="P23" s="34"/>
      <c r="Q23" s="34"/>
      <c r="R23" s="5"/>
      <c r="S23" s="142"/>
      <c r="T23" s="32"/>
      <c r="U23" s="32"/>
      <c r="V23" s="32"/>
      <c r="W23" s="32"/>
      <c r="X23" s="31"/>
      <c r="Y23" s="31"/>
      <c r="Z23" s="31"/>
      <c r="AA23" s="31"/>
      <c r="AB23" s="31"/>
    </row>
    <row r="24" spans="1:28" s="3" customFormat="1" ht="18.75" x14ac:dyDescent="0.2">
      <c r="A24" s="42"/>
      <c r="B24" s="47" t="s">
        <v>95</v>
      </c>
      <c r="C24" s="47"/>
      <c r="D24" s="47"/>
      <c r="E24" s="47" t="s">
        <v>94</v>
      </c>
      <c r="F24" s="47" t="s">
        <v>93</v>
      </c>
      <c r="G24" s="47" t="s">
        <v>88</v>
      </c>
      <c r="H24" s="34"/>
      <c r="I24" s="34"/>
      <c r="J24" s="34"/>
      <c r="K24" s="34"/>
      <c r="L24" s="34"/>
      <c r="M24" s="34"/>
      <c r="N24" s="34"/>
      <c r="O24" s="34"/>
      <c r="P24" s="34"/>
      <c r="Q24" s="34"/>
      <c r="R24" s="5"/>
      <c r="S24" s="142"/>
      <c r="T24" s="32"/>
      <c r="U24" s="32"/>
      <c r="V24" s="32"/>
      <c r="W24" s="32"/>
      <c r="X24" s="31"/>
      <c r="Y24" s="31"/>
      <c r="Z24" s="31"/>
      <c r="AA24" s="31"/>
      <c r="AB24" s="31"/>
    </row>
    <row r="25" spans="1:28" s="3" customFormat="1" ht="31.5" x14ac:dyDescent="0.2">
      <c r="A25" s="46"/>
      <c r="B25" s="47" t="s">
        <v>91</v>
      </c>
      <c r="C25" s="47"/>
      <c r="D25" s="47"/>
      <c r="E25" s="47" t="s">
        <v>90</v>
      </c>
      <c r="F25" s="47" t="s">
        <v>89</v>
      </c>
      <c r="G25" s="47" t="s">
        <v>491</v>
      </c>
      <c r="H25" s="34"/>
      <c r="I25" s="34"/>
      <c r="J25" s="34"/>
      <c r="K25" s="34"/>
      <c r="L25" s="34"/>
      <c r="M25" s="34"/>
      <c r="N25" s="34"/>
      <c r="O25" s="34"/>
      <c r="P25" s="34"/>
      <c r="Q25" s="34"/>
      <c r="R25" s="5"/>
      <c r="S25" s="142"/>
      <c r="T25" s="32"/>
      <c r="U25" s="32"/>
      <c r="V25" s="32"/>
      <c r="W25" s="32"/>
      <c r="X25" s="31"/>
      <c r="Y25" s="31"/>
      <c r="Z25" s="31"/>
      <c r="AA25" s="31"/>
      <c r="AB25" s="31"/>
    </row>
    <row r="26" spans="1:28" s="3" customFormat="1" ht="18.75" x14ac:dyDescent="0.2">
      <c r="A26" s="46"/>
      <c r="B26" s="47" t="s">
        <v>91</v>
      </c>
      <c r="C26" s="47"/>
      <c r="D26" s="47"/>
      <c r="E26" s="47" t="s">
        <v>90</v>
      </c>
      <c r="F26" s="47" t="s">
        <v>89</v>
      </c>
      <c r="G26" s="47" t="s">
        <v>92</v>
      </c>
      <c r="H26" s="34"/>
      <c r="I26" s="34"/>
      <c r="J26" s="34"/>
      <c r="K26" s="34"/>
      <c r="L26" s="34"/>
      <c r="M26" s="34"/>
      <c r="N26" s="34"/>
      <c r="O26" s="34"/>
      <c r="P26" s="34"/>
      <c r="Q26" s="34"/>
      <c r="R26" s="5"/>
      <c r="S26" s="142"/>
      <c r="T26" s="32"/>
      <c r="U26" s="32"/>
      <c r="V26" s="32"/>
      <c r="W26" s="32"/>
      <c r="X26" s="31"/>
      <c r="Y26" s="31"/>
      <c r="Z26" s="31"/>
      <c r="AA26" s="31"/>
      <c r="AB26" s="31"/>
    </row>
    <row r="27" spans="1:28" s="3" customFormat="1" ht="18.75" x14ac:dyDescent="0.2">
      <c r="A27" s="46"/>
      <c r="B27" s="47" t="s">
        <v>91</v>
      </c>
      <c r="C27" s="47"/>
      <c r="D27" s="47"/>
      <c r="E27" s="47" t="s">
        <v>90</v>
      </c>
      <c r="F27" s="47" t="s">
        <v>89</v>
      </c>
      <c r="G27" s="47" t="s">
        <v>88</v>
      </c>
      <c r="H27" s="34"/>
      <c r="I27" s="34"/>
      <c r="J27" s="34"/>
      <c r="K27" s="34"/>
      <c r="L27" s="34"/>
      <c r="M27" s="34"/>
      <c r="N27" s="34"/>
      <c r="O27" s="34"/>
      <c r="P27" s="34"/>
      <c r="Q27" s="34"/>
      <c r="R27" s="5"/>
      <c r="S27" s="14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42"/>
      <c r="T28" s="32"/>
      <c r="U28" s="32"/>
      <c r="V28" s="32"/>
      <c r="W28" s="32"/>
      <c r="X28" s="31"/>
      <c r="Y28" s="31"/>
      <c r="Z28" s="31"/>
      <c r="AA28" s="31"/>
      <c r="AB28" s="31"/>
    </row>
    <row r="29" spans="1:28" ht="20.25" customHeight="1" x14ac:dyDescent="0.25">
      <c r="A29" s="112"/>
      <c r="B29" s="47" t="s">
        <v>383</v>
      </c>
      <c r="C29" s="47"/>
      <c r="D29" s="47"/>
      <c r="E29" s="112" t="s">
        <v>384</v>
      </c>
      <c r="F29" s="112" t="s">
        <v>384</v>
      </c>
      <c r="G29" s="112" t="s">
        <v>384</v>
      </c>
      <c r="H29" s="112"/>
      <c r="I29" s="112"/>
      <c r="J29" s="112"/>
      <c r="K29" s="112"/>
      <c r="L29" s="112"/>
      <c r="M29" s="112"/>
      <c r="N29" s="112"/>
      <c r="O29" s="112"/>
      <c r="P29" s="112"/>
      <c r="Q29" s="11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3" zoomScale="80" zoomScaleNormal="60" zoomScaleSheetLayoutView="80" workbookViewId="0">
      <selection activeCell="J26" sqref="J2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10.710937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26" t="str">
        <f>'1. паспорт местоположение'!A5:C5</f>
        <v>Год раскрытия информации: 2018 год</v>
      </c>
      <c r="B6" s="426"/>
      <c r="C6" s="426"/>
      <c r="D6" s="426"/>
      <c r="E6" s="426"/>
      <c r="F6" s="426"/>
      <c r="G6" s="426"/>
      <c r="H6" s="426"/>
      <c r="I6" s="426"/>
      <c r="J6" s="426"/>
      <c r="K6" s="426"/>
      <c r="L6" s="426"/>
      <c r="M6" s="426"/>
      <c r="N6" s="426"/>
      <c r="O6" s="426"/>
      <c r="P6" s="426"/>
      <c r="Q6" s="426"/>
      <c r="R6" s="426"/>
      <c r="S6" s="426"/>
      <c r="T6" s="426"/>
    </row>
    <row r="7" spans="1:20" s="12" customFormat="1" x14ac:dyDescent="0.2">
      <c r="A7" s="332"/>
      <c r="B7" s="18"/>
      <c r="C7" s="18"/>
      <c r="D7" s="18"/>
      <c r="E7" s="18"/>
      <c r="F7" s="18"/>
      <c r="G7" s="18"/>
      <c r="H7" s="333"/>
      <c r="I7" s="18"/>
      <c r="J7" s="18"/>
      <c r="K7" s="18"/>
      <c r="L7" s="18"/>
      <c r="M7" s="18"/>
      <c r="N7" s="18"/>
      <c r="O7" s="18"/>
      <c r="P7" s="18"/>
      <c r="Q7" s="18"/>
      <c r="R7" s="18"/>
      <c r="S7" s="18"/>
      <c r="T7" s="18"/>
    </row>
    <row r="8" spans="1:20" s="12" customFormat="1" ht="18.75" x14ac:dyDescent="0.2">
      <c r="A8" s="434" t="s">
        <v>9</v>
      </c>
      <c r="B8" s="434"/>
      <c r="C8" s="434"/>
      <c r="D8" s="434"/>
      <c r="E8" s="434"/>
      <c r="F8" s="434"/>
      <c r="G8" s="434"/>
      <c r="H8" s="434"/>
      <c r="I8" s="434"/>
      <c r="J8" s="434"/>
      <c r="K8" s="434"/>
      <c r="L8" s="434"/>
      <c r="M8" s="434"/>
      <c r="N8" s="434"/>
      <c r="O8" s="434"/>
      <c r="P8" s="434"/>
      <c r="Q8" s="434"/>
      <c r="R8" s="434"/>
      <c r="S8" s="434"/>
      <c r="T8" s="434"/>
    </row>
    <row r="9" spans="1:20" s="12"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2" customFormat="1" ht="18.75" customHeight="1" x14ac:dyDescent="0.2">
      <c r="A10" s="435" t="str">
        <f>'1. паспорт местоположение'!A9:C9</f>
        <v>АО "Янтарьэнерго"</v>
      </c>
      <c r="B10" s="435"/>
      <c r="C10" s="435"/>
      <c r="D10" s="435"/>
      <c r="E10" s="435"/>
      <c r="F10" s="435"/>
      <c r="G10" s="435"/>
      <c r="H10" s="435"/>
      <c r="I10" s="435"/>
      <c r="J10" s="435"/>
      <c r="K10" s="435"/>
      <c r="L10" s="435"/>
      <c r="M10" s="435"/>
      <c r="N10" s="435"/>
      <c r="O10" s="435"/>
      <c r="P10" s="435"/>
      <c r="Q10" s="435"/>
      <c r="R10" s="435"/>
      <c r="S10" s="435"/>
      <c r="T10" s="435"/>
    </row>
    <row r="11" spans="1:20" s="12" customFormat="1" ht="18.75" customHeight="1" x14ac:dyDescent="0.2">
      <c r="A11" s="439" t="s">
        <v>8</v>
      </c>
      <c r="B11" s="439"/>
      <c r="C11" s="439"/>
      <c r="D11" s="439"/>
      <c r="E11" s="439"/>
      <c r="F11" s="439"/>
      <c r="G11" s="439"/>
      <c r="H11" s="439"/>
      <c r="I11" s="439"/>
      <c r="J11" s="439"/>
      <c r="K11" s="439"/>
      <c r="L11" s="439"/>
      <c r="M11" s="439"/>
      <c r="N11" s="439"/>
      <c r="O11" s="439"/>
      <c r="P11" s="439"/>
      <c r="Q11" s="439"/>
      <c r="R11" s="439"/>
      <c r="S11" s="439"/>
      <c r="T11" s="439"/>
    </row>
    <row r="12" spans="1:20" s="12"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2" customFormat="1" ht="18.75" customHeight="1" x14ac:dyDescent="0.2">
      <c r="A13" s="435" t="str">
        <f>'1. паспорт местоположение'!A12:C12</f>
        <v>Г</v>
      </c>
      <c r="B13" s="435"/>
      <c r="C13" s="435"/>
      <c r="D13" s="435"/>
      <c r="E13" s="435"/>
      <c r="F13" s="435"/>
      <c r="G13" s="435"/>
      <c r="H13" s="435"/>
      <c r="I13" s="435"/>
      <c r="J13" s="435"/>
      <c r="K13" s="435"/>
      <c r="L13" s="435"/>
      <c r="M13" s="435"/>
      <c r="N13" s="435"/>
      <c r="O13" s="435"/>
      <c r="P13" s="435"/>
      <c r="Q13" s="435"/>
      <c r="R13" s="435"/>
      <c r="S13" s="435"/>
      <c r="T13" s="435"/>
    </row>
    <row r="14" spans="1:20" s="12" customFormat="1" ht="18.75" customHeight="1" x14ac:dyDescent="0.2">
      <c r="A14" s="439" t="s">
        <v>7</v>
      </c>
      <c r="B14" s="439"/>
      <c r="C14" s="439"/>
      <c r="D14" s="439"/>
      <c r="E14" s="439"/>
      <c r="F14" s="439"/>
      <c r="G14" s="439"/>
      <c r="H14" s="439"/>
      <c r="I14" s="439"/>
      <c r="J14" s="439"/>
      <c r="K14" s="439"/>
      <c r="L14" s="439"/>
      <c r="M14" s="439"/>
      <c r="N14" s="439"/>
      <c r="O14" s="439"/>
      <c r="P14" s="439"/>
      <c r="Q14" s="439"/>
      <c r="R14" s="439"/>
      <c r="S14" s="439"/>
      <c r="T14" s="439"/>
    </row>
    <row r="15" spans="1:20" s="9"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x14ac:dyDescent="0.2">
      <c r="A16"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
      <c r="A17" s="427" t="s">
        <v>6</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29" t="s">
        <v>502</v>
      </c>
      <c r="B19" s="429"/>
      <c r="C19" s="429"/>
      <c r="D19" s="429"/>
      <c r="E19" s="429"/>
      <c r="F19" s="429"/>
      <c r="G19" s="429"/>
      <c r="H19" s="429"/>
      <c r="I19" s="429"/>
      <c r="J19" s="429"/>
      <c r="K19" s="429"/>
      <c r="L19" s="429"/>
      <c r="M19" s="429"/>
      <c r="N19" s="429"/>
      <c r="O19" s="429"/>
      <c r="P19" s="429"/>
      <c r="Q19" s="429"/>
      <c r="R19" s="429"/>
      <c r="S19" s="429"/>
      <c r="T19" s="429"/>
    </row>
    <row r="20" spans="1:113" s="60"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1" t="s">
        <v>5</v>
      </c>
      <c r="B21" s="444" t="s">
        <v>229</v>
      </c>
      <c r="C21" s="445"/>
      <c r="D21" s="448" t="s">
        <v>129</v>
      </c>
      <c r="E21" s="444" t="s">
        <v>531</v>
      </c>
      <c r="F21" s="445"/>
      <c r="G21" s="444" t="s">
        <v>280</v>
      </c>
      <c r="H21" s="445"/>
      <c r="I21" s="444" t="s">
        <v>128</v>
      </c>
      <c r="J21" s="445"/>
      <c r="K21" s="448" t="s">
        <v>127</v>
      </c>
      <c r="L21" s="444" t="s">
        <v>126</v>
      </c>
      <c r="M21" s="445"/>
      <c r="N21" s="444" t="s">
        <v>527</v>
      </c>
      <c r="O21" s="445"/>
      <c r="P21" s="448" t="s">
        <v>125</v>
      </c>
      <c r="Q21" s="454" t="s">
        <v>124</v>
      </c>
      <c r="R21" s="455"/>
      <c r="S21" s="454" t="s">
        <v>123</v>
      </c>
      <c r="T21" s="456"/>
    </row>
    <row r="22" spans="1:113" ht="204.75" customHeight="1" x14ac:dyDescent="0.25">
      <c r="A22" s="452"/>
      <c r="B22" s="446"/>
      <c r="C22" s="447"/>
      <c r="D22" s="450"/>
      <c r="E22" s="446"/>
      <c r="F22" s="447"/>
      <c r="G22" s="446"/>
      <c r="H22" s="447"/>
      <c r="I22" s="446"/>
      <c r="J22" s="447"/>
      <c r="K22" s="449"/>
      <c r="L22" s="446"/>
      <c r="M22" s="447"/>
      <c r="N22" s="446"/>
      <c r="O22" s="447"/>
      <c r="P22" s="449"/>
      <c r="Q22" s="100" t="s">
        <v>122</v>
      </c>
      <c r="R22" s="100" t="s">
        <v>501</v>
      </c>
      <c r="S22" s="100" t="s">
        <v>121</v>
      </c>
      <c r="T22" s="100" t="s">
        <v>120</v>
      </c>
    </row>
    <row r="23" spans="1:113" ht="51.75" customHeight="1" x14ac:dyDescent="0.25">
      <c r="A23" s="453"/>
      <c r="B23" s="149" t="s">
        <v>118</v>
      </c>
      <c r="C23" s="149" t="s">
        <v>119</v>
      </c>
      <c r="D23" s="449"/>
      <c r="E23" s="149" t="s">
        <v>118</v>
      </c>
      <c r="F23" s="149" t="s">
        <v>119</v>
      </c>
      <c r="G23" s="149" t="s">
        <v>118</v>
      </c>
      <c r="H23" s="149" t="s">
        <v>119</v>
      </c>
      <c r="I23" s="149" t="s">
        <v>118</v>
      </c>
      <c r="J23" s="149" t="s">
        <v>119</v>
      </c>
      <c r="K23" s="149" t="s">
        <v>118</v>
      </c>
      <c r="L23" s="149" t="s">
        <v>118</v>
      </c>
      <c r="M23" s="149" t="s">
        <v>119</v>
      </c>
      <c r="N23" s="149" t="s">
        <v>118</v>
      </c>
      <c r="O23" s="149" t="s">
        <v>119</v>
      </c>
      <c r="P23" s="150" t="s">
        <v>118</v>
      </c>
      <c r="Q23" s="100" t="s">
        <v>118</v>
      </c>
      <c r="R23" s="100" t="s">
        <v>118</v>
      </c>
      <c r="S23" s="100" t="s">
        <v>118</v>
      </c>
      <c r="T23" s="100" t="s">
        <v>118</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0" customFormat="1" ht="47.25" x14ac:dyDescent="0.25">
      <c r="A25" s="63">
        <v>1</v>
      </c>
      <c r="B25" s="62" t="s">
        <v>384</v>
      </c>
      <c r="C25" s="62" t="s">
        <v>606</v>
      </c>
      <c r="D25" s="62" t="s">
        <v>114</v>
      </c>
      <c r="E25" s="62" t="s">
        <v>384</v>
      </c>
      <c r="F25" s="62" t="s">
        <v>607</v>
      </c>
      <c r="G25" s="62" t="s">
        <v>384</v>
      </c>
      <c r="H25" s="62" t="s">
        <v>1036</v>
      </c>
      <c r="I25" s="62" t="s">
        <v>384</v>
      </c>
      <c r="J25" s="61" t="s">
        <v>1041</v>
      </c>
      <c r="K25" s="61" t="s">
        <v>384</v>
      </c>
      <c r="L25" s="61" t="s">
        <v>384</v>
      </c>
      <c r="M25" s="61" t="s">
        <v>1037</v>
      </c>
      <c r="N25" s="421" t="s">
        <v>384</v>
      </c>
      <c r="O25" s="422">
        <v>111.4346508939647</v>
      </c>
      <c r="P25" s="61" t="s">
        <v>384</v>
      </c>
      <c r="Q25" s="152" t="s">
        <v>384</v>
      </c>
      <c r="R25" s="62" t="s">
        <v>384</v>
      </c>
      <c r="S25" s="152" t="s">
        <v>384</v>
      </c>
      <c r="T25" s="62" t="s">
        <v>384</v>
      </c>
    </row>
    <row r="26" spans="1:113" ht="3" customHeight="1" x14ac:dyDescent="0.25"/>
    <row r="27" spans="1:113" s="58" customFormat="1" ht="12.75" x14ac:dyDescent="0.2">
      <c r="B27" s="59"/>
      <c r="C27" s="59"/>
      <c r="K27" s="59"/>
    </row>
    <row r="28" spans="1:113" s="58" customFormat="1" x14ac:dyDescent="0.25">
      <c r="B28" s="56" t="s">
        <v>117</v>
      </c>
      <c r="C28" s="56"/>
      <c r="D28" s="56"/>
      <c r="E28" s="56"/>
      <c r="F28" s="56"/>
      <c r="G28" s="56"/>
      <c r="H28" s="56"/>
      <c r="I28" s="56"/>
      <c r="J28" s="56"/>
      <c r="K28" s="56"/>
      <c r="L28" s="56"/>
      <c r="M28" s="56"/>
      <c r="N28" s="56"/>
      <c r="O28" s="56"/>
      <c r="P28" s="56"/>
      <c r="Q28" s="56"/>
      <c r="R28" s="56"/>
    </row>
    <row r="29" spans="1:113" x14ac:dyDescent="0.25">
      <c r="B29" s="443" t="s">
        <v>537</v>
      </c>
      <c r="C29" s="443"/>
      <c r="D29" s="443"/>
      <c r="E29" s="443"/>
      <c r="F29" s="443"/>
      <c r="G29" s="443"/>
      <c r="H29" s="443"/>
      <c r="I29" s="443"/>
      <c r="J29" s="443"/>
      <c r="K29" s="443"/>
      <c r="L29" s="443"/>
      <c r="M29" s="443"/>
      <c r="N29" s="443"/>
      <c r="O29" s="443"/>
      <c r="P29" s="443"/>
      <c r="Q29" s="443"/>
      <c r="R29" s="44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116</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115</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114</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113</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112</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111</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110</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109</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108</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topLeftCell="A13" zoomScale="80" zoomScaleSheetLayoutView="80" workbookViewId="0">
      <selection activeCell="Q26" sqref="Q2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26" t="str">
        <f>'1. паспорт местоположение'!A5:C5</f>
        <v>Год раскрытия информации: 2018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2" customFormat="1" x14ac:dyDescent="0.2">
      <c r="A6" s="330"/>
      <c r="B6" s="330"/>
      <c r="C6" s="330"/>
      <c r="D6" s="330"/>
      <c r="E6" s="330"/>
      <c r="F6" s="330"/>
      <c r="G6" s="330"/>
      <c r="H6" s="330"/>
      <c r="I6" s="330"/>
      <c r="J6" s="330"/>
      <c r="K6" s="330"/>
      <c r="L6" s="330"/>
      <c r="M6" s="330"/>
      <c r="N6" s="330"/>
      <c r="O6" s="330"/>
      <c r="P6" s="330"/>
      <c r="Q6" s="330"/>
      <c r="R6" s="330"/>
      <c r="S6" s="330"/>
      <c r="T6" s="330"/>
      <c r="U6" s="18"/>
      <c r="V6" s="18"/>
      <c r="W6" s="18"/>
      <c r="X6" s="18"/>
      <c r="Y6" s="18"/>
      <c r="Z6" s="18"/>
      <c r="AA6" s="18"/>
    </row>
    <row r="7" spans="1:27" s="12" customFormat="1" ht="18.75" x14ac:dyDescent="0.2">
      <c r="A7" s="18"/>
      <c r="B7" s="18"/>
      <c r="C7" s="18"/>
      <c r="D7" s="18"/>
      <c r="E7" s="434" t="s">
        <v>9</v>
      </c>
      <c r="F7" s="434"/>
      <c r="G7" s="434"/>
      <c r="H7" s="434"/>
      <c r="I7" s="434"/>
      <c r="J7" s="434"/>
      <c r="K7" s="434"/>
      <c r="L7" s="434"/>
      <c r="M7" s="434"/>
      <c r="N7" s="434"/>
      <c r="O7" s="434"/>
      <c r="P7" s="434"/>
      <c r="Q7" s="434"/>
      <c r="R7" s="434"/>
      <c r="S7" s="434"/>
      <c r="T7" s="434"/>
      <c r="U7" s="434"/>
      <c r="V7" s="434"/>
      <c r="W7" s="434"/>
      <c r="X7" s="434"/>
      <c r="Y7" s="434"/>
      <c r="Z7" s="18"/>
      <c r="AA7" s="18"/>
    </row>
    <row r="8" spans="1:27" s="12" customFormat="1" ht="18.75" x14ac:dyDescent="0.2">
      <c r="A8" s="18"/>
      <c r="B8" s="18"/>
      <c r="C8" s="18"/>
      <c r="D8" s="18"/>
      <c r="E8" s="334"/>
      <c r="F8" s="334"/>
      <c r="G8" s="334"/>
      <c r="H8" s="334"/>
      <c r="I8" s="334"/>
      <c r="J8" s="334"/>
      <c r="K8" s="334"/>
      <c r="L8" s="334"/>
      <c r="M8" s="334"/>
      <c r="N8" s="334"/>
      <c r="O8" s="334"/>
      <c r="P8" s="334"/>
      <c r="Q8" s="334"/>
      <c r="R8" s="334"/>
      <c r="S8" s="335"/>
      <c r="T8" s="335"/>
      <c r="U8" s="335"/>
      <c r="V8" s="335"/>
      <c r="W8" s="335"/>
      <c r="X8" s="18"/>
      <c r="Y8" s="18"/>
      <c r="Z8" s="18"/>
      <c r="AA8" s="18"/>
    </row>
    <row r="9" spans="1:27" s="12" customFormat="1" ht="18.75" customHeight="1" x14ac:dyDescent="0.2">
      <c r="A9" s="18"/>
      <c r="B9" s="18"/>
      <c r="C9" s="18"/>
      <c r="D9" s="18"/>
      <c r="E9" s="435" t="str">
        <f>'1. паспорт местоположение'!A9</f>
        <v>АО "Янтарьэнерго"</v>
      </c>
      <c r="F9" s="435"/>
      <c r="G9" s="435"/>
      <c r="H9" s="435"/>
      <c r="I9" s="435"/>
      <c r="J9" s="435"/>
      <c r="K9" s="435"/>
      <c r="L9" s="435"/>
      <c r="M9" s="435"/>
      <c r="N9" s="435"/>
      <c r="O9" s="435"/>
      <c r="P9" s="435"/>
      <c r="Q9" s="435"/>
      <c r="R9" s="435"/>
      <c r="S9" s="435"/>
      <c r="T9" s="435"/>
      <c r="U9" s="435"/>
      <c r="V9" s="435"/>
      <c r="W9" s="435"/>
      <c r="X9" s="435"/>
      <c r="Y9" s="435"/>
      <c r="Z9" s="18"/>
      <c r="AA9" s="18"/>
    </row>
    <row r="10" spans="1:27" s="12" customFormat="1" ht="18.75" customHeight="1" x14ac:dyDescent="0.2">
      <c r="A10" s="18"/>
      <c r="B10" s="18"/>
      <c r="C10" s="18"/>
      <c r="D10" s="18"/>
      <c r="E10" s="439" t="s">
        <v>8</v>
      </c>
      <c r="F10" s="439"/>
      <c r="G10" s="439"/>
      <c r="H10" s="439"/>
      <c r="I10" s="439"/>
      <c r="J10" s="439"/>
      <c r="K10" s="439"/>
      <c r="L10" s="439"/>
      <c r="M10" s="439"/>
      <c r="N10" s="439"/>
      <c r="O10" s="439"/>
      <c r="P10" s="439"/>
      <c r="Q10" s="439"/>
      <c r="R10" s="439"/>
      <c r="S10" s="439"/>
      <c r="T10" s="439"/>
      <c r="U10" s="439"/>
      <c r="V10" s="439"/>
      <c r="W10" s="439"/>
      <c r="X10" s="439"/>
      <c r="Y10" s="439"/>
      <c r="Z10" s="18"/>
      <c r="AA10" s="18"/>
    </row>
    <row r="11" spans="1:27" s="12" customFormat="1" ht="18.75" x14ac:dyDescent="0.2">
      <c r="A11" s="18"/>
      <c r="B11" s="18"/>
      <c r="C11" s="18"/>
      <c r="D11" s="18"/>
      <c r="E11" s="334"/>
      <c r="F11" s="334"/>
      <c r="G11" s="334"/>
      <c r="H11" s="334"/>
      <c r="I11" s="334"/>
      <c r="J11" s="334"/>
      <c r="K11" s="334"/>
      <c r="L11" s="334"/>
      <c r="M11" s="334"/>
      <c r="N11" s="334"/>
      <c r="O11" s="334"/>
      <c r="P11" s="334"/>
      <c r="Q11" s="334"/>
      <c r="R11" s="334"/>
      <c r="S11" s="335"/>
      <c r="T11" s="335"/>
      <c r="U11" s="335"/>
      <c r="V11" s="335"/>
      <c r="W11" s="335"/>
      <c r="X11" s="18"/>
      <c r="Y11" s="18"/>
      <c r="Z11" s="18"/>
      <c r="AA11" s="18"/>
    </row>
    <row r="12" spans="1:27" s="12" customFormat="1" ht="18.75" customHeight="1" x14ac:dyDescent="0.2">
      <c r="A12" s="18"/>
      <c r="B12" s="18"/>
      <c r="C12" s="18"/>
      <c r="D12" s="18"/>
      <c r="E12" s="435" t="str">
        <f>'1. паспорт местоположение'!A12</f>
        <v>Г</v>
      </c>
      <c r="F12" s="435"/>
      <c r="G12" s="435"/>
      <c r="H12" s="435"/>
      <c r="I12" s="435"/>
      <c r="J12" s="435"/>
      <c r="K12" s="435"/>
      <c r="L12" s="435"/>
      <c r="M12" s="435"/>
      <c r="N12" s="435"/>
      <c r="O12" s="435"/>
      <c r="P12" s="435"/>
      <c r="Q12" s="435"/>
      <c r="R12" s="435"/>
      <c r="S12" s="435"/>
      <c r="T12" s="435"/>
      <c r="U12" s="435"/>
      <c r="V12" s="435"/>
      <c r="W12" s="435"/>
      <c r="X12" s="435"/>
      <c r="Y12" s="435"/>
      <c r="Z12" s="18"/>
      <c r="AA12" s="18"/>
    </row>
    <row r="13" spans="1:27" s="12" customFormat="1" ht="18.75" customHeight="1" x14ac:dyDescent="0.2">
      <c r="A13" s="18"/>
      <c r="B13" s="18"/>
      <c r="C13" s="18"/>
      <c r="D13" s="18"/>
      <c r="E13" s="439" t="s">
        <v>7</v>
      </c>
      <c r="F13" s="439"/>
      <c r="G13" s="439"/>
      <c r="H13" s="439"/>
      <c r="I13" s="439"/>
      <c r="J13" s="439"/>
      <c r="K13" s="439"/>
      <c r="L13" s="439"/>
      <c r="M13" s="439"/>
      <c r="N13" s="439"/>
      <c r="O13" s="439"/>
      <c r="P13" s="439"/>
      <c r="Q13" s="439"/>
      <c r="R13" s="439"/>
      <c r="S13" s="439"/>
      <c r="T13" s="439"/>
      <c r="U13" s="439"/>
      <c r="V13" s="439"/>
      <c r="W13" s="439"/>
      <c r="X13" s="439"/>
      <c r="Y13" s="439"/>
      <c r="Z13" s="18"/>
      <c r="AA13" s="18"/>
    </row>
    <row r="14" spans="1:27" s="9" customFormat="1" ht="15.75" customHeight="1" x14ac:dyDescent="0.2">
      <c r="A14" s="336"/>
      <c r="B14" s="336"/>
      <c r="C14" s="336"/>
      <c r="D14" s="336"/>
      <c r="E14" s="337"/>
      <c r="F14" s="337"/>
      <c r="G14" s="337"/>
      <c r="H14" s="337"/>
      <c r="I14" s="337"/>
      <c r="J14" s="337"/>
      <c r="K14" s="337"/>
      <c r="L14" s="337"/>
      <c r="M14" s="337"/>
      <c r="N14" s="337"/>
      <c r="O14" s="337"/>
      <c r="P14" s="337"/>
      <c r="Q14" s="337"/>
      <c r="R14" s="337"/>
      <c r="S14" s="337"/>
      <c r="T14" s="337"/>
      <c r="U14" s="337"/>
      <c r="V14" s="337"/>
      <c r="W14" s="337"/>
      <c r="X14" s="336"/>
      <c r="Y14" s="336"/>
      <c r="Z14" s="336"/>
      <c r="AA14" s="336"/>
    </row>
    <row r="15" spans="1:27" s="3" customFormat="1" x14ac:dyDescent="0.2">
      <c r="A15" s="338"/>
      <c r="B15" s="338"/>
      <c r="C15" s="338"/>
      <c r="D15" s="338"/>
      <c r="E15" s="435" t="str">
        <f>'1. паспорт местоположение'!A15</f>
        <v>Технологическое присоединение энергопринимающих устройств потребителей максимальной мощностью до 15 кВт включительно</v>
      </c>
      <c r="F15" s="435"/>
      <c r="G15" s="435"/>
      <c r="H15" s="435"/>
      <c r="I15" s="435"/>
      <c r="J15" s="435"/>
      <c r="K15" s="435"/>
      <c r="L15" s="435"/>
      <c r="M15" s="435"/>
      <c r="N15" s="435"/>
      <c r="O15" s="435"/>
      <c r="P15" s="435"/>
      <c r="Q15" s="435"/>
      <c r="R15" s="435"/>
      <c r="S15" s="435"/>
      <c r="T15" s="435"/>
      <c r="U15" s="435"/>
      <c r="V15" s="435"/>
      <c r="W15" s="435"/>
      <c r="X15" s="435"/>
      <c r="Y15" s="435"/>
      <c r="Z15" s="338"/>
      <c r="AA15" s="338"/>
    </row>
    <row r="16" spans="1:27" s="3" customFormat="1" ht="15" customHeight="1" x14ac:dyDescent="0.2">
      <c r="A16" s="338"/>
      <c r="B16" s="338"/>
      <c r="C16" s="338"/>
      <c r="D16" s="338"/>
      <c r="E16" s="439" t="s">
        <v>6</v>
      </c>
      <c r="F16" s="439"/>
      <c r="G16" s="439"/>
      <c r="H16" s="439"/>
      <c r="I16" s="439"/>
      <c r="J16" s="439"/>
      <c r="K16" s="439"/>
      <c r="L16" s="439"/>
      <c r="M16" s="439"/>
      <c r="N16" s="439"/>
      <c r="O16" s="439"/>
      <c r="P16" s="439"/>
      <c r="Q16" s="439"/>
      <c r="R16" s="439"/>
      <c r="S16" s="439"/>
      <c r="T16" s="439"/>
      <c r="U16" s="439"/>
      <c r="V16" s="439"/>
      <c r="W16" s="439"/>
      <c r="X16" s="439"/>
      <c r="Y16" s="439"/>
      <c r="Z16" s="338"/>
      <c r="AA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504</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60" customFormat="1" ht="21" customHeight="1" x14ac:dyDescent="0.25"/>
    <row r="21" spans="1:27" ht="15.75" customHeight="1" x14ac:dyDescent="0.25">
      <c r="A21" s="458" t="s">
        <v>5</v>
      </c>
      <c r="B21" s="461" t="s">
        <v>511</v>
      </c>
      <c r="C21" s="462"/>
      <c r="D21" s="461" t="s">
        <v>513</v>
      </c>
      <c r="E21" s="462"/>
      <c r="F21" s="454" t="s">
        <v>101</v>
      </c>
      <c r="G21" s="456"/>
      <c r="H21" s="456"/>
      <c r="I21" s="455"/>
      <c r="J21" s="458" t="s">
        <v>514</v>
      </c>
      <c r="K21" s="461" t="s">
        <v>515</v>
      </c>
      <c r="L21" s="462"/>
      <c r="M21" s="461" t="s">
        <v>516</v>
      </c>
      <c r="N21" s="462"/>
      <c r="O21" s="461" t="s">
        <v>503</v>
      </c>
      <c r="P21" s="462"/>
      <c r="Q21" s="461" t="s">
        <v>134</v>
      </c>
      <c r="R21" s="462"/>
      <c r="S21" s="458" t="s">
        <v>133</v>
      </c>
      <c r="T21" s="458" t="s">
        <v>517</v>
      </c>
      <c r="U21" s="458" t="s">
        <v>512</v>
      </c>
      <c r="V21" s="461" t="s">
        <v>132</v>
      </c>
      <c r="W21" s="462"/>
      <c r="X21" s="454" t="s">
        <v>124</v>
      </c>
      <c r="Y21" s="456"/>
      <c r="Z21" s="454" t="s">
        <v>123</v>
      </c>
      <c r="AA21" s="456"/>
    </row>
    <row r="22" spans="1:27" ht="216" customHeight="1" x14ac:dyDescent="0.25">
      <c r="A22" s="459"/>
      <c r="B22" s="463"/>
      <c r="C22" s="464"/>
      <c r="D22" s="463"/>
      <c r="E22" s="464"/>
      <c r="F22" s="454" t="s">
        <v>131</v>
      </c>
      <c r="G22" s="455"/>
      <c r="H22" s="454" t="s">
        <v>130</v>
      </c>
      <c r="I22" s="455"/>
      <c r="J22" s="460"/>
      <c r="K22" s="463"/>
      <c r="L22" s="464"/>
      <c r="M22" s="463"/>
      <c r="N22" s="464"/>
      <c r="O22" s="463"/>
      <c r="P22" s="464"/>
      <c r="Q22" s="463"/>
      <c r="R22" s="464"/>
      <c r="S22" s="460"/>
      <c r="T22" s="460"/>
      <c r="U22" s="460"/>
      <c r="V22" s="463"/>
      <c r="W22" s="464"/>
      <c r="X22" s="100" t="s">
        <v>122</v>
      </c>
      <c r="Y22" s="100" t="s">
        <v>501</v>
      </c>
      <c r="Z22" s="100" t="s">
        <v>121</v>
      </c>
      <c r="AA22" s="100" t="s">
        <v>120</v>
      </c>
    </row>
    <row r="23" spans="1:27" ht="60" customHeight="1" x14ac:dyDescent="0.25">
      <c r="A23" s="460"/>
      <c r="B23" s="148" t="s">
        <v>118</v>
      </c>
      <c r="C23" s="148" t="s">
        <v>119</v>
      </c>
      <c r="D23" s="101" t="s">
        <v>118</v>
      </c>
      <c r="E23" s="101" t="s">
        <v>119</v>
      </c>
      <c r="F23" s="101" t="s">
        <v>118</v>
      </c>
      <c r="G23" s="101" t="s">
        <v>119</v>
      </c>
      <c r="H23" s="101" t="s">
        <v>118</v>
      </c>
      <c r="I23" s="101" t="s">
        <v>119</v>
      </c>
      <c r="J23" s="101" t="s">
        <v>118</v>
      </c>
      <c r="K23" s="101" t="s">
        <v>118</v>
      </c>
      <c r="L23" s="101" t="s">
        <v>119</v>
      </c>
      <c r="M23" s="101" t="s">
        <v>118</v>
      </c>
      <c r="N23" s="101" t="s">
        <v>119</v>
      </c>
      <c r="O23" s="101" t="s">
        <v>118</v>
      </c>
      <c r="P23" s="101" t="s">
        <v>119</v>
      </c>
      <c r="Q23" s="101" t="s">
        <v>118</v>
      </c>
      <c r="R23" s="101" t="s">
        <v>119</v>
      </c>
      <c r="S23" s="101" t="s">
        <v>118</v>
      </c>
      <c r="T23" s="101" t="s">
        <v>118</v>
      </c>
      <c r="U23" s="101" t="s">
        <v>118</v>
      </c>
      <c r="V23" s="101" t="s">
        <v>118</v>
      </c>
      <c r="W23" s="101" t="s">
        <v>119</v>
      </c>
      <c r="X23" s="101" t="s">
        <v>118</v>
      </c>
      <c r="Y23" s="101" t="s">
        <v>118</v>
      </c>
      <c r="Z23" s="100" t="s">
        <v>118</v>
      </c>
      <c r="AA23" s="100" t="s">
        <v>118</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60" customFormat="1" ht="31.5" x14ac:dyDescent="0.25">
      <c r="A25" s="63">
        <v>1</v>
      </c>
      <c r="B25" s="63" t="s">
        <v>384</v>
      </c>
      <c r="C25" s="62" t="s">
        <v>608</v>
      </c>
      <c r="D25" s="63" t="s">
        <v>384</v>
      </c>
      <c r="E25" s="62" t="s">
        <v>608</v>
      </c>
      <c r="F25" s="63" t="s">
        <v>384</v>
      </c>
      <c r="G25" s="62" t="s">
        <v>609</v>
      </c>
      <c r="H25" s="63" t="s">
        <v>384</v>
      </c>
      <c r="I25" s="62" t="s">
        <v>609</v>
      </c>
      <c r="J25" s="63" t="s">
        <v>384</v>
      </c>
      <c r="K25" s="63" t="s">
        <v>384</v>
      </c>
      <c r="L25" s="63" t="s">
        <v>1038</v>
      </c>
      <c r="M25" s="63" t="s">
        <v>384</v>
      </c>
      <c r="N25" s="63" t="s">
        <v>384</v>
      </c>
      <c r="O25" s="63" t="s">
        <v>384</v>
      </c>
      <c r="P25" s="63" t="s">
        <v>614</v>
      </c>
      <c r="Q25" s="63" t="s">
        <v>384</v>
      </c>
      <c r="R25" s="328">
        <v>922.89119232430835</v>
      </c>
      <c r="S25" s="63" t="s">
        <v>384</v>
      </c>
      <c r="T25" s="63" t="s">
        <v>384</v>
      </c>
      <c r="U25" s="63" t="s">
        <v>384</v>
      </c>
      <c r="V25" s="63" t="s">
        <v>384</v>
      </c>
      <c r="W25" s="63" t="s">
        <v>384</v>
      </c>
      <c r="X25" s="63" t="s">
        <v>384</v>
      </c>
      <c r="Y25" s="63" t="s">
        <v>384</v>
      </c>
      <c r="Z25" s="63" t="s">
        <v>384</v>
      </c>
      <c r="AA25" s="63" t="s">
        <v>384</v>
      </c>
    </row>
    <row r="26" spans="1:27" ht="3" customHeight="1" x14ac:dyDescent="0.25">
      <c r="X26" s="102"/>
      <c r="Y26" s="103"/>
      <c r="Z26" s="53"/>
      <c r="AA26" s="53"/>
    </row>
    <row r="27" spans="1:27" s="58" customFormat="1" ht="12.75" x14ac:dyDescent="0.2">
      <c r="A27" s="59"/>
      <c r="B27" s="59"/>
      <c r="C27" s="59"/>
      <c r="E27" s="59"/>
      <c r="X27" s="104"/>
      <c r="Y27" s="104"/>
      <c r="Z27" s="104"/>
      <c r="AA27" s="104"/>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F28" sqref="F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26" t="str">
        <f>'1. паспорт местоположение'!A5:C5</f>
        <v>Год раскрытия информации: 2018 год</v>
      </c>
      <c r="B5" s="426"/>
      <c r="C5" s="426"/>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2" customFormat="1" ht="18.75" x14ac:dyDescent="0.3">
      <c r="A6" s="332"/>
      <c r="B6" s="18"/>
      <c r="C6" s="18"/>
      <c r="E6" s="16"/>
      <c r="F6" s="16"/>
      <c r="G6" s="15"/>
    </row>
    <row r="7" spans="1:29" s="12" customFormat="1" ht="18.75" x14ac:dyDescent="0.2">
      <c r="A7" s="434" t="s">
        <v>9</v>
      </c>
      <c r="B7" s="434"/>
      <c r="C7" s="434"/>
      <c r="D7" s="13"/>
      <c r="E7" s="13"/>
      <c r="F7" s="13"/>
      <c r="G7" s="13"/>
      <c r="H7" s="13"/>
      <c r="I7" s="13"/>
      <c r="J7" s="13"/>
      <c r="K7" s="13"/>
      <c r="L7" s="13"/>
      <c r="M7" s="13"/>
      <c r="N7" s="13"/>
      <c r="O7" s="13"/>
      <c r="P7" s="13"/>
      <c r="Q7" s="13"/>
      <c r="R7" s="13"/>
      <c r="S7" s="13"/>
      <c r="T7" s="13"/>
      <c r="U7" s="13"/>
    </row>
    <row r="8" spans="1:29" s="12" customFormat="1" ht="18.75" x14ac:dyDescent="0.2">
      <c r="A8" s="434"/>
      <c r="B8" s="434"/>
      <c r="C8" s="434"/>
      <c r="D8" s="14"/>
      <c r="E8" s="14"/>
      <c r="F8" s="14"/>
      <c r="G8" s="14"/>
      <c r="H8" s="13"/>
      <c r="I8" s="13"/>
      <c r="J8" s="13"/>
      <c r="K8" s="13"/>
      <c r="L8" s="13"/>
      <c r="M8" s="13"/>
      <c r="N8" s="13"/>
      <c r="O8" s="13"/>
      <c r="P8" s="13"/>
      <c r="Q8" s="13"/>
      <c r="R8" s="13"/>
      <c r="S8" s="13"/>
      <c r="T8" s="13"/>
      <c r="U8" s="13"/>
    </row>
    <row r="9" spans="1:29" s="12" customFormat="1" ht="18.75" x14ac:dyDescent="0.2">
      <c r="A9" s="435" t="str">
        <f>'1. паспорт местоположение'!A9:C9</f>
        <v>АО "Янтарьэнерго"</v>
      </c>
      <c r="B9" s="435"/>
      <c r="C9" s="435"/>
      <c r="D9" s="8"/>
      <c r="E9" s="8"/>
      <c r="F9" s="8"/>
      <c r="G9" s="8"/>
      <c r="H9" s="13"/>
      <c r="I9" s="13"/>
      <c r="J9" s="13"/>
      <c r="K9" s="13"/>
      <c r="L9" s="13"/>
      <c r="M9" s="13"/>
      <c r="N9" s="13"/>
      <c r="O9" s="13"/>
      <c r="P9" s="13"/>
      <c r="Q9" s="13"/>
      <c r="R9" s="13"/>
      <c r="S9" s="13"/>
      <c r="T9" s="13"/>
      <c r="U9" s="13"/>
    </row>
    <row r="10" spans="1:29" s="12" customFormat="1" ht="18.75" x14ac:dyDescent="0.2">
      <c r="A10" s="439" t="s">
        <v>8</v>
      </c>
      <c r="B10" s="439"/>
      <c r="C10" s="439"/>
      <c r="D10" s="6"/>
      <c r="E10" s="6"/>
      <c r="F10" s="6"/>
      <c r="G10" s="6"/>
      <c r="H10" s="13"/>
      <c r="I10" s="13"/>
      <c r="J10" s="13"/>
      <c r="K10" s="13"/>
      <c r="L10" s="13"/>
      <c r="M10" s="13"/>
      <c r="N10" s="13"/>
      <c r="O10" s="13"/>
      <c r="P10" s="13"/>
      <c r="Q10" s="13"/>
      <c r="R10" s="13"/>
      <c r="S10" s="13"/>
      <c r="T10" s="13"/>
      <c r="U10" s="13"/>
    </row>
    <row r="11" spans="1:29" s="12" customFormat="1" ht="18.75" x14ac:dyDescent="0.2">
      <c r="A11" s="434"/>
      <c r="B11" s="434"/>
      <c r="C11" s="434"/>
      <c r="D11" s="14"/>
      <c r="E11" s="14"/>
      <c r="F11" s="14"/>
      <c r="G11" s="14"/>
      <c r="H11" s="13"/>
      <c r="I11" s="13"/>
      <c r="J11" s="13"/>
      <c r="K11" s="13"/>
      <c r="L11" s="13"/>
      <c r="M11" s="13"/>
      <c r="N11" s="13"/>
      <c r="O11" s="13"/>
      <c r="P11" s="13"/>
      <c r="Q11" s="13"/>
      <c r="R11" s="13"/>
      <c r="S11" s="13"/>
      <c r="T11" s="13"/>
      <c r="U11" s="13"/>
    </row>
    <row r="12" spans="1:29" s="12" customFormat="1" ht="18.75" x14ac:dyDescent="0.2">
      <c r="A12" s="435" t="str">
        <f>'1. паспорт местоположение'!A12:C12</f>
        <v>Г</v>
      </c>
      <c r="B12" s="435"/>
      <c r="C12" s="435"/>
      <c r="D12" s="8"/>
      <c r="E12" s="8"/>
      <c r="F12" s="8"/>
      <c r="G12" s="8"/>
      <c r="H12" s="13"/>
      <c r="I12" s="13"/>
      <c r="J12" s="13"/>
      <c r="K12" s="13"/>
      <c r="L12" s="13"/>
      <c r="M12" s="13"/>
      <c r="N12" s="13"/>
      <c r="O12" s="13"/>
      <c r="P12" s="13"/>
      <c r="Q12" s="13"/>
      <c r="R12" s="13"/>
      <c r="S12" s="13"/>
      <c r="T12" s="13"/>
      <c r="U12" s="13"/>
    </row>
    <row r="13" spans="1:29" s="12" customFormat="1" ht="18.75" x14ac:dyDescent="0.2">
      <c r="A13" s="439" t="s">
        <v>7</v>
      </c>
      <c r="B13" s="439"/>
      <c r="C13" s="43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0"/>
      <c r="B14" s="440"/>
      <c r="C14" s="440"/>
      <c r="D14" s="10"/>
      <c r="E14" s="10"/>
      <c r="F14" s="10"/>
      <c r="G14" s="10"/>
      <c r="H14" s="10"/>
      <c r="I14" s="10"/>
      <c r="J14" s="10"/>
      <c r="K14" s="10"/>
      <c r="L14" s="10"/>
      <c r="M14" s="10"/>
      <c r="N14" s="10"/>
      <c r="O14" s="10"/>
      <c r="P14" s="10"/>
      <c r="Q14" s="10"/>
      <c r="R14" s="10"/>
      <c r="S14" s="10"/>
      <c r="T14" s="10"/>
      <c r="U14" s="10"/>
    </row>
    <row r="15" spans="1:29" s="3" customFormat="1" ht="15.75" x14ac:dyDescent="0.2">
      <c r="A15"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35"/>
      <c r="C15" s="435"/>
      <c r="D15" s="8"/>
      <c r="E15" s="8"/>
      <c r="F15" s="8"/>
      <c r="G15" s="8"/>
      <c r="H15" s="8"/>
      <c r="I15" s="8"/>
      <c r="J15" s="8"/>
      <c r="K15" s="8"/>
      <c r="L15" s="8"/>
      <c r="M15" s="8"/>
      <c r="N15" s="8"/>
      <c r="O15" s="8"/>
      <c r="P15" s="8"/>
      <c r="Q15" s="8"/>
      <c r="R15" s="8"/>
      <c r="S15" s="8"/>
      <c r="T15" s="8"/>
      <c r="U15" s="8"/>
    </row>
    <row r="16" spans="1:29" s="3" customFormat="1" ht="15" customHeight="1" x14ac:dyDescent="0.2">
      <c r="A16" s="439" t="s">
        <v>6</v>
      </c>
      <c r="B16" s="439"/>
      <c r="C16" s="439"/>
      <c r="D16" s="6"/>
      <c r="E16" s="6"/>
      <c r="F16" s="6"/>
      <c r="G16" s="6"/>
      <c r="H16" s="6"/>
      <c r="I16" s="6"/>
      <c r="J16" s="6"/>
      <c r="K16" s="6"/>
      <c r="L16" s="6"/>
      <c r="M16" s="6"/>
      <c r="N16" s="6"/>
      <c r="O16" s="6"/>
      <c r="P16" s="6"/>
      <c r="Q16" s="6"/>
      <c r="R16" s="6"/>
      <c r="S16" s="6"/>
      <c r="T16" s="6"/>
      <c r="U16" s="6"/>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28" t="s">
        <v>496</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0" t="s">
        <v>66</v>
      </c>
      <c r="C20" s="39"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9">
        <v>1</v>
      </c>
      <c r="B21" s="40">
        <v>2</v>
      </c>
      <c r="C21" s="39">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509</v>
      </c>
      <c r="C22" s="329" t="s">
        <v>620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529</v>
      </c>
      <c r="C24" s="29" t="s">
        <v>610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530</v>
      </c>
      <c r="C25" s="331">
        <v>2976.5134249886146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237</v>
      </c>
      <c r="C26" s="320"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510</v>
      </c>
      <c r="C27" s="320"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1016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551</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1042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5" t="s">
        <v>10</v>
      </c>
    </row>
    <row r="3" spans="1:28" ht="18.75" x14ac:dyDescent="0.3">
      <c r="Z3" s="15" t="s">
        <v>67</v>
      </c>
    </row>
    <row r="4" spans="1:28" ht="18.75" customHeight="1" x14ac:dyDescent="0.25">
      <c r="A4" s="426" t="str">
        <f>'1. паспорт местоположение'!A5:C5</f>
        <v>Год раскрытия информации: 2018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5" spans="1:28" x14ac:dyDescent="0.25">
      <c r="A5" s="339"/>
      <c r="B5" s="339"/>
      <c r="C5" s="339"/>
      <c r="D5" s="339"/>
      <c r="E5" s="339"/>
      <c r="F5" s="339"/>
      <c r="G5" s="339"/>
      <c r="H5" s="339"/>
      <c r="I5" s="339"/>
      <c r="J5" s="339"/>
      <c r="K5" s="339"/>
      <c r="L5" s="339"/>
      <c r="M5" s="339"/>
      <c r="N5" s="339"/>
      <c r="O5" s="339"/>
      <c r="P5" s="339"/>
      <c r="Q5" s="339"/>
      <c r="R5" s="339"/>
      <c r="S5" s="339"/>
      <c r="T5" s="339"/>
      <c r="U5" s="339"/>
      <c r="V5" s="339"/>
      <c r="W5" s="339"/>
      <c r="X5" s="339"/>
      <c r="Y5" s="339"/>
      <c r="Z5" s="339"/>
    </row>
    <row r="6" spans="1:28" ht="18.75" x14ac:dyDescent="0.25">
      <c r="A6" s="434" t="s">
        <v>9</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45"/>
      <c r="AB6" s="145"/>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45"/>
      <c r="AB7" s="145"/>
    </row>
    <row r="8" spans="1:28" ht="15.75" x14ac:dyDescent="0.25">
      <c r="A8" s="435" t="str">
        <f>'1. паспорт местоположение'!A9:C9</f>
        <v>АО "Янтарьэнерго"</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46"/>
      <c r="AB8" s="146"/>
    </row>
    <row r="9" spans="1:28" ht="15.75"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47"/>
      <c r="AB9" s="147"/>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45"/>
      <c r="AB10" s="145"/>
    </row>
    <row r="11" spans="1:28" ht="15.75" x14ac:dyDescent="0.25">
      <c r="A11" s="435" t="str">
        <f>'1. паспорт местоположение'!A12:C12</f>
        <v>Г</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46"/>
      <c r="AB11" s="146"/>
    </row>
    <row r="12" spans="1:28" ht="15.75"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47"/>
      <c r="AB12" s="147"/>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1"/>
      <c r="AB13" s="11"/>
    </row>
    <row r="14" spans="1:28" ht="15.75" x14ac:dyDescent="0.25">
      <c r="A14"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46"/>
      <c r="AB14" s="146"/>
    </row>
    <row r="15" spans="1:28" ht="15.75" x14ac:dyDescent="0.25">
      <c r="A15" s="427" t="s">
        <v>6</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47"/>
      <c r="AB15" s="147"/>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54"/>
      <c r="AB16" s="154"/>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54"/>
      <c r="AB17" s="154"/>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54"/>
      <c r="AB18" s="154"/>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54"/>
      <c r="AB19" s="154"/>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55"/>
      <c r="AB20" s="155"/>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55"/>
      <c r="AB21" s="155"/>
    </row>
    <row r="22" spans="1:28" x14ac:dyDescent="0.25">
      <c r="A22" s="466" t="s">
        <v>528</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56"/>
      <c r="AB22" s="156"/>
    </row>
    <row r="23" spans="1:28" ht="32.25" customHeight="1" x14ac:dyDescent="0.25">
      <c r="A23" s="468" t="s">
        <v>381</v>
      </c>
      <c r="B23" s="469"/>
      <c r="C23" s="469"/>
      <c r="D23" s="469"/>
      <c r="E23" s="469"/>
      <c r="F23" s="469"/>
      <c r="G23" s="469"/>
      <c r="H23" s="469"/>
      <c r="I23" s="469"/>
      <c r="J23" s="469"/>
      <c r="K23" s="469"/>
      <c r="L23" s="470"/>
      <c r="M23" s="467" t="s">
        <v>382</v>
      </c>
      <c r="N23" s="467"/>
      <c r="O23" s="467"/>
      <c r="P23" s="467"/>
      <c r="Q23" s="467"/>
      <c r="R23" s="467"/>
      <c r="S23" s="467"/>
      <c r="T23" s="467"/>
      <c r="U23" s="467"/>
      <c r="V23" s="467"/>
      <c r="W23" s="467"/>
      <c r="X23" s="467"/>
      <c r="Y23" s="467"/>
      <c r="Z23" s="467"/>
    </row>
    <row r="24" spans="1:28" ht="151.5" customHeight="1" x14ac:dyDescent="0.25">
      <c r="A24" s="97" t="s">
        <v>240</v>
      </c>
      <c r="B24" s="98" t="s">
        <v>269</v>
      </c>
      <c r="C24" s="97" t="s">
        <v>375</v>
      </c>
      <c r="D24" s="97" t="s">
        <v>241</v>
      </c>
      <c r="E24" s="97" t="s">
        <v>376</v>
      </c>
      <c r="F24" s="97" t="s">
        <v>378</v>
      </c>
      <c r="G24" s="97" t="s">
        <v>377</v>
      </c>
      <c r="H24" s="97" t="s">
        <v>242</v>
      </c>
      <c r="I24" s="97" t="s">
        <v>379</v>
      </c>
      <c r="J24" s="97" t="s">
        <v>274</v>
      </c>
      <c r="K24" s="98" t="s">
        <v>268</v>
      </c>
      <c r="L24" s="98" t="s">
        <v>243</v>
      </c>
      <c r="M24" s="99" t="s">
        <v>288</v>
      </c>
      <c r="N24" s="98" t="s">
        <v>539</v>
      </c>
      <c r="O24" s="97" t="s">
        <v>285</v>
      </c>
      <c r="P24" s="97" t="s">
        <v>286</v>
      </c>
      <c r="Q24" s="97" t="s">
        <v>284</v>
      </c>
      <c r="R24" s="97" t="s">
        <v>242</v>
      </c>
      <c r="S24" s="97" t="s">
        <v>283</v>
      </c>
      <c r="T24" s="97" t="s">
        <v>282</v>
      </c>
      <c r="U24" s="97" t="s">
        <v>374</v>
      </c>
      <c r="V24" s="97" t="s">
        <v>284</v>
      </c>
      <c r="W24" s="106" t="s">
        <v>267</v>
      </c>
      <c r="X24" s="106" t="s">
        <v>299</v>
      </c>
      <c r="Y24" s="106" t="s">
        <v>300</v>
      </c>
      <c r="Z24" s="108" t="s">
        <v>297</v>
      </c>
    </row>
    <row r="25" spans="1:28" ht="16.5" customHeight="1" x14ac:dyDescent="0.25">
      <c r="A25" s="97">
        <v>1</v>
      </c>
      <c r="B25" s="98">
        <v>2</v>
      </c>
      <c r="C25" s="97">
        <v>3</v>
      </c>
      <c r="D25" s="98">
        <v>4</v>
      </c>
      <c r="E25" s="97">
        <v>5</v>
      </c>
      <c r="F25" s="98">
        <v>6</v>
      </c>
      <c r="G25" s="97">
        <v>7</v>
      </c>
      <c r="H25" s="98">
        <v>8</v>
      </c>
      <c r="I25" s="97">
        <v>9</v>
      </c>
      <c r="J25" s="98">
        <v>10</v>
      </c>
      <c r="K25" s="157">
        <v>11</v>
      </c>
      <c r="L25" s="98">
        <v>12</v>
      </c>
      <c r="M25" s="157">
        <v>13</v>
      </c>
      <c r="N25" s="98">
        <v>14</v>
      </c>
      <c r="O25" s="157">
        <v>15</v>
      </c>
      <c r="P25" s="98">
        <v>16</v>
      </c>
      <c r="Q25" s="157">
        <v>17</v>
      </c>
      <c r="R25" s="98">
        <v>18</v>
      </c>
      <c r="S25" s="157">
        <v>19</v>
      </c>
      <c r="T25" s="98">
        <v>20</v>
      </c>
      <c r="U25" s="157">
        <v>21</v>
      </c>
      <c r="V25" s="98">
        <v>22</v>
      </c>
      <c r="W25" s="157">
        <v>23</v>
      </c>
      <c r="X25" s="98">
        <v>24</v>
      </c>
      <c r="Y25" s="157">
        <v>25</v>
      </c>
      <c r="Z25" s="98">
        <v>26</v>
      </c>
    </row>
    <row r="26" spans="1:28" ht="45.75" customHeight="1" x14ac:dyDescent="0.25">
      <c r="A26" s="90" t="s">
        <v>359</v>
      </c>
      <c r="B26" s="96"/>
      <c r="C26" s="92" t="s">
        <v>361</v>
      </c>
      <c r="D26" s="92" t="s">
        <v>362</v>
      </c>
      <c r="E26" s="92" t="s">
        <v>363</v>
      </c>
      <c r="F26" s="92" t="s">
        <v>279</v>
      </c>
      <c r="G26" s="92" t="s">
        <v>364</v>
      </c>
      <c r="H26" s="92" t="s">
        <v>242</v>
      </c>
      <c r="I26" s="92" t="s">
        <v>365</v>
      </c>
      <c r="J26" s="92" t="s">
        <v>366</v>
      </c>
      <c r="K26" s="89"/>
      <c r="L26" s="93" t="s">
        <v>265</v>
      </c>
      <c r="M26" s="95" t="s">
        <v>281</v>
      </c>
      <c r="N26" s="89"/>
      <c r="O26" s="89"/>
      <c r="P26" s="89"/>
      <c r="Q26" s="89"/>
      <c r="R26" s="89"/>
      <c r="S26" s="89"/>
      <c r="T26" s="89"/>
      <c r="U26" s="89"/>
      <c r="V26" s="89"/>
      <c r="W26" s="89"/>
      <c r="X26" s="89"/>
      <c r="Y26" s="89"/>
      <c r="Z26" s="91" t="s">
        <v>298</v>
      </c>
    </row>
    <row r="27" spans="1:28" x14ac:dyDescent="0.25">
      <c r="A27" s="89" t="s">
        <v>244</v>
      </c>
      <c r="B27" s="89" t="s">
        <v>270</v>
      </c>
      <c r="C27" s="89" t="s">
        <v>249</v>
      </c>
      <c r="D27" s="89" t="s">
        <v>250</v>
      </c>
      <c r="E27" s="89" t="s">
        <v>289</v>
      </c>
      <c r="F27" s="92" t="s">
        <v>245</v>
      </c>
      <c r="G27" s="92" t="s">
        <v>293</v>
      </c>
      <c r="H27" s="89" t="s">
        <v>242</v>
      </c>
      <c r="I27" s="92" t="s">
        <v>275</v>
      </c>
      <c r="J27" s="92" t="s">
        <v>257</v>
      </c>
      <c r="K27" s="93" t="s">
        <v>261</v>
      </c>
      <c r="L27" s="89"/>
      <c r="M27" s="93" t="s">
        <v>287</v>
      </c>
      <c r="N27" s="89"/>
      <c r="O27" s="89"/>
      <c r="P27" s="89"/>
      <c r="Q27" s="89"/>
      <c r="R27" s="89"/>
      <c r="S27" s="89"/>
      <c r="T27" s="89"/>
      <c r="U27" s="89"/>
      <c r="V27" s="89"/>
      <c r="W27" s="89"/>
      <c r="X27" s="89"/>
      <c r="Y27" s="89"/>
      <c r="Z27" s="89"/>
    </row>
    <row r="28" spans="1:28" x14ac:dyDescent="0.25">
      <c r="A28" s="89" t="s">
        <v>244</v>
      </c>
      <c r="B28" s="89" t="s">
        <v>271</v>
      </c>
      <c r="C28" s="89" t="s">
        <v>251</v>
      </c>
      <c r="D28" s="89" t="s">
        <v>252</v>
      </c>
      <c r="E28" s="89" t="s">
        <v>290</v>
      </c>
      <c r="F28" s="92" t="s">
        <v>246</v>
      </c>
      <c r="G28" s="92" t="s">
        <v>294</v>
      </c>
      <c r="H28" s="89" t="s">
        <v>242</v>
      </c>
      <c r="I28" s="92" t="s">
        <v>276</v>
      </c>
      <c r="J28" s="92" t="s">
        <v>258</v>
      </c>
      <c r="K28" s="93" t="s">
        <v>262</v>
      </c>
      <c r="L28" s="94"/>
      <c r="M28" s="93" t="s">
        <v>0</v>
      </c>
      <c r="N28" s="93"/>
      <c r="O28" s="93"/>
      <c r="P28" s="93"/>
      <c r="Q28" s="93"/>
      <c r="R28" s="93"/>
      <c r="S28" s="93"/>
      <c r="T28" s="93"/>
      <c r="U28" s="93"/>
      <c r="V28" s="93"/>
      <c r="W28" s="93"/>
      <c r="X28" s="93"/>
      <c r="Y28" s="93"/>
      <c r="Z28" s="93"/>
    </row>
    <row r="29" spans="1:28" x14ac:dyDescent="0.25">
      <c r="A29" s="89" t="s">
        <v>244</v>
      </c>
      <c r="B29" s="89" t="s">
        <v>272</v>
      </c>
      <c r="C29" s="89" t="s">
        <v>253</v>
      </c>
      <c r="D29" s="89" t="s">
        <v>254</v>
      </c>
      <c r="E29" s="89" t="s">
        <v>291</v>
      </c>
      <c r="F29" s="92" t="s">
        <v>247</v>
      </c>
      <c r="G29" s="92" t="s">
        <v>295</v>
      </c>
      <c r="H29" s="89" t="s">
        <v>242</v>
      </c>
      <c r="I29" s="92" t="s">
        <v>277</v>
      </c>
      <c r="J29" s="92" t="s">
        <v>259</v>
      </c>
      <c r="K29" s="93" t="s">
        <v>263</v>
      </c>
      <c r="L29" s="94"/>
      <c r="M29" s="89"/>
      <c r="N29" s="89"/>
      <c r="O29" s="89"/>
      <c r="P29" s="89"/>
      <c r="Q29" s="89"/>
      <c r="R29" s="89"/>
      <c r="S29" s="89"/>
      <c r="T29" s="89"/>
      <c r="U29" s="89"/>
      <c r="V29" s="89"/>
      <c r="W29" s="89"/>
      <c r="X29" s="89"/>
      <c r="Y29" s="89"/>
      <c r="Z29" s="89"/>
    </row>
    <row r="30" spans="1:28" x14ac:dyDescent="0.25">
      <c r="A30" s="89" t="s">
        <v>244</v>
      </c>
      <c r="B30" s="89" t="s">
        <v>273</v>
      </c>
      <c r="C30" s="89" t="s">
        <v>255</v>
      </c>
      <c r="D30" s="89" t="s">
        <v>256</v>
      </c>
      <c r="E30" s="89" t="s">
        <v>292</v>
      </c>
      <c r="F30" s="92" t="s">
        <v>248</v>
      </c>
      <c r="G30" s="92" t="s">
        <v>296</v>
      </c>
      <c r="H30" s="89" t="s">
        <v>242</v>
      </c>
      <c r="I30" s="92" t="s">
        <v>278</v>
      </c>
      <c r="J30" s="92" t="s">
        <v>260</v>
      </c>
      <c r="K30" s="93" t="s">
        <v>264</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360</v>
      </c>
      <c r="B32" s="96"/>
      <c r="C32" s="92" t="s">
        <v>367</v>
      </c>
      <c r="D32" s="92" t="s">
        <v>368</v>
      </c>
      <c r="E32" s="92" t="s">
        <v>369</v>
      </c>
      <c r="F32" s="92" t="s">
        <v>370</v>
      </c>
      <c r="G32" s="92" t="s">
        <v>371</v>
      </c>
      <c r="H32" s="92" t="s">
        <v>242</v>
      </c>
      <c r="I32" s="92" t="s">
        <v>372</v>
      </c>
      <c r="J32" s="92" t="s">
        <v>373</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26" t="str">
        <f>'1. паспорт местоположение'!A5:C5</f>
        <v>Год раскрытия информации: 2018 год</v>
      </c>
      <c r="B5" s="426"/>
      <c r="C5" s="426"/>
      <c r="D5" s="426"/>
      <c r="E5" s="426"/>
      <c r="F5" s="426"/>
      <c r="G5" s="426"/>
      <c r="H5" s="426"/>
      <c r="I5" s="426"/>
      <c r="J5" s="426"/>
      <c r="K5" s="426"/>
      <c r="L5" s="426"/>
      <c r="M5" s="426"/>
      <c r="N5" s="426"/>
      <c r="O5" s="426"/>
      <c r="P5" s="153"/>
      <c r="Q5" s="153"/>
      <c r="R5" s="153"/>
      <c r="S5" s="153"/>
      <c r="T5" s="153"/>
      <c r="U5" s="153"/>
      <c r="V5" s="153"/>
      <c r="W5" s="153"/>
      <c r="X5" s="153"/>
      <c r="Y5" s="153"/>
      <c r="Z5" s="153"/>
      <c r="AA5" s="153"/>
      <c r="AB5" s="153"/>
    </row>
    <row r="6" spans="1:28" s="12" customFormat="1" ht="18.75" x14ac:dyDescent="0.3">
      <c r="A6" s="332"/>
      <c r="B6" s="332"/>
      <c r="C6" s="18"/>
      <c r="D6" s="18"/>
      <c r="E6" s="18"/>
      <c r="F6" s="18"/>
      <c r="G6" s="18"/>
      <c r="H6" s="18"/>
      <c r="I6" s="18"/>
      <c r="J6" s="18"/>
      <c r="K6" s="18"/>
      <c r="L6" s="15"/>
      <c r="M6" s="18"/>
      <c r="N6" s="18"/>
      <c r="O6" s="18"/>
    </row>
    <row r="7" spans="1:28" s="12" customFormat="1" ht="18.75" x14ac:dyDescent="0.2">
      <c r="A7" s="434" t="s">
        <v>9</v>
      </c>
      <c r="B7" s="434"/>
      <c r="C7" s="434"/>
      <c r="D7" s="434"/>
      <c r="E7" s="434"/>
      <c r="F7" s="434"/>
      <c r="G7" s="434"/>
      <c r="H7" s="434"/>
      <c r="I7" s="434"/>
      <c r="J7" s="434"/>
      <c r="K7" s="434"/>
      <c r="L7" s="434"/>
      <c r="M7" s="434"/>
      <c r="N7" s="434"/>
      <c r="O7" s="434"/>
      <c r="P7" s="13"/>
      <c r="Q7" s="13"/>
      <c r="R7" s="13"/>
      <c r="S7" s="13"/>
      <c r="T7" s="13"/>
      <c r="U7" s="13"/>
      <c r="V7" s="13"/>
      <c r="W7" s="13"/>
      <c r="X7" s="13"/>
      <c r="Y7" s="13"/>
      <c r="Z7" s="13"/>
    </row>
    <row r="8" spans="1:28" s="12" customFormat="1" ht="18.75" x14ac:dyDescent="0.2">
      <c r="A8" s="434"/>
      <c r="B8" s="434"/>
      <c r="C8" s="434"/>
      <c r="D8" s="434"/>
      <c r="E8" s="434"/>
      <c r="F8" s="434"/>
      <c r="G8" s="434"/>
      <c r="H8" s="434"/>
      <c r="I8" s="434"/>
      <c r="J8" s="434"/>
      <c r="K8" s="434"/>
      <c r="L8" s="434"/>
      <c r="M8" s="434"/>
      <c r="N8" s="434"/>
      <c r="O8" s="434"/>
      <c r="P8" s="13"/>
      <c r="Q8" s="13"/>
      <c r="R8" s="13"/>
      <c r="S8" s="13"/>
      <c r="T8" s="13"/>
      <c r="U8" s="13"/>
      <c r="V8" s="13"/>
      <c r="W8" s="13"/>
      <c r="X8" s="13"/>
      <c r="Y8" s="13"/>
      <c r="Z8" s="13"/>
    </row>
    <row r="9" spans="1:28" s="12" customFormat="1" ht="18.75" x14ac:dyDescent="0.2">
      <c r="A9" s="435" t="str">
        <f>'1. паспорт местоположение'!A9:C9</f>
        <v>АО "Янтарьэнерго"</v>
      </c>
      <c r="B9" s="435"/>
      <c r="C9" s="435"/>
      <c r="D9" s="435"/>
      <c r="E9" s="435"/>
      <c r="F9" s="435"/>
      <c r="G9" s="435"/>
      <c r="H9" s="435"/>
      <c r="I9" s="435"/>
      <c r="J9" s="435"/>
      <c r="K9" s="435"/>
      <c r="L9" s="435"/>
      <c r="M9" s="435"/>
      <c r="N9" s="435"/>
      <c r="O9" s="435"/>
      <c r="P9" s="13"/>
      <c r="Q9" s="13"/>
      <c r="R9" s="13"/>
      <c r="S9" s="13"/>
      <c r="T9" s="13"/>
      <c r="U9" s="13"/>
      <c r="V9" s="13"/>
      <c r="W9" s="13"/>
      <c r="X9" s="13"/>
      <c r="Y9" s="13"/>
      <c r="Z9" s="13"/>
    </row>
    <row r="10" spans="1:28" s="12" customFormat="1" ht="18.75" x14ac:dyDescent="0.2">
      <c r="A10" s="439" t="s">
        <v>8</v>
      </c>
      <c r="B10" s="439"/>
      <c r="C10" s="439"/>
      <c r="D10" s="439"/>
      <c r="E10" s="439"/>
      <c r="F10" s="439"/>
      <c r="G10" s="439"/>
      <c r="H10" s="439"/>
      <c r="I10" s="439"/>
      <c r="J10" s="439"/>
      <c r="K10" s="439"/>
      <c r="L10" s="439"/>
      <c r="M10" s="439"/>
      <c r="N10" s="439"/>
      <c r="O10" s="439"/>
      <c r="P10" s="13"/>
      <c r="Q10" s="13"/>
      <c r="R10" s="13"/>
      <c r="S10" s="13"/>
      <c r="T10" s="13"/>
      <c r="U10" s="13"/>
      <c r="V10" s="13"/>
      <c r="W10" s="13"/>
      <c r="X10" s="13"/>
      <c r="Y10" s="13"/>
      <c r="Z10" s="13"/>
    </row>
    <row r="11" spans="1:28" s="12" customFormat="1" ht="18.75" x14ac:dyDescent="0.2">
      <c r="A11" s="434"/>
      <c r="B11" s="434"/>
      <c r="C11" s="434"/>
      <c r="D11" s="434"/>
      <c r="E11" s="434"/>
      <c r="F11" s="434"/>
      <c r="G11" s="434"/>
      <c r="H11" s="434"/>
      <c r="I11" s="434"/>
      <c r="J11" s="434"/>
      <c r="K11" s="434"/>
      <c r="L11" s="434"/>
      <c r="M11" s="434"/>
      <c r="N11" s="434"/>
      <c r="O11" s="434"/>
      <c r="P11" s="13"/>
      <c r="Q11" s="13"/>
      <c r="R11" s="13"/>
      <c r="S11" s="13"/>
      <c r="T11" s="13"/>
      <c r="U11" s="13"/>
      <c r="V11" s="13"/>
      <c r="W11" s="13"/>
      <c r="X11" s="13"/>
      <c r="Y11" s="13"/>
      <c r="Z11" s="13"/>
    </row>
    <row r="12" spans="1:28" s="12" customFormat="1" ht="18.75" x14ac:dyDescent="0.2">
      <c r="A12" s="435" t="str">
        <f>'1. паспорт местоположение'!A12:C12</f>
        <v>Г</v>
      </c>
      <c r="B12" s="435"/>
      <c r="C12" s="435"/>
      <c r="D12" s="435"/>
      <c r="E12" s="435"/>
      <c r="F12" s="435"/>
      <c r="G12" s="435"/>
      <c r="H12" s="435"/>
      <c r="I12" s="435"/>
      <c r="J12" s="435"/>
      <c r="K12" s="435"/>
      <c r="L12" s="435"/>
      <c r="M12" s="435"/>
      <c r="N12" s="435"/>
      <c r="O12" s="435"/>
      <c r="P12" s="13"/>
      <c r="Q12" s="13"/>
      <c r="R12" s="13"/>
      <c r="S12" s="13"/>
      <c r="T12" s="13"/>
      <c r="U12" s="13"/>
      <c r="V12" s="13"/>
      <c r="W12" s="13"/>
      <c r="X12" s="13"/>
      <c r="Y12" s="13"/>
      <c r="Z12" s="13"/>
    </row>
    <row r="13" spans="1:28" s="12" customFormat="1" ht="18.75" x14ac:dyDescent="0.2">
      <c r="A13" s="439" t="s">
        <v>7</v>
      </c>
      <c r="B13" s="439"/>
      <c r="C13" s="439"/>
      <c r="D13" s="439"/>
      <c r="E13" s="439"/>
      <c r="F13" s="439"/>
      <c r="G13" s="439"/>
      <c r="H13" s="439"/>
      <c r="I13" s="439"/>
      <c r="J13" s="439"/>
      <c r="K13" s="439"/>
      <c r="L13" s="439"/>
      <c r="M13" s="439"/>
      <c r="N13" s="439"/>
      <c r="O13" s="439"/>
      <c r="P13" s="13"/>
      <c r="Q13" s="13"/>
      <c r="R13" s="13"/>
      <c r="S13" s="13"/>
      <c r="T13" s="13"/>
      <c r="U13" s="13"/>
      <c r="V13" s="13"/>
      <c r="W13" s="13"/>
      <c r="X13" s="13"/>
      <c r="Y13" s="13"/>
      <c r="Z13" s="13"/>
    </row>
    <row r="14" spans="1:28" s="9" customFormat="1" ht="15.75" customHeight="1" x14ac:dyDescent="0.2">
      <c r="A14" s="440"/>
      <c r="B14" s="440"/>
      <c r="C14" s="440"/>
      <c r="D14" s="440"/>
      <c r="E14" s="440"/>
      <c r="F14" s="440"/>
      <c r="G14" s="440"/>
      <c r="H14" s="440"/>
      <c r="I14" s="440"/>
      <c r="J14" s="440"/>
      <c r="K14" s="440"/>
      <c r="L14" s="440"/>
      <c r="M14" s="440"/>
      <c r="N14" s="440"/>
      <c r="O14" s="440"/>
      <c r="P14" s="10"/>
      <c r="Q14" s="10"/>
      <c r="R14" s="10"/>
      <c r="S14" s="10"/>
      <c r="T14" s="10"/>
      <c r="U14" s="10"/>
      <c r="V14" s="10"/>
      <c r="W14" s="10"/>
      <c r="X14" s="10"/>
      <c r="Y14" s="10"/>
      <c r="Z14" s="10"/>
    </row>
    <row r="15" spans="1:28" s="3" customFormat="1" ht="15.75" x14ac:dyDescent="0.2">
      <c r="A15"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35"/>
      <c r="C15" s="435"/>
      <c r="D15" s="435"/>
      <c r="E15" s="435"/>
      <c r="F15" s="435"/>
      <c r="G15" s="435"/>
      <c r="H15" s="435"/>
      <c r="I15" s="435"/>
      <c r="J15" s="435"/>
      <c r="K15" s="435"/>
      <c r="L15" s="435"/>
      <c r="M15" s="435"/>
      <c r="N15" s="435"/>
      <c r="O15" s="435"/>
      <c r="P15" s="8"/>
      <c r="Q15" s="8"/>
      <c r="R15" s="8"/>
      <c r="S15" s="8"/>
      <c r="T15" s="8"/>
      <c r="U15" s="8"/>
      <c r="V15" s="8"/>
      <c r="W15" s="8"/>
      <c r="X15" s="8"/>
      <c r="Y15" s="8"/>
      <c r="Z15" s="8"/>
    </row>
    <row r="16" spans="1:28" s="3" customFormat="1" ht="15" customHeight="1" x14ac:dyDescent="0.2">
      <c r="A16" s="427" t="s">
        <v>6</v>
      </c>
      <c r="B16" s="427"/>
      <c r="C16" s="427"/>
      <c r="D16" s="427"/>
      <c r="E16" s="427"/>
      <c r="F16" s="427"/>
      <c r="G16" s="427"/>
      <c r="H16" s="427"/>
      <c r="I16" s="427"/>
      <c r="J16" s="427"/>
      <c r="K16" s="427"/>
      <c r="L16" s="427"/>
      <c r="M16" s="427"/>
      <c r="N16" s="427"/>
      <c r="O16" s="427"/>
      <c r="P16" s="6"/>
      <c r="Q16" s="6"/>
      <c r="R16" s="6"/>
      <c r="S16" s="6"/>
      <c r="T16" s="6"/>
      <c r="U16" s="6"/>
      <c r="V16" s="6"/>
      <c r="W16" s="6"/>
      <c r="X16" s="6"/>
      <c r="Y16" s="6"/>
      <c r="Z16" s="6"/>
    </row>
    <row r="17" spans="1:26" s="3" customFormat="1" ht="15" customHeight="1" x14ac:dyDescent="0.2">
      <c r="A17" s="441"/>
      <c r="B17" s="441"/>
      <c r="C17" s="441"/>
      <c r="D17" s="441"/>
      <c r="E17" s="441"/>
      <c r="F17" s="441"/>
      <c r="G17" s="441"/>
      <c r="H17" s="441"/>
      <c r="I17" s="441"/>
      <c r="J17" s="441"/>
      <c r="K17" s="441"/>
      <c r="L17" s="441"/>
      <c r="M17" s="441"/>
      <c r="N17" s="441"/>
      <c r="O17" s="441"/>
      <c r="P17" s="4"/>
      <c r="Q17" s="4"/>
      <c r="R17" s="4"/>
      <c r="S17" s="4"/>
      <c r="T17" s="4"/>
      <c r="U17" s="4"/>
      <c r="V17" s="4"/>
      <c r="W17" s="4"/>
    </row>
    <row r="18" spans="1:26" s="3" customFormat="1" ht="91.5" customHeight="1" x14ac:dyDescent="0.2">
      <c r="A18" s="472" t="s">
        <v>505</v>
      </c>
      <c r="B18" s="472"/>
      <c r="C18" s="472"/>
      <c r="D18" s="472"/>
      <c r="E18" s="472"/>
      <c r="F18" s="472"/>
      <c r="G18" s="472"/>
      <c r="H18" s="472"/>
      <c r="I18" s="472"/>
      <c r="J18" s="472"/>
      <c r="K18" s="472"/>
      <c r="L18" s="472"/>
      <c r="M18" s="472"/>
      <c r="N18" s="472"/>
      <c r="O18" s="472"/>
      <c r="P18" s="7"/>
      <c r="Q18" s="7"/>
      <c r="R18" s="7"/>
      <c r="S18" s="7"/>
      <c r="T18" s="7"/>
      <c r="U18" s="7"/>
      <c r="V18" s="7"/>
      <c r="W18" s="7"/>
      <c r="X18" s="7"/>
      <c r="Y18" s="7"/>
      <c r="Z18" s="7"/>
    </row>
    <row r="19" spans="1:26" s="3" customFormat="1" ht="78" customHeight="1" x14ac:dyDescent="0.2">
      <c r="A19" s="433" t="s">
        <v>5</v>
      </c>
      <c r="B19" s="433" t="s">
        <v>87</v>
      </c>
      <c r="C19" s="433" t="s">
        <v>86</v>
      </c>
      <c r="D19" s="433" t="s">
        <v>75</v>
      </c>
      <c r="E19" s="473" t="s">
        <v>85</v>
      </c>
      <c r="F19" s="474"/>
      <c r="G19" s="474"/>
      <c r="H19" s="474"/>
      <c r="I19" s="475"/>
      <c r="J19" s="433" t="s">
        <v>84</v>
      </c>
      <c r="K19" s="433"/>
      <c r="L19" s="433"/>
      <c r="M19" s="433"/>
      <c r="N19" s="433"/>
      <c r="O19" s="433"/>
      <c r="P19" s="4"/>
      <c r="Q19" s="4"/>
      <c r="R19" s="4"/>
      <c r="S19" s="4"/>
      <c r="T19" s="4"/>
      <c r="U19" s="4"/>
      <c r="V19" s="4"/>
      <c r="W19" s="4"/>
    </row>
    <row r="20" spans="1:26" s="3" customFormat="1" ht="51" customHeight="1" x14ac:dyDescent="0.2">
      <c r="A20" s="433"/>
      <c r="B20" s="433"/>
      <c r="C20" s="433"/>
      <c r="D20" s="433"/>
      <c r="E20" s="42" t="s">
        <v>83</v>
      </c>
      <c r="F20" s="42" t="s">
        <v>82</v>
      </c>
      <c r="G20" s="42" t="s">
        <v>81</v>
      </c>
      <c r="H20" s="42" t="s">
        <v>80</v>
      </c>
      <c r="I20" s="42" t="s">
        <v>79</v>
      </c>
      <c r="J20" s="42" t="s">
        <v>78</v>
      </c>
      <c r="K20" s="42" t="s">
        <v>4</v>
      </c>
      <c r="L20" s="50" t="s">
        <v>3</v>
      </c>
      <c r="M20" s="49" t="s">
        <v>238</v>
      </c>
      <c r="N20" s="49" t="s">
        <v>77</v>
      </c>
      <c r="O20" s="49" t="s">
        <v>76</v>
      </c>
      <c r="P20" s="32"/>
      <c r="Q20" s="32"/>
      <c r="R20" s="32"/>
      <c r="S20" s="32"/>
      <c r="T20" s="32"/>
      <c r="U20" s="32"/>
      <c r="V20" s="32"/>
      <c r="W20" s="32"/>
      <c r="X20" s="31"/>
      <c r="Y20" s="31"/>
      <c r="Z20" s="31"/>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2"/>
      <c r="Q21" s="32"/>
      <c r="R21" s="32"/>
      <c r="S21" s="32"/>
      <c r="T21" s="32"/>
      <c r="U21" s="32"/>
      <c r="V21" s="32"/>
      <c r="W21" s="32"/>
      <c r="X21" s="31"/>
      <c r="Y21" s="31"/>
      <c r="Z21" s="31"/>
    </row>
    <row r="22" spans="1:26" s="3" customFormat="1" ht="33" customHeight="1" x14ac:dyDescent="0.2">
      <c r="A22" s="46" t="s">
        <v>64</v>
      </c>
      <c r="B22" s="48" t="s">
        <v>1043</v>
      </c>
      <c r="C22" s="34"/>
      <c r="D22" s="34"/>
      <c r="E22" s="34"/>
      <c r="F22" s="34"/>
      <c r="G22" s="34"/>
      <c r="H22" s="34"/>
      <c r="I22" s="34"/>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B122" sqref="B122"/>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41" t="s">
        <v>68</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76" t="str">
        <f>'4. паспортбюджет'!A5:O5</f>
        <v>Год раскрытия информации: 2018 год</v>
      </c>
      <c r="B5" s="476"/>
      <c r="C5" s="476"/>
      <c r="D5" s="476"/>
      <c r="E5" s="476"/>
      <c r="F5" s="476"/>
      <c r="G5" s="476"/>
      <c r="H5" s="476"/>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30" t="str">
        <f>'[2]1. паспорт местоположение'!A7:C7</f>
        <v xml:space="preserve">Паспорт инвестиционного проекта </v>
      </c>
      <c r="B7" s="430"/>
      <c r="C7" s="430"/>
      <c r="D7" s="430"/>
      <c r="E7" s="430"/>
      <c r="F7" s="430"/>
      <c r="G7" s="430"/>
      <c r="H7" s="430"/>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83"/>
      <c r="AR7" s="183"/>
    </row>
    <row r="8" spans="1:44" ht="18.75" x14ac:dyDescent="0.2">
      <c r="A8" s="163"/>
      <c r="B8" s="163"/>
      <c r="C8" s="163"/>
      <c r="D8" s="163"/>
      <c r="E8" s="163"/>
      <c r="F8" s="163"/>
      <c r="G8" s="163"/>
      <c r="H8" s="163"/>
      <c r="I8" s="163"/>
      <c r="J8" s="163"/>
      <c r="K8" s="163"/>
      <c r="L8" s="145"/>
      <c r="M8" s="145"/>
      <c r="N8" s="145"/>
      <c r="O8" s="145"/>
      <c r="P8" s="145"/>
      <c r="Q8" s="145"/>
      <c r="R8" s="145"/>
      <c r="S8" s="145"/>
      <c r="T8" s="145"/>
      <c r="U8" s="145"/>
      <c r="V8" s="145"/>
      <c r="W8" s="145"/>
      <c r="X8" s="145"/>
      <c r="Y8" s="145"/>
      <c r="Z8" s="12"/>
      <c r="AA8" s="12"/>
      <c r="AB8" s="12"/>
      <c r="AC8" s="12"/>
      <c r="AD8" s="12"/>
      <c r="AE8" s="12"/>
      <c r="AF8" s="12"/>
      <c r="AG8" s="12"/>
      <c r="AH8" s="12"/>
      <c r="AI8" s="12"/>
      <c r="AJ8" s="12"/>
      <c r="AK8" s="12"/>
      <c r="AL8" s="12"/>
      <c r="AM8" s="12"/>
      <c r="AN8" s="12"/>
      <c r="AO8" s="12"/>
      <c r="AP8" s="12"/>
      <c r="AQ8" s="180"/>
      <c r="AR8" s="180"/>
    </row>
    <row r="9" spans="1:44" ht="18.75" x14ac:dyDescent="0.2">
      <c r="A9" s="429" t="str">
        <f>'1. паспорт местоположение'!A9:C9</f>
        <v>АО "Янтарьэнерго"</v>
      </c>
      <c r="B9" s="429"/>
      <c r="C9" s="429"/>
      <c r="D9" s="429"/>
      <c r="E9" s="429"/>
      <c r="F9" s="429"/>
      <c r="G9" s="429"/>
      <c r="H9" s="429"/>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84"/>
      <c r="AR9" s="184"/>
    </row>
    <row r="10" spans="1:44" x14ac:dyDescent="0.2">
      <c r="A10" s="427" t="s">
        <v>8</v>
      </c>
      <c r="B10" s="427"/>
      <c r="C10" s="427"/>
      <c r="D10" s="427"/>
      <c r="E10" s="427"/>
      <c r="F10" s="427"/>
      <c r="G10" s="427"/>
      <c r="H10" s="42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85"/>
      <c r="AR10" s="185"/>
    </row>
    <row r="11" spans="1:44" ht="18.75" x14ac:dyDescent="0.2">
      <c r="A11" s="163"/>
      <c r="B11" s="163"/>
      <c r="C11" s="163"/>
      <c r="D11" s="163"/>
      <c r="E11" s="163"/>
      <c r="F11" s="163"/>
      <c r="G11" s="163"/>
      <c r="H11" s="163"/>
      <c r="I11" s="163"/>
      <c r="J11" s="163"/>
      <c r="K11" s="163"/>
      <c r="L11" s="145"/>
      <c r="M11" s="145"/>
      <c r="N11" s="145"/>
      <c r="O11" s="145"/>
      <c r="P11" s="145"/>
      <c r="Q11" s="145"/>
      <c r="R11" s="145"/>
      <c r="S11" s="145"/>
      <c r="T11" s="145"/>
      <c r="U11" s="145"/>
      <c r="V11" s="145"/>
      <c r="W11" s="145"/>
      <c r="X11" s="145"/>
      <c r="Y11" s="145"/>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29" t="str">
        <f>'1. паспорт местоположение'!A12:C12</f>
        <v>Г</v>
      </c>
      <c r="B12" s="429"/>
      <c r="C12" s="429"/>
      <c r="D12" s="429"/>
      <c r="E12" s="429"/>
      <c r="F12" s="429"/>
      <c r="G12" s="429"/>
      <c r="H12" s="429"/>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84"/>
      <c r="AR12" s="184"/>
    </row>
    <row r="13" spans="1:44" x14ac:dyDescent="0.2">
      <c r="A13" s="427" t="s">
        <v>7</v>
      </c>
      <c r="B13" s="427"/>
      <c r="C13" s="427"/>
      <c r="D13" s="427"/>
      <c r="E13" s="427"/>
      <c r="F13" s="427"/>
      <c r="G13" s="427"/>
      <c r="H13" s="42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85"/>
      <c r="AR13" s="185"/>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9"/>
      <c r="AA14" s="9"/>
      <c r="AB14" s="9"/>
      <c r="AC14" s="9"/>
      <c r="AD14" s="9"/>
      <c r="AE14" s="9"/>
      <c r="AF14" s="9"/>
      <c r="AG14" s="9"/>
      <c r="AH14" s="9"/>
      <c r="AI14" s="9"/>
      <c r="AJ14" s="9"/>
      <c r="AK14" s="9"/>
      <c r="AL14" s="9"/>
      <c r="AM14" s="9"/>
      <c r="AN14" s="9"/>
      <c r="AO14" s="9"/>
      <c r="AP14" s="9"/>
      <c r="AQ14" s="186"/>
      <c r="AR14" s="186"/>
    </row>
    <row r="15" spans="1:44" ht="18.75" x14ac:dyDescent="0.2">
      <c r="A15" s="42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28"/>
      <c r="C15" s="428"/>
      <c r="D15" s="428"/>
      <c r="E15" s="428"/>
      <c r="F15" s="428"/>
      <c r="G15" s="428"/>
      <c r="H15" s="428"/>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84"/>
      <c r="AR15" s="184"/>
    </row>
    <row r="16" spans="1:44" x14ac:dyDescent="0.2">
      <c r="A16" s="427" t="s">
        <v>6</v>
      </c>
      <c r="B16" s="427"/>
      <c r="C16" s="427"/>
      <c r="D16" s="427"/>
      <c r="E16" s="427"/>
      <c r="F16" s="427"/>
      <c r="G16" s="427"/>
      <c r="H16" s="42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85"/>
      <c r="AR16" s="185"/>
    </row>
    <row r="17" spans="1:44" ht="18.75"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29" t="s">
        <v>506</v>
      </c>
      <c r="B18" s="429"/>
      <c r="C18" s="429"/>
      <c r="D18" s="429"/>
      <c r="E18" s="429"/>
      <c r="F18" s="429"/>
      <c r="G18" s="429"/>
      <c r="H18" s="42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355</v>
      </c>
      <c r="B24" s="194" t="s">
        <v>1</v>
      </c>
      <c r="D24" s="195"/>
      <c r="E24" s="196"/>
      <c r="F24" s="196"/>
      <c r="G24" s="196"/>
      <c r="H24" s="196"/>
    </row>
    <row r="25" spans="1:44" x14ac:dyDescent="0.2">
      <c r="A25" s="197" t="s">
        <v>552</v>
      </c>
      <c r="B25" s="198">
        <f>$B$126/1.18</f>
        <v>2522469004.2276397</v>
      </c>
    </row>
    <row r="26" spans="1:44" x14ac:dyDescent="0.2">
      <c r="A26" s="199" t="s">
        <v>353</v>
      </c>
      <c r="B26" s="200">
        <v>0</v>
      </c>
    </row>
    <row r="27" spans="1:44" x14ac:dyDescent="0.2">
      <c r="A27" s="199" t="s">
        <v>351</v>
      </c>
      <c r="B27" s="200">
        <f>$B$123</f>
        <v>25</v>
      </c>
      <c r="D27" s="192" t="s">
        <v>354</v>
      </c>
    </row>
    <row r="28" spans="1:44" ht="16.149999999999999" customHeight="1" thickBot="1" x14ac:dyDescent="0.25">
      <c r="A28" s="201" t="s">
        <v>349</v>
      </c>
      <c r="B28" s="202">
        <v>1</v>
      </c>
      <c r="D28" s="479" t="s">
        <v>352</v>
      </c>
      <c r="E28" s="480"/>
      <c r="F28" s="481"/>
      <c r="G28" s="482">
        <f>IF(SUM(B89:L89)=0,"не окупается",SUM(B89:L89))</f>
        <v>3.7960616392152393</v>
      </c>
      <c r="H28" s="483"/>
    </row>
    <row r="29" spans="1:44" ht="15.6" customHeight="1" x14ac:dyDescent="0.2">
      <c r="A29" s="197" t="s">
        <v>347</v>
      </c>
      <c r="B29" s="198">
        <f>$B$126*$B$127</f>
        <v>29765134.249886148</v>
      </c>
      <c r="D29" s="479" t="s">
        <v>350</v>
      </c>
      <c r="E29" s="480"/>
      <c r="F29" s="481"/>
      <c r="G29" s="482">
        <f>IF(SUM(B90:L90)=0,"не окупается",SUM(B90:L90))</f>
        <v>4.9417532198225214</v>
      </c>
      <c r="H29" s="483"/>
    </row>
    <row r="30" spans="1:44" ht="27.6" customHeight="1" x14ac:dyDescent="0.2">
      <c r="A30" s="199" t="s">
        <v>553</v>
      </c>
      <c r="B30" s="200">
        <v>1</v>
      </c>
      <c r="D30" s="479" t="s">
        <v>348</v>
      </c>
      <c r="E30" s="480"/>
      <c r="F30" s="481"/>
      <c r="G30" s="484">
        <f>L87</f>
        <v>611784151.87921405</v>
      </c>
      <c r="H30" s="485"/>
    </row>
    <row r="31" spans="1:44" x14ac:dyDescent="0.2">
      <c r="A31" s="199" t="s">
        <v>346</v>
      </c>
      <c r="B31" s="200">
        <v>1</v>
      </c>
      <c r="D31" s="486"/>
      <c r="E31" s="487"/>
      <c r="F31" s="488"/>
      <c r="G31" s="486"/>
      <c r="H31" s="488"/>
    </row>
    <row r="32" spans="1:44" x14ac:dyDescent="0.2">
      <c r="A32" s="199" t="s">
        <v>324</v>
      </c>
      <c r="B32" s="200"/>
    </row>
    <row r="33" spans="1:42" x14ac:dyDescent="0.2">
      <c r="A33" s="199" t="s">
        <v>345</v>
      </c>
      <c r="B33" s="200"/>
    </row>
    <row r="34" spans="1:42" x14ac:dyDescent="0.2">
      <c r="A34" s="199" t="s">
        <v>344</v>
      </c>
      <c r="B34" s="200"/>
    </row>
    <row r="35" spans="1:42" x14ac:dyDescent="0.2">
      <c r="A35" s="203"/>
      <c r="B35" s="200"/>
    </row>
    <row r="36" spans="1:42" ht="16.5" thickBot="1" x14ac:dyDescent="0.25">
      <c r="A36" s="201" t="s">
        <v>316</v>
      </c>
      <c r="B36" s="204">
        <v>0.2</v>
      </c>
    </row>
    <row r="37" spans="1:42" x14ac:dyDescent="0.2">
      <c r="A37" s="197" t="s">
        <v>554</v>
      </c>
      <c r="B37" s="198">
        <v>0</v>
      </c>
    </row>
    <row r="38" spans="1:42" x14ac:dyDescent="0.2">
      <c r="A38" s="199" t="s">
        <v>343</v>
      </c>
      <c r="B38" s="200"/>
    </row>
    <row r="39" spans="1:42" ht="16.5" thickBot="1" x14ac:dyDescent="0.25">
      <c r="A39" s="205" t="s">
        <v>342</v>
      </c>
      <c r="B39" s="206"/>
    </row>
    <row r="40" spans="1:42" x14ac:dyDescent="0.2">
      <c r="A40" s="207" t="s">
        <v>555</v>
      </c>
      <c r="B40" s="208">
        <v>1</v>
      </c>
    </row>
    <row r="41" spans="1:42" x14ac:dyDescent="0.2">
      <c r="A41" s="209" t="s">
        <v>341</v>
      </c>
      <c r="B41" s="210"/>
    </row>
    <row r="42" spans="1:42" x14ac:dyDescent="0.2">
      <c r="A42" s="209" t="s">
        <v>340</v>
      </c>
      <c r="B42" s="211"/>
    </row>
    <row r="43" spans="1:42" x14ac:dyDescent="0.2">
      <c r="A43" s="209" t="s">
        <v>339</v>
      </c>
      <c r="B43" s="211">
        <v>0</v>
      </c>
    </row>
    <row r="44" spans="1:42" x14ac:dyDescent="0.2">
      <c r="A44" s="209" t="s">
        <v>338</v>
      </c>
      <c r="B44" s="211">
        <f>B129</f>
        <v>0.20499999999999999</v>
      </c>
    </row>
    <row r="45" spans="1:42" x14ac:dyDescent="0.2">
      <c r="A45" s="209" t="s">
        <v>337</v>
      </c>
      <c r="B45" s="211">
        <f>1-B43</f>
        <v>1</v>
      </c>
    </row>
    <row r="46" spans="1:42" ht="16.5" thickBot="1" x14ac:dyDescent="0.25">
      <c r="A46" s="212" t="s">
        <v>336</v>
      </c>
      <c r="B46" s="213">
        <f>B45*B44+B43*B42*(1-B36)</f>
        <v>0.20499999999999999</v>
      </c>
      <c r="C46" s="214"/>
    </row>
    <row r="47" spans="1:42" s="217" customFormat="1" x14ac:dyDescent="0.2">
      <c r="A47" s="215" t="s">
        <v>335</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334</v>
      </c>
      <c r="B48" s="219">
        <f>B136</f>
        <v>0</v>
      </c>
      <c r="C48" s="219">
        <f t="shared" ref="C48:AP49" si="1">C136</f>
        <v>5.8000000000000003E-2</v>
      </c>
      <c r="D48" s="219">
        <f t="shared" si="1"/>
        <v>5.5E-2</v>
      </c>
      <c r="E48" s="219">
        <f t="shared" si="1"/>
        <v>5.5E-2</v>
      </c>
      <c r="F48" s="219">
        <f t="shared" si="1"/>
        <v>5.5E-2</v>
      </c>
      <c r="G48" s="219">
        <f t="shared" si="1"/>
        <v>5.5E-2</v>
      </c>
      <c r="H48" s="219">
        <f t="shared" si="1"/>
        <v>5.5E-2</v>
      </c>
      <c r="I48" s="219">
        <f t="shared" si="1"/>
        <v>5.5E-2</v>
      </c>
      <c r="J48" s="219">
        <f t="shared" si="1"/>
        <v>5.5E-2</v>
      </c>
      <c r="K48" s="219">
        <f t="shared" si="1"/>
        <v>5.5E-2</v>
      </c>
      <c r="L48" s="219">
        <f t="shared" si="1"/>
        <v>5.5E-2</v>
      </c>
      <c r="M48" s="219">
        <f t="shared" si="1"/>
        <v>5.5E-2</v>
      </c>
      <c r="N48" s="219">
        <f t="shared" si="1"/>
        <v>5.5E-2</v>
      </c>
      <c r="O48" s="219">
        <f t="shared" si="1"/>
        <v>5.5E-2</v>
      </c>
      <c r="P48" s="219">
        <f t="shared" si="1"/>
        <v>5.5E-2</v>
      </c>
      <c r="Q48" s="219">
        <f t="shared" si="1"/>
        <v>5.5E-2</v>
      </c>
      <c r="R48" s="219">
        <f t="shared" si="1"/>
        <v>5.5E-2</v>
      </c>
      <c r="S48" s="219">
        <f t="shared" si="1"/>
        <v>5.5E-2</v>
      </c>
      <c r="T48" s="219">
        <f t="shared" si="1"/>
        <v>5.5E-2</v>
      </c>
      <c r="U48" s="219">
        <f t="shared" si="1"/>
        <v>5.5E-2</v>
      </c>
      <c r="V48" s="219">
        <f t="shared" si="1"/>
        <v>5.5E-2</v>
      </c>
      <c r="W48" s="219">
        <f t="shared" si="1"/>
        <v>5.5E-2</v>
      </c>
      <c r="X48" s="219">
        <f t="shared" si="1"/>
        <v>5.5E-2</v>
      </c>
      <c r="Y48" s="219">
        <f t="shared" si="1"/>
        <v>5.5E-2</v>
      </c>
      <c r="Z48" s="219">
        <f t="shared" si="1"/>
        <v>5.5E-2</v>
      </c>
      <c r="AA48" s="219">
        <f t="shared" si="1"/>
        <v>5.5E-2</v>
      </c>
      <c r="AB48" s="219">
        <f t="shared" si="1"/>
        <v>5.5E-2</v>
      </c>
      <c r="AC48" s="219">
        <f t="shared" si="1"/>
        <v>5.5E-2</v>
      </c>
      <c r="AD48" s="219">
        <f t="shared" si="1"/>
        <v>5.5E-2</v>
      </c>
      <c r="AE48" s="219">
        <f t="shared" si="1"/>
        <v>5.5E-2</v>
      </c>
      <c r="AF48" s="219">
        <f t="shared" si="1"/>
        <v>5.5E-2</v>
      </c>
      <c r="AG48" s="219">
        <f t="shared" si="1"/>
        <v>5.5E-2</v>
      </c>
      <c r="AH48" s="219">
        <f t="shared" si="1"/>
        <v>5.5E-2</v>
      </c>
      <c r="AI48" s="219">
        <f t="shared" si="1"/>
        <v>5.5E-2</v>
      </c>
      <c r="AJ48" s="219">
        <f t="shared" si="1"/>
        <v>5.5E-2</v>
      </c>
      <c r="AK48" s="219">
        <f t="shared" si="1"/>
        <v>5.5E-2</v>
      </c>
      <c r="AL48" s="219">
        <f t="shared" si="1"/>
        <v>5.5E-2</v>
      </c>
      <c r="AM48" s="219">
        <f t="shared" si="1"/>
        <v>5.5E-2</v>
      </c>
      <c r="AN48" s="219">
        <f t="shared" si="1"/>
        <v>5.5E-2</v>
      </c>
      <c r="AO48" s="219">
        <f t="shared" si="1"/>
        <v>5.5E-2</v>
      </c>
      <c r="AP48" s="219">
        <f t="shared" si="1"/>
        <v>5.5E-2</v>
      </c>
    </row>
    <row r="49" spans="1:45" s="217" customFormat="1" x14ac:dyDescent="0.2">
      <c r="A49" s="218" t="s">
        <v>333</v>
      </c>
      <c r="B49" s="219">
        <f>B137</f>
        <v>0</v>
      </c>
      <c r="C49" s="219">
        <f t="shared" si="1"/>
        <v>5.8000000000000052E-2</v>
      </c>
      <c r="D49" s="219">
        <f t="shared" si="1"/>
        <v>0.11619000000000002</v>
      </c>
      <c r="E49" s="219">
        <f t="shared" si="1"/>
        <v>0.17758045</v>
      </c>
      <c r="F49" s="219">
        <f t="shared" si="1"/>
        <v>0.24234737475000001</v>
      </c>
      <c r="G49" s="219">
        <f t="shared" si="1"/>
        <v>0.31067648036124984</v>
      </c>
      <c r="H49" s="219">
        <f t="shared" si="1"/>
        <v>0.38276368678111861</v>
      </c>
      <c r="I49" s="219">
        <f t="shared" si="1"/>
        <v>0.45881568955408003</v>
      </c>
      <c r="J49" s="219">
        <f t="shared" si="1"/>
        <v>0.53905055247955436</v>
      </c>
      <c r="K49" s="219">
        <f t="shared" si="1"/>
        <v>0.62369833286592979</v>
      </c>
      <c r="L49" s="219">
        <f t="shared" si="1"/>
        <v>0.71300174117355586</v>
      </c>
      <c r="M49" s="219">
        <f t="shared" si="1"/>
        <v>0.80721683693810142</v>
      </c>
      <c r="N49" s="219">
        <f t="shared" si="1"/>
        <v>0.90661376296969687</v>
      </c>
      <c r="O49" s="219">
        <f t="shared" si="1"/>
        <v>1.0114775199330301</v>
      </c>
      <c r="P49" s="219">
        <f t="shared" si="1"/>
        <v>1.1221087835293466</v>
      </c>
      <c r="Q49" s="219">
        <f t="shared" si="1"/>
        <v>1.2388247666234604</v>
      </c>
      <c r="R49" s="219">
        <f t="shared" si="1"/>
        <v>1.3619601287877505</v>
      </c>
      <c r="S49" s="219">
        <f t="shared" si="1"/>
        <v>1.4918679358710767</v>
      </c>
      <c r="T49" s="219">
        <f t="shared" si="1"/>
        <v>1.6289206723439857</v>
      </c>
      <c r="U49" s="219">
        <f t="shared" si="1"/>
        <v>1.7735113093229047</v>
      </c>
      <c r="V49" s="219">
        <f t="shared" si="1"/>
        <v>1.9260544313356642</v>
      </c>
      <c r="W49" s="219">
        <f t="shared" si="1"/>
        <v>2.0869874250591254</v>
      </c>
      <c r="X49" s="219">
        <f t="shared" si="1"/>
        <v>2.2567717334373771</v>
      </c>
      <c r="Y49" s="219">
        <f t="shared" si="1"/>
        <v>2.4358941787764326</v>
      </c>
      <c r="Z49" s="219">
        <f t="shared" si="1"/>
        <v>2.6248683586091359</v>
      </c>
      <c r="AA49" s="219">
        <f t="shared" si="1"/>
        <v>2.8242361183326383</v>
      </c>
      <c r="AB49" s="219">
        <f t="shared" si="1"/>
        <v>3.0345691048409336</v>
      </c>
      <c r="AC49" s="219">
        <f t="shared" si="1"/>
        <v>3.2564704056071845</v>
      </c>
      <c r="AD49" s="219">
        <f t="shared" si="1"/>
        <v>3.4905762779155793</v>
      </c>
      <c r="AE49" s="219">
        <f t="shared" si="1"/>
        <v>3.7375579732009356</v>
      </c>
      <c r="AF49" s="219">
        <f t="shared" si="1"/>
        <v>3.9981236617269866</v>
      </c>
      <c r="AG49" s="219">
        <f t="shared" si="1"/>
        <v>4.2730204631219708</v>
      </c>
      <c r="AH49" s="219">
        <f t="shared" si="1"/>
        <v>4.563036588593679</v>
      </c>
      <c r="AI49" s="219">
        <f t="shared" si="1"/>
        <v>4.8690036009663311</v>
      </c>
      <c r="AJ49" s="219">
        <f t="shared" si="1"/>
        <v>5.1917987990194794</v>
      </c>
      <c r="AK49" s="219">
        <f t="shared" si="1"/>
        <v>5.5323477329655502</v>
      </c>
      <c r="AL49" s="219">
        <f t="shared" si="1"/>
        <v>5.8916268582786548</v>
      </c>
      <c r="AM49" s="219">
        <f t="shared" si="1"/>
        <v>6.2706663354839804</v>
      </c>
      <c r="AN49" s="219">
        <f t="shared" si="1"/>
        <v>6.6705529839355986</v>
      </c>
      <c r="AO49" s="219">
        <f t="shared" si="1"/>
        <v>7.0924333980520569</v>
      </c>
      <c r="AP49" s="219">
        <f t="shared" si="1"/>
        <v>7.5375172349449198</v>
      </c>
    </row>
    <row r="50" spans="1:45" s="217" customFormat="1" ht="16.5" thickBot="1" x14ac:dyDescent="0.25">
      <c r="A50" s="220" t="s">
        <v>556</v>
      </c>
      <c r="B50" s="221">
        <f>IF($B$124="да",($B$126-0.05),0)</f>
        <v>2976513424.9386144</v>
      </c>
      <c r="C50" s="221">
        <f>C108*(1+C49)</f>
        <v>130030407.21814723</v>
      </c>
      <c r="D50" s="221">
        <f t="shared" ref="D50:AP50" si="2">D108*(1+D49)</f>
        <v>274364159.23029065</v>
      </c>
      <c r="E50" s="221">
        <f t="shared" si="2"/>
        <v>438566951.49690396</v>
      </c>
      <c r="F50" s="221">
        <f t="shared" si="2"/>
        <v>462688133.82923371</v>
      </c>
      <c r="G50" s="221">
        <f t="shared" si="2"/>
        <v>488135981.18984151</v>
      </c>
      <c r="H50" s="221">
        <f t="shared" si="2"/>
        <v>514983460.1552828</v>
      </c>
      <c r="I50" s="221">
        <f t="shared" si="2"/>
        <v>543307550.46382332</v>
      </c>
      <c r="J50" s="221">
        <f t="shared" si="2"/>
        <v>573189465.73933351</v>
      </c>
      <c r="K50" s="221">
        <f t="shared" si="2"/>
        <v>604714886.35499692</v>
      </c>
      <c r="L50" s="221">
        <f t="shared" si="2"/>
        <v>637974205.10452163</v>
      </c>
      <c r="M50" s="221">
        <f t="shared" si="2"/>
        <v>673062786.38527036</v>
      </c>
      <c r="N50" s="221">
        <f t="shared" si="2"/>
        <v>710081239.63646019</v>
      </c>
      <c r="O50" s="221">
        <f t="shared" si="2"/>
        <v>749135707.8164655</v>
      </c>
      <c r="P50" s="221">
        <f t="shared" si="2"/>
        <v>790338171.74637103</v>
      </c>
      <c r="Q50" s="221">
        <f t="shared" si="2"/>
        <v>833806771.19242132</v>
      </c>
      <c r="R50" s="221">
        <f t="shared" si="2"/>
        <v>879666143.60800445</v>
      </c>
      <c r="S50" s="221">
        <f t="shared" si="2"/>
        <v>928047781.50644457</v>
      </c>
      <c r="T50" s="221">
        <f t="shared" si="2"/>
        <v>979090409.48929894</v>
      </c>
      <c r="U50" s="221">
        <f t="shared" si="2"/>
        <v>1032940382.0112103</v>
      </c>
      <c r="V50" s="221">
        <f t="shared" si="2"/>
        <v>1089752103.0218267</v>
      </c>
      <c r="W50" s="221">
        <f t="shared" si="2"/>
        <v>1149688468.6880271</v>
      </c>
      <c r="X50" s="221">
        <f t="shared" si="2"/>
        <v>1212921334.4658685</v>
      </c>
      <c r="Y50" s="221">
        <f t="shared" si="2"/>
        <v>1279632007.8614912</v>
      </c>
      <c r="Z50" s="221">
        <f t="shared" si="2"/>
        <v>1350011768.2938731</v>
      </c>
      <c r="AA50" s="221">
        <f t="shared" si="2"/>
        <v>1424262415.5500362</v>
      </c>
      <c r="AB50" s="221">
        <f t="shared" si="2"/>
        <v>1502596848.4052882</v>
      </c>
      <c r="AC50" s="221">
        <f t="shared" si="2"/>
        <v>1585239675.0675788</v>
      </c>
      <c r="AD50" s="221">
        <f t="shared" si="2"/>
        <v>1672427857.1962955</v>
      </c>
      <c r="AE50" s="221">
        <f t="shared" si="2"/>
        <v>1764411389.3420916</v>
      </c>
      <c r="AF50" s="221">
        <f t="shared" si="2"/>
        <v>1861454015.7559063</v>
      </c>
      <c r="AG50" s="221">
        <f t="shared" si="2"/>
        <v>1963833986.6224813</v>
      </c>
      <c r="AH50" s="221">
        <f t="shared" si="2"/>
        <v>2071844855.8867176</v>
      </c>
      <c r="AI50" s="221">
        <f t="shared" si="2"/>
        <v>2185796322.9604869</v>
      </c>
      <c r="AJ50" s="221">
        <f t="shared" si="2"/>
        <v>2306015120.7233138</v>
      </c>
      <c r="AK50" s="221">
        <f t="shared" si="2"/>
        <v>2432845952.3630958</v>
      </c>
      <c r="AL50" s="221">
        <f t="shared" si="2"/>
        <v>2566652479.7430658</v>
      </c>
      <c r="AM50" s="221">
        <f t="shared" si="2"/>
        <v>2707818366.1289344</v>
      </c>
      <c r="AN50" s="221">
        <f t="shared" si="2"/>
        <v>2856748376.2660255</v>
      </c>
      <c r="AO50" s="221">
        <f t="shared" si="2"/>
        <v>3013869536.9606571</v>
      </c>
      <c r="AP50" s="221">
        <f t="shared" si="2"/>
        <v>3179632361.4934931</v>
      </c>
    </row>
    <row r="51" spans="1:45" ht="16.5" thickBot="1" x14ac:dyDescent="0.25"/>
    <row r="52" spans="1:45" x14ac:dyDescent="0.2">
      <c r="A52" s="222" t="s">
        <v>332</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331</v>
      </c>
      <c r="B53" s="225">
        <v>0</v>
      </c>
      <c r="C53" s="225">
        <f t="shared" ref="C53:AP53" si="4">B53+B54-B55</f>
        <v>0</v>
      </c>
      <c r="D53" s="225">
        <f t="shared" si="4"/>
        <v>0</v>
      </c>
      <c r="E53" s="225">
        <f t="shared" si="4"/>
        <v>0</v>
      </c>
      <c r="F53" s="225">
        <f t="shared" si="4"/>
        <v>0</v>
      </c>
      <c r="G53" s="225">
        <f t="shared" si="4"/>
        <v>0</v>
      </c>
      <c r="H53" s="225">
        <f t="shared" si="4"/>
        <v>0</v>
      </c>
      <c r="I53" s="225">
        <f t="shared" si="4"/>
        <v>0</v>
      </c>
      <c r="J53" s="225">
        <f t="shared" si="4"/>
        <v>0</v>
      </c>
      <c r="K53" s="225">
        <f t="shared" si="4"/>
        <v>0</v>
      </c>
      <c r="L53" s="225">
        <f t="shared" si="4"/>
        <v>0</v>
      </c>
      <c r="M53" s="225">
        <f t="shared" si="4"/>
        <v>0</v>
      </c>
      <c r="N53" s="225">
        <f t="shared" si="4"/>
        <v>0</v>
      </c>
      <c r="O53" s="225">
        <f t="shared" si="4"/>
        <v>0</v>
      </c>
      <c r="P53" s="225">
        <f t="shared" si="4"/>
        <v>0</v>
      </c>
      <c r="Q53" s="225">
        <f t="shared" si="4"/>
        <v>0</v>
      </c>
      <c r="R53" s="225">
        <f t="shared" si="4"/>
        <v>0</v>
      </c>
      <c r="S53" s="225">
        <f t="shared" si="4"/>
        <v>0</v>
      </c>
      <c r="T53" s="225">
        <f t="shared" si="4"/>
        <v>0</v>
      </c>
      <c r="U53" s="225">
        <f t="shared" si="4"/>
        <v>0</v>
      </c>
      <c r="V53" s="225">
        <f t="shared" si="4"/>
        <v>0</v>
      </c>
      <c r="W53" s="225">
        <f t="shared" si="4"/>
        <v>0</v>
      </c>
      <c r="X53" s="225">
        <f t="shared" si="4"/>
        <v>0</v>
      </c>
      <c r="Y53" s="225">
        <f t="shared" si="4"/>
        <v>0</v>
      </c>
      <c r="Z53" s="225">
        <f t="shared" si="4"/>
        <v>0</v>
      </c>
      <c r="AA53" s="225">
        <f t="shared" si="4"/>
        <v>0</v>
      </c>
      <c r="AB53" s="225">
        <f t="shared" si="4"/>
        <v>0</v>
      </c>
      <c r="AC53" s="225">
        <f t="shared" si="4"/>
        <v>0</v>
      </c>
      <c r="AD53" s="225">
        <f t="shared" si="4"/>
        <v>0</v>
      </c>
      <c r="AE53" s="225">
        <f t="shared" si="4"/>
        <v>0</v>
      </c>
      <c r="AF53" s="225">
        <f t="shared" si="4"/>
        <v>0</v>
      </c>
      <c r="AG53" s="225">
        <f t="shared" si="4"/>
        <v>0</v>
      </c>
      <c r="AH53" s="225">
        <f t="shared" si="4"/>
        <v>0</v>
      </c>
      <c r="AI53" s="225">
        <f t="shared" si="4"/>
        <v>0</v>
      </c>
      <c r="AJ53" s="225">
        <f t="shared" si="4"/>
        <v>0</v>
      </c>
      <c r="AK53" s="225">
        <f t="shared" si="4"/>
        <v>0</v>
      </c>
      <c r="AL53" s="225">
        <f t="shared" si="4"/>
        <v>0</v>
      </c>
      <c r="AM53" s="225">
        <f t="shared" si="4"/>
        <v>0</v>
      </c>
      <c r="AN53" s="225">
        <f t="shared" si="4"/>
        <v>0</v>
      </c>
      <c r="AO53" s="225">
        <f t="shared" si="4"/>
        <v>0</v>
      </c>
      <c r="AP53" s="225">
        <f t="shared" si="4"/>
        <v>0</v>
      </c>
    </row>
    <row r="54" spans="1:45" x14ac:dyDescent="0.2">
      <c r="A54" s="224" t="s">
        <v>330</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s="225">
        <v>0</v>
      </c>
      <c r="AE54" s="225">
        <v>0</v>
      </c>
      <c r="AF54" s="225">
        <v>0</v>
      </c>
      <c r="AG54" s="225">
        <v>0</v>
      </c>
      <c r="AH54" s="225">
        <v>0</v>
      </c>
      <c r="AI54" s="225">
        <v>0</v>
      </c>
      <c r="AJ54" s="225">
        <v>0</v>
      </c>
      <c r="AK54" s="225">
        <v>0</v>
      </c>
      <c r="AL54" s="225">
        <v>0</v>
      </c>
      <c r="AM54" s="225">
        <v>0</v>
      </c>
      <c r="AN54" s="225">
        <v>0</v>
      </c>
      <c r="AO54" s="225">
        <v>0</v>
      </c>
      <c r="AP54" s="225">
        <v>0</v>
      </c>
    </row>
    <row r="55" spans="1:45" x14ac:dyDescent="0.2">
      <c r="A55" s="224" t="s">
        <v>329</v>
      </c>
      <c r="B55" s="225">
        <f>$B$54/$B$40</f>
        <v>0</v>
      </c>
      <c r="C55" s="225">
        <f t="shared" ref="C55:AP55" si="5">IF(ROUND(C53,1)=0,0,B55+C54/$B$40)</f>
        <v>0</v>
      </c>
      <c r="D55" s="225">
        <f t="shared" si="5"/>
        <v>0</v>
      </c>
      <c r="E55" s="225">
        <f t="shared" si="5"/>
        <v>0</v>
      </c>
      <c r="F55" s="225">
        <f t="shared" si="5"/>
        <v>0</v>
      </c>
      <c r="G55" s="225">
        <f t="shared" si="5"/>
        <v>0</v>
      </c>
      <c r="H55" s="225">
        <f t="shared" si="5"/>
        <v>0</v>
      </c>
      <c r="I55" s="225">
        <f t="shared" si="5"/>
        <v>0</v>
      </c>
      <c r="J55" s="225">
        <f t="shared" si="5"/>
        <v>0</v>
      </c>
      <c r="K55" s="225">
        <f t="shared" si="5"/>
        <v>0</v>
      </c>
      <c r="L55" s="225">
        <f t="shared" si="5"/>
        <v>0</v>
      </c>
      <c r="M55" s="225">
        <f t="shared" si="5"/>
        <v>0</v>
      </c>
      <c r="N55" s="225">
        <f t="shared" si="5"/>
        <v>0</v>
      </c>
      <c r="O55" s="225">
        <f t="shared" si="5"/>
        <v>0</v>
      </c>
      <c r="P55" s="225">
        <f t="shared" si="5"/>
        <v>0</v>
      </c>
      <c r="Q55" s="225">
        <f t="shared" si="5"/>
        <v>0</v>
      </c>
      <c r="R55" s="225">
        <f t="shared" si="5"/>
        <v>0</v>
      </c>
      <c r="S55" s="225">
        <f t="shared" si="5"/>
        <v>0</v>
      </c>
      <c r="T55" s="225">
        <f t="shared" si="5"/>
        <v>0</v>
      </c>
      <c r="U55" s="225">
        <f t="shared" si="5"/>
        <v>0</v>
      </c>
      <c r="V55" s="225">
        <f t="shared" si="5"/>
        <v>0</v>
      </c>
      <c r="W55" s="225">
        <f t="shared" si="5"/>
        <v>0</v>
      </c>
      <c r="X55" s="225">
        <f t="shared" si="5"/>
        <v>0</v>
      </c>
      <c r="Y55" s="225">
        <f t="shared" si="5"/>
        <v>0</v>
      </c>
      <c r="Z55" s="225">
        <f t="shared" si="5"/>
        <v>0</v>
      </c>
      <c r="AA55" s="225">
        <f t="shared" si="5"/>
        <v>0</v>
      </c>
      <c r="AB55" s="225">
        <f t="shared" si="5"/>
        <v>0</v>
      </c>
      <c r="AC55" s="225">
        <f t="shared" si="5"/>
        <v>0</v>
      </c>
      <c r="AD55" s="225">
        <f t="shared" si="5"/>
        <v>0</v>
      </c>
      <c r="AE55" s="225">
        <f t="shared" si="5"/>
        <v>0</v>
      </c>
      <c r="AF55" s="225">
        <f t="shared" si="5"/>
        <v>0</v>
      </c>
      <c r="AG55" s="225">
        <f t="shared" si="5"/>
        <v>0</v>
      </c>
      <c r="AH55" s="225">
        <f t="shared" si="5"/>
        <v>0</v>
      </c>
      <c r="AI55" s="225">
        <f t="shared" si="5"/>
        <v>0</v>
      </c>
      <c r="AJ55" s="225">
        <f t="shared" si="5"/>
        <v>0</v>
      </c>
      <c r="AK55" s="225">
        <f t="shared" si="5"/>
        <v>0</v>
      </c>
      <c r="AL55" s="225">
        <f t="shared" si="5"/>
        <v>0</v>
      </c>
      <c r="AM55" s="225">
        <f t="shared" si="5"/>
        <v>0</v>
      </c>
      <c r="AN55" s="225">
        <f t="shared" si="5"/>
        <v>0</v>
      </c>
      <c r="AO55" s="225">
        <f t="shared" si="5"/>
        <v>0</v>
      </c>
      <c r="AP55" s="225">
        <f t="shared" si="5"/>
        <v>0</v>
      </c>
    </row>
    <row r="56" spans="1:45" ht="16.5" thickBot="1" x14ac:dyDescent="0.25">
      <c r="A56" s="226" t="s">
        <v>328</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7"/>
      <c r="AR57" s="177"/>
      <c r="AS57" s="177"/>
    </row>
    <row r="58" spans="1:45" x14ac:dyDescent="0.2">
      <c r="A58" s="222" t="s">
        <v>557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1" t="s">
        <v>327</v>
      </c>
      <c r="B59" s="232">
        <f t="shared" ref="B59:AP59" si="8">B50*$B$28</f>
        <v>2976513424.9386144</v>
      </c>
      <c r="C59" s="232">
        <f t="shared" si="8"/>
        <v>130030407.21814723</v>
      </c>
      <c r="D59" s="232">
        <f t="shared" si="8"/>
        <v>274364159.23029065</v>
      </c>
      <c r="E59" s="232">
        <f t="shared" si="8"/>
        <v>438566951.49690396</v>
      </c>
      <c r="F59" s="232">
        <f t="shared" si="8"/>
        <v>462688133.82923371</v>
      </c>
      <c r="G59" s="232">
        <f t="shared" si="8"/>
        <v>488135981.18984151</v>
      </c>
      <c r="H59" s="232">
        <f t="shared" si="8"/>
        <v>514983460.1552828</v>
      </c>
      <c r="I59" s="232">
        <f t="shared" si="8"/>
        <v>543307550.46382332</v>
      </c>
      <c r="J59" s="232">
        <f t="shared" si="8"/>
        <v>573189465.73933351</v>
      </c>
      <c r="K59" s="232">
        <f t="shared" si="8"/>
        <v>604714886.35499692</v>
      </c>
      <c r="L59" s="232">
        <f t="shared" si="8"/>
        <v>637974205.10452163</v>
      </c>
      <c r="M59" s="232">
        <f t="shared" si="8"/>
        <v>673062786.38527036</v>
      </c>
      <c r="N59" s="232">
        <f t="shared" si="8"/>
        <v>710081239.63646019</v>
      </c>
      <c r="O59" s="232">
        <f t="shared" si="8"/>
        <v>749135707.8164655</v>
      </c>
      <c r="P59" s="232">
        <f t="shared" si="8"/>
        <v>790338171.74637103</v>
      </c>
      <c r="Q59" s="232">
        <f t="shared" si="8"/>
        <v>833806771.19242132</v>
      </c>
      <c r="R59" s="232">
        <f t="shared" si="8"/>
        <v>879666143.60800445</v>
      </c>
      <c r="S59" s="232">
        <f t="shared" si="8"/>
        <v>928047781.50644457</v>
      </c>
      <c r="T59" s="232">
        <f t="shared" si="8"/>
        <v>979090409.48929894</v>
      </c>
      <c r="U59" s="232">
        <f t="shared" si="8"/>
        <v>1032940382.0112103</v>
      </c>
      <c r="V59" s="232">
        <f t="shared" si="8"/>
        <v>1089752103.0218267</v>
      </c>
      <c r="W59" s="232">
        <f t="shared" si="8"/>
        <v>1149688468.6880271</v>
      </c>
      <c r="X59" s="232">
        <f t="shared" si="8"/>
        <v>1212921334.4658685</v>
      </c>
      <c r="Y59" s="232">
        <f t="shared" si="8"/>
        <v>1279632007.8614912</v>
      </c>
      <c r="Z59" s="232">
        <f t="shared" si="8"/>
        <v>1350011768.2938731</v>
      </c>
      <c r="AA59" s="232">
        <f t="shared" si="8"/>
        <v>1424262415.5500362</v>
      </c>
      <c r="AB59" s="232">
        <f t="shared" si="8"/>
        <v>1502596848.4052882</v>
      </c>
      <c r="AC59" s="232">
        <f t="shared" si="8"/>
        <v>1585239675.0675788</v>
      </c>
      <c r="AD59" s="232">
        <f t="shared" si="8"/>
        <v>1672427857.1962955</v>
      </c>
      <c r="AE59" s="232">
        <f t="shared" si="8"/>
        <v>1764411389.3420916</v>
      </c>
      <c r="AF59" s="232">
        <f t="shared" si="8"/>
        <v>1861454015.7559063</v>
      </c>
      <c r="AG59" s="232">
        <f t="shared" si="8"/>
        <v>1963833986.6224813</v>
      </c>
      <c r="AH59" s="232">
        <f t="shared" si="8"/>
        <v>2071844855.8867176</v>
      </c>
      <c r="AI59" s="232">
        <f t="shared" si="8"/>
        <v>2185796322.9604869</v>
      </c>
      <c r="AJ59" s="232">
        <f t="shared" si="8"/>
        <v>2306015120.7233138</v>
      </c>
      <c r="AK59" s="232">
        <f t="shared" si="8"/>
        <v>2432845952.3630958</v>
      </c>
      <c r="AL59" s="232">
        <f t="shared" si="8"/>
        <v>2566652479.7430658</v>
      </c>
      <c r="AM59" s="232">
        <f t="shared" si="8"/>
        <v>2707818366.1289344</v>
      </c>
      <c r="AN59" s="232">
        <f t="shared" si="8"/>
        <v>2856748376.2660255</v>
      </c>
      <c r="AO59" s="232">
        <f t="shared" si="8"/>
        <v>3013869536.9606571</v>
      </c>
      <c r="AP59" s="232">
        <f t="shared" si="8"/>
        <v>3179632361.4934931</v>
      </c>
    </row>
    <row r="60" spans="1:45" x14ac:dyDescent="0.2">
      <c r="A60" s="224" t="s">
        <v>326</v>
      </c>
      <c r="B60" s="225">
        <f t="shared" ref="B60:Z60" si="9">SUM(B61:B65)</f>
        <v>0</v>
      </c>
      <c r="C60" s="225">
        <f t="shared" si="9"/>
        <v>-31491512.036379546</v>
      </c>
      <c r="D60" s="225">
        <f>SUM(D61:D65)</f>
        <v>-33223545.198380418</v>
      </c>
      <c r="E60" s="225">
        <f t="shared" si="9"/>
        <v>-35050840.18429134</v>
      </c>
      <c r="F60" s="225">
        <f t="shared" si="9"/>
        <v>-36978636.394427367</v>
      </c>
      <c r="G60" s="225">
        <f t="shared" si="9"/>
        <v>-39012461.396120869</v>
      </c>
      <c r="H60" s="225">
        <f t="shared" si="9"/>
        <v>-41158146.772907518</v>
      </c>
      <c r="I60" s="225">
        <f t="shared" si="9"/>
        <v>-43421844.845417425</v>
      </c>
      <c r="J60" s="225">
        <f t="shared" si="9"/>
        <v>-45810046.311915383</v>
      </c>
      <c r="K60" s="225">
        <f t="shared" si="9"/>
        <v>-48329598.859070726</v>
      </c>
      <c r="L60" s="225">
        <f t="shared" si="9"/>
        <v>-50987726.796319611</v>
      </c>
      <c r="M60" s="225">
        <f t="shared" si="9"/>
        <v>-53792051.770117193</v>
      </c>
      <c r="N60" s="225">
        <f t="shared" si="9"/>
        <v>-56750614.617473632</v>
      </c>
      <c r="O60" s="225">
        <f t="shared" si="9"/>
        <v>-59871898.421434686</v>
      </c>
      <c r="P60" s="225">
        <f t="shared" si="9"/>
        <v>-63164852.834613584</v>
      </c>
      <c r="Q60" s="225">
        <f t="shared" si="9"/>
        <v>-66638919.740517326</v>
      </c>
      <c r="R60" s="225">
        <f t="shared" si="9"/>
        <v>-70304060.32624577</v>
      </c>
      <c r="S60" s="225">
        <f t="shared" si="9"/>
        <v>-74170783.644189283</v>
      </c>
      <c r="T60" s="225">
        <f t="shared" si="9"/>
        <v>-78250176.744619682</v>
      </c>
      <c r="U60" s="225">
        <f t="shared" si="9"/>
        <v>-82553936.465573758</v>
      </c>
      <c r="V60" s="225">
        <f t="shared" si="9"/>
        <v>-87094402.97118032</v>
      </c>
      <c r="W60" s="225">
        <f t="shared" si="9"/>
        <v>-91884595.134595215</v>
      </c>
      <c r="X60" s="225">
        <f t="shared" si="9"/>
        <v>-96938247.866997957</v>
      </c>
      <c r="Y60" s="225">
        <f t="shared" si="9"/>
        <v>-102269851.49968283</v>
      </c>
      <c r="Z60" s="225">
        <f t="shared" si="9"/>
        <v>-107894693.33216538</v>
      </c>
      <c r="AA60" s="225">
        <f t="shared" ref="AA60:AP60" si="10">SUM(AA61:AA65)</f>
        <v>-113828901.46543446</v>
      </c>
      <c r="AB60" s="225">
        <f t="shared" si="10"/>
        <v>-120089491.04603337</v>
      </c>
      <c r="AC60" s="225">
        <f t="shared" si="10"/>
        <v>-126694413.05356519</v>
      </c>
      <c r="AD60" s="225">
        <f t="shared" si="10"/>
        <v>-133662605.77151127</v>
      </c>
      <c r="AE60" s="225">
        <f t="shared" si="10"/>
        <v>-141014049.08894438</v>
      </c>
      <c r="AF60" s="225">
        <f t="shared" si="10"/>
        <v>-148769821.7888363</v>
      </c>
      <c r="AG60" s="225">
        <f t="shared" si="10"/>
        <v>-156952161.98722228</v>
      </c>
      <c r="AH60" s="225">
        <f t="shared" si="10"/>
        <v>-165584530.89651951</v>
      </c>
      <c r="AI60" s="225">
        <f t="shared" si="10"/>
        <v>-174691680.09582809</v>
      </c>
      <c r="AJ60" s="225">
        <f t="shared" si="10"/>
        <v>-184299722.50109863</v>
      </c>
      <c r="AK60" s="225">
        <f t="shared" si="10"/>
        <v>-194436207.23865902</v>
      </c>
      <c r="AL60" s="225">
        <f t="shared" si="10"/>
        <v>-205130198.63678527</v>
      </c>
      <c r="AM60" s="225">
        <f t="shared" si="10"/>
        <v>-216412359.56180844</v>
      </c>
      <c r="AN60" s="225">
        <f t="shared" si="10"/>
        <v>-228315039.33770788</v>
      </c>
      <c r="AO60" s="225">
        <f t="shared" si="10"/>
        <v>-240872366.50128183</v>
      </c>
      <c r="AP60" s="225">
        <f t="shared" si="10"/>
        <v>-254120346.65885231</v>
      </c>
    </row>
    <row r="61" spans="1:45" x14ac:dyDescent="0.2">
      <c r="A61" s="233" t="s">
        <v>325</v>
      </c>
      <c r="B61" s="225"/>
      <c r="C61" s="225">
        <f>-IF(C$47&lt;=$B$30,0,$B$29*(1+C$49)*$B$28)</f>
        <v>-31491512.036379546</v>
      </c>
      <c r="D61" s="225">
        <f>-IF(D$47&lt;=$B$30,0,$B$29*(1+D$49)*$B$28)</f>
        <v>-33223545.198380418</v>
      </c>
      <c r="E61" s="225">
        <f t="shared" ref="E61:AP61" si="11">-IF(E$47&lt;=$B$30,0,$B$29*(1+E$49)*$B$28)</f>
        <v>-35050840.18429134</v>
      </c>
      <c r="F61" s="225">
        <f t="shared" si="11"/>
        <v>-36978636.394427367</v>
      </c>
      <c r="G61" s="225">
        <f t="shared" si="11"/>
        <v>-39012461.396120869</v>
      </c>
      <c r="H61" s="225">
        <f t="shared" si="11"/>
        <v>-41158146.772907518</v>
      </c>
      <c r="I61" s="225">
        <f t="shared" si="11"/>
        <v>-43421844.845417425</v>
      </c>
      <c r="J61" s="225">
        <f t="shared" si="11"/>
        <v>-45810046.311915383</v>
      </c>
      <c r="K61" s="225">
        <f t="shared" si="11"/>
        <v>-48329598.859070726</v>
      </c>
      <c r="L61" s="225">
        <f t="shared" si="11"/>
        <v>-50987726.796319611</v>
      </c>
      <c r="M61" s="225">
        <f t="shared" si="11"/>
        <v>-53792051.770117193</v>
      </c>
      <c r="N61" s="225">
        <f t="shared" si="11"/>
        <v>-56750614.617473632</v>
      </c>
      <c r="O61" s="225">
        <f t="shared" si="11"/>
        <v>-59871898.421434686</v>
      </c>
      <c r="P61" s="225">
        <f t="shared" si="11"/>
        <v>-63164852.834613584</v>
      </c>
      <c r="Q61" s="225">
        <f t="shared" si="11"/>
        <v>-66638919.740517326</v>
      </c>
      <c r="R61" s="225">
        <f t="shared" si="11"/>
        <v>-70304060.32624577</v>
      </c>
      <c r="S61" s="225">
        <f t="shared" si="11"/>
        <v>-74170783.644189283</v>
      </c>
      <c r="T61" s="225">
        <f t="shared" si="11"/>
        <v>-78250176.744619682</v>
      </c>
      <c r="U61" s="225">
        <f t="shared" si="11"/>
        <v>-82553936.465573758</v>
      </c>
      <c r="V61" s="225">
        <f t="shared" si="11"/>
        <v>-87094402.97118032</v>
      </c>
      <c r="W61" s="225">
        <f t="shared" si="11"/>
        <v>-91884595.134595215</v>
      </c>
      <c r="X61" s="225">
        <f t="shared" si="11"/>
        <v>-96938247.866997957</v>
      </c>
      <c r="Y61" s="225">
        <f t="shared" si="11"/>
        <v>-102269851.49968283</v>
      </c>
      <c r="Z61" s="225">
        <f t="shared" si="11"/>
        <v>-107894693.33216538</v>
      </c>
      <c r="AA61" s="225">
        <f t="shared" si="11"/>
        <v>-113828901.46543446</v>
      </c>
      <c r="AB61" s="225">
        <f t="shared" si="11"/>
        <v>-120089491.04603337</v>
      </c>
      <c r="AC61" s="225">
        <f t="shared" si="11"/>
        <v>-126694413.05356519</v>
      </c>
      <c r="AD61" s="225">
        <f t="shared" si="11"/>
        <v>-133662605.77151127</v>
      </c>
      <c r="AE61" s="225">
        <f t="shared" si="11"/>
        <v>-141014049.08894438</v>
      </c>
      <c r="AF61" s="225">
        <f t="shared" si="11"/>
        <v>-148769821.7888363</v>
      </c>
      <c r="AG61" s="225">
        <f t="shared" si="11"/>
        <v>-156952161.98722228</v>
      </c>
      <c r="AH61" s="225">
        <f t="shared" si="11"/>
        <v>-165584530.89651951</v>
      </c>
      <c r="AI61" s="225">
        <f t="shared" si="11"/>
        <v>-174691680.09582809</v>
      </c>
      <c r="AJ61" s="225">
        <f t="shared" si="11"/>
        <v>-184299722.50109863</v>
      </c>
      <c r="AK61" s="225">
        <f t="shared" si="11"/>
        <v>-194436207.23865902</v>
      </c>
      <c r="AL61" s="225">
        <f t="shared" si="11"/>
        <v>-205130198.63678527</v>
      </c>
      <c r="AM61" s="225">
        <f t="shared" si="11"/>
        <v>-216412359.56180844</v>
      </c>
      <c r="AN61" s="225">
        <f t="shared" si="11"/>
        <v>-228315039.33770788</v>
      </c>
      <c r="AO61" s="225">
        <f t="shared" si="11"/>
        <v>-240872366.50128183</v>
      </c>
      <c r="AP61" s="225">
        <f t="shared" si="11"/>
        <v>-254120346.65885231</v>
      </c>
    </row>
    <row r="62" spans="1:45" x14ac:dyDescent="0.2">
      <c r="A62" s="23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45" x14ac:dyDescent="0.2">
      <c r="A63" s="233" t="s">
        <v>554</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45" x14ac:dyDescent="0.2">
      <c r="A64" s="233" t="s">
        <v>554</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row>
    <row r="65" spans="1:45" ht="31.5" x14ac:dyDescent="0.2">
      <c r="A65" s="233" t="s">
        <v>558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row>
    <row r="66" spans="1:45" ht="28.5" x14ac:dyDescent="0.2">
      <c r="A66" s="234" t="s">
        <v>323</v>
      </c>
      <c r="B66" s="232">
        <f t="shared" ref="B66:AO66" si="12">B59+B60</f>
        <v>2976513424.9386144</v>
      </c>
      <c r="C66" s="232">
        <f t="shared" si="12"/>
        <v>98538895.181767687</v>
      </c>
      <c r="D66" s="232">
        <f t="shared" si="12"/>
        <v>241140614.03191024</v>
      </c>
      <c r="E66" s="232">
        <f t="shared" si="12"/>
        <v>403516111.31261259</v>
      </c>
      <c r="F66" s="232">
        <f t="shared" si="12"/>
        <v>425709497.43480635</v>
      </c>
      <c r="G66" s="232">
        <f t="shared" si="12"/>
        <v>449123519.79372066</v>
      </c>
      <c r="H66" s="232">
        <f t="shared" si="12"/>
        <v>473825313.3823753</v>
      </c>
      <c r="I66" s="232">
        <f t="shared" si="12"/>
        <v>499885705.61840588</v>
      </c>
      <c r="J66" s="232">
        <f t="shared" si="12"/>
        <v>527379419.42741811</v>
      </c>
      <c r="K66" s="232">
        <f t="shared" si="12"/>
        <v>556385287.49592614</v>
      </c>
      <c r="L66" s="232">
        <f t="shared" si="12"/>
        <v>586986478.30820203</v>
      </c>
      <c r="M66" s="232">
        <f t="shared" si="12"/>
        <v>619270734.61515319</v>
      </c>
      <c r="N66" s="232">
        <f t="shared" si="12"/>
        <v>653330625.01898658</v>
      </c>
      <c r="O66" s="232">
        <f t="shared" si="12"/>
        <v>689263809.39503086</v>
      </c>
      <c r="P66" s="232">
        <f t="shared" si="12"/>
        <v>727173318.91175747</v>
      </c>
      <c r="Q66" s="232">
        <f t="shared" si="12"/>
        <v>767167851.45190394</v>
      </c>
      <c r="R66" s="232">
        <f t="shared" si="12"/>
        <v>809362083.28175867</v>
      </c>
      <c r="S66" s="232">
        <f t="shared" si="12"/>
        <v>853876997.86225533</v>
      </c>
      <c r="T66" s="232">
        <f t="shared" si="12"/>
        <v>900840232.74467921</v>
      </c>
      <c r="U66" s="232">
        <f t="shared" si="12"/>
        <v>950386445.54563653</v>
      </c>
      <c r="V66" s="232">
        <f t="shared" si="12"/>
        <v>1002657700.0506464</v>
      </c>
      <c r="W66" s="232">
        <f t="shared" si="12"/>
        <v>1057803873.553432</v>
      </c>
      <c r="X66" s="232">
        <f t="shared" si="12"/>
        <v>1115983086.5988705</v>
      </c>
      <c r="Y66" s="232">
        <f t="shared" si="12"/>
        <v>1177362156.3618083</v>
      </c>
      <c r="Z66" s="232">
        <f t="shared" si="12"/>
        <v>1242117074.9617076</v>
      </c>
      <c r="AA66" s="232">
        <f t="shared" si="12"/>
        <v>1310433514.0846016</v>
      </c>
      <c r="AB66" s="232">
        <f t="shared" si="12"/>
        <v>1382507357.3592548</v>
      </c>
      <c r="AC66" s="232">
        <f t="shared" si="12"/>
        <v>1458545262.0140135</v>
      </c>
      <c r="AD66" s="232">
        <f t="shared" si="12"/>
        <v>1538765251.4247842</v>
      </c>
      <c r="AE66" s="232">
        <f t="shared" si="12"/>
        <v>1623397340.2531471</v>
      </c>
      <c r="AF66" s="232">
        <f t="shared" si="12"/>
        <v>1712684193.9670701</v>
      </c>
      <c r="AG66" s="232">
        <f t="shared" si="12"/>
        <v>1806881824.6352592</v>
      </c>
      <c r="AH66" s="232">
        <f t="shared" si="12"/>
        <v>1906260324.9901981</v>
      </c>
      <c r="AI66" s="232">
        <f t="shared" si="12"/>
        <v>2011104642.8646588</v>
      </c>
      <c r="AJ66" s="232">
        <f t="shared" si="12"/>
        <v>2121715398.2222152</v>
      </c>
      <c r="AK66" s="232">
        <f t="shared" si="12"/>
        <v>2238409745.1244369</v>
      </c>
      <c r="AL66" s="232">
        <f t="shared" si="12"/>
        <v>2361522281.1062803</v>
      </c>
      <c r="AM66" s="232">
        <f t="shared" si="12"/>
        <v>2491406006.5671258</v>
      </c>
      <c r="AN66" s="232">
        <f t="shared" si="12"/>
        <v>2628433336.9283175</v>
      </c>
      <c r="AO66" s="232">
        <f t="shared" si="12"/>
        <v>2772997170.4593754</v>
      </c>
      <c r="AP66" s="232">
        <f>AP59+AP60</f>
        <v>2925512014.834641</v>
      </c>
    </row>
    <row r="67" spans="1:45" x14ac:dyDescent="0.2">
      <c r="A67" s="233" t="s">
        <v>318</v>
      </c>
      <c r="B67" s="235"/>
      <c r="C67" s="225">
        <f>-($B$25)*1.18*$B$28/$B$27</f>
        <v>-119060536.99954458</v>
      </c>
      <c r="D67" s="225">
        <f>C67</f>
        <v>-119060536.99954458</v>
      </c>
      <c r="E67" s="225">
        <f t="shared" ref="E67:AP67" si="13">D67</f>
        <v>-119060536.99954458</v>
      </c>
      <c r="F67" s="225">
        <f t="shared" si="13"/>
        <v>-119060536.99954458</v>
      </c>
      <c r="G67" s="225">
        <f t="shared" si="13"/>
        <v>-119060536.99954458</v>
      </c>
      <c r="H67" s="225">
        <f t="shared" si="13"/>
        <v>-119060536.99954458</v>
      </c>
      <c r="I67" s="225">
        <f t="shared" si="13"/>
        <v>-119060536.99954458</v>
      </c>
      <c r="J67" s="225">
        <f t="shared" si="13"/>
        <v>-119060536.99954458</v>
      </c>
      <c r="K67" s="225">
        <f t="shared" si="13"/>
        <v>-119060536.99954458</v>
      </c>
      <c r="L67" s="225">
        <f t="shared" si="13"/>
        <v>-119060536.99954458</v>
      </c>
      <c r="M67" s="225">
        <f t="shared" si="13"/>
        <v>-119060536.99954458</v>
      </c>
      <c r="N67" s="225">
        <f t="shared" si="13"/>
        <v>-119060536.99954458</v>
      </c>
      <c r="O67" s="225">
        <f t="shared" si="13"/>
        <v>-119060536.99954458</v>
      </c>
      <c r="P67" s="225">
        <f t="shared" si="13"/>
        <v>-119060536.99954458</v>
      </c>
      <c r="Q67" s="225">
        <f t="shared" si="13"/>
        <v>-119060536.99954458</v>
      </c>
      <c r="R67" s="225">
        <f t="shared" si="13"/>
        <v>-119060536.99954458</v>
      </c>
      <c r="S67" s="225">
        <f t="shared" si="13"/>
        <v>-119060536.99954458</v>
      </c>
      <c r="T67" s="225">
        <f t="shared" si="13"/>
        <v>-119060536.99954458</v>
      </c>
      <c r="U67" s="225">
        <f t="shared" si="13"/>
        <v>-119060536.99954458</v>
      </c>
      <c r="V67" s="225">
        <f t="shared" si="13"/>
        <v>-119060536.99954458</v>
      </c>
      <c r="W67" s="225">
        <f t="shared" si="13"/>
        <v>-119060536.99954458</v>
      </c>
      <c r="X67" s="225">
        <f t="shared" si="13"/>
        <v>-119060536.99954458</v>
      </c>
      <c r="Y67" s="225">
        <f t="shared" si="13"/>
        <v>-119060536.99954458</v>
      </c>
      <c r="Z67" s="225">
        <f t="shared" si="13"/>
        <v>-119060536.99954458</v>
      </c>
      <c r="AA67" s="225">
        <f t="shared" si="13"/>
        <v>-119060536.99954458</v>
      </c>
      <c r="AB67" s="225">
        <f t="shared" si="13"/>
        <v>-119060536.99954458</v>
      </c>
      <c r="AC67" s="225">
        <f t="shared" si="13"/>
        <v>-119060536.99954458</v>
      </c>
      <c r="AD67" s="225">
        <f t="shared" si="13"/>
        <v>-119060536.99954458</v>
      </c>
      <c r="AE67" s="225">
        <f t="shared" si="13"/>
        <v>-119060536.99954458</v>
      </c>
      <c r="AF67" s="225">
        <f t="shared" si="13"/>
        <v>-119060536.99954458</v>
      </c>
      <c r="AG67" s="225">
        <f t="shared" si="13"/>
        <v>-119060536.99954458</v>
      </c>
      <c r="AH67" s="225">
        <f t="shared" si="13"/>
        <v>-119060536.99954458</v>
      </c>
      <c r="AI67" s="225">
        <f t="shared" si="13"/>
        <v>-119060536.99954458</v>
      </c>
      <c r="AJ67" s="225">
        <f t="shared" si="13"/>
        <v>-119060536.99954458</v>
      </c>
      <c r="AK67" s="225">
        <f t="shared" si="13"/>
        <v>-119060536.99954458</v>
      </c>
      <c r="AL67" s="225">
        <f t="shared" si="13"/>
        <v>-119060536.99954458</v>
      </c>
      <c r="AM67" s="225">
        <f t="shared" si="13"/>
        <v>-119060536.99954458</v>
      </c>
      <c r="AN67" s="225">
        <f t="shared" si="13"/>
        <v>-119060536.99954458</v>
      </c>
      <c r="AO67" s="225">
        <f t="shared" si="13"/>
        <v>-119060536.99954458</v>
      </c>
      <c r="AP67" s="225">
        <f t="shared" si="13"/>
        <v>-119060536.99954458</v>
      </c>
      <c r="AQ67" s="236">
        <f>SUM(B67:AA67)/1.18</f>
        <v>-2522469004.2276402</v>
      </c>
      <c r="AR67" s="237">
        <f>SUM(B67:AF67)/1.18</f>
        <v>-3026962805.0731683</v>
      </c>
      <c r="AS67" s="237">
        <f>SUM(B67:AP67)/1.18</f>
        <v>-4035950406.7642231</v>
      </c>
    </row>
    <row r="68" spans="1:45" ht="28.5" x14ac:dyDescent="0.2">
      <c r="A68" s="234" t="s">
        <v>319</v>
      </c>
      <c r="B68" s="232">
        <f t="shared" ref="B68:J68" si="14">B66+B67</f>
        <v>2976513424.9386144</v>
      </c>
      <c r="C68" s="232">
        <f>C66+C67</f>
        <v>-20521641.817776889</v>
      </c>
      <c r="D68" s="232">
        <f>D66+D67</f>
        <v>122080077.03236566</v>
      </c>
      <c r="E68" s="232">
        <f t="shared" si="14"/>
        <v>284455574.31306803</v>
      </c>
      <c r="F68" s="232">
        <f>F66+C67</f>
        <v>306648960.43526179</v>
      </c>
      <c r="G68" s="232">
        <f t="shared" si="14"/>
        <v>330062982.7941761</v>
      </c>
      <c r="H68" s="232">
        <f t="shared" si="14"/>
        <v>354764776.38283074</v>
      </c>
      <c r="I68" s="232">
        <f t="shared" si="14"/>
        <v>380825168.61886132</v>
      </c>
      <c r="J68" s="232">
        <f t="shared" si="14"/>
        <v>408318882.42787355</v>
      </c>
      <c r="K68" s="232">
        <f>K66+K67</f>
        <v>437324750.49638158</v>
      </c>
      <c r="L68" s="232">
        <f>L66+L67</f>
        <v>467925941.30865747</v>
      </c>
      <c r="M68" s="232">
        <f t="shared" ref="M68:AO68" si="15">M66+M67</f>
        <v>500210197.61560863</v>
      </c>
      <c r="N68" s="232">
        <f t="shared" si="15"/>
        <v>534270088.01944202</v>
      </c>
      <c r="O68" s="232">
        <f t="shared" si="15"/>
        <v>570203272.39548624</v>
      </c>
      <c r="P68" s="232">
        <f t="shared" si="15"/>
        <v>608112781.91221285</v>
      </c>
      <c r="Q68" s="232">
        <f t="shared" si="15"/>
        <v>648107314.45235932</v>
      </c>
      <c r="R68" s="232">
        <f t="shared" si="15"/>
        <v>690301546.28221405</v>
      </c>
      <c r="S68" s="232">
        <f t="shared" si="15"/>
        <v>734816460.86271071</v>
      </c>
      <c r="T68" s="232">
        <f t="shared" si="15"/>
        <v>781779695.74513459</v>
      </c>
      <c r="U68" s="232">
        <f t="shared" si="15"/>
        <v>831325908.54609191</v>
      </c>
      <c r="V68" s="232">
        <f t="shared" si="15"/>
        <v>883597163.0511018</v>
      </c>
      <c r="W68" s="232">
        <f t="shared" si="15"/>
        <v>938743336.55388737</v>
      </c>
      <c r="X68" s="232">
        <f t="shared" si="15"/>
        <v>996922549.5993259</v>
      </c>
      <c r="Y68" s="232">
        <f t="shared" si="15"/>
        <v>1058301619.3622637</v>
      </c>
      <c r="Z68" s="232">
        <f t="shared" si="15"/>
        <v>1123056537.962163</v>
      </c>
      <c r="AA68" s="232">
        <f t="shared" si="15"/>
        <v>1191372977.085057</v>
      </c>
      <c r="AB68" s="232">
        <f t="shared" si="15"/>
        <v>1263446820.3597102</v>
      </c>
      <c r="AC68" s="232">
        <f t="shared" si="15"/>
        <v>1339484725.0144689</v>
      </c>
      <c r="AD68" s="232">
        <f t="shared" si="15"/>
        <v>1419704714.4252396</v>
      </c>
      <c r="AE68" s="232">
        <f t="shared" si="15"/>
        <v>1504336803.2536025</v>
      </c>
      <c r="AF68" s="232">
        <f t="shared" si="15"/>
        <v>1593623656.9675255</v>
      </c>
      <c r="AG68" s="232">
        <f t="shared" si="15"/>
        <v>1687821287.6357145</v>
      </c>
      <c r="AH68" s="232">
        <f t="shared" si="15"/>
        <v>1787199787.9906535</v>
      </c>
      <c r="AI68" s="232">
        <f t="shared" si="15"/>
        <v>1892044105.8651142</v>
      </c>
      <c r="AJ68" s="232">
        <f t="shared" si="15"/>
        <v>2002654861.2226706</v>
      </c>
      <c r="AK68" s="232">
        <f t="shared" si="15"/>
        <v>2119349208.1248922</v>
      </c>
      <c r="AL68" s="232">
        <f t="shared" si="15"/>
        <v>2242461744.1067357</v>
      </c>
      <c r="AM68" s="232">
        <f t="shared" si="15"/>
        <v>2372345469.5675812</v>
      </c>
      <c r="AN68" s="232">
        <f t="shared" si="15"/>
        <v>2509372799.9287729</v>
      </c>
      <c r="AO68" s="232">
        <f t="shared" si="15"/>
        <v>2653936633.4598308</v>
      </c>
      <c r="AP68" s="232">
        <f>AP66+AP67</f>
        <v>2806451477.8350964</v>
      </c>
      <c r="AQ68" s="177">
        <v>25</v>
      </c>
      <c r="AR68" s="177">
        <v>30</v>
      </c>
      <c r="AS68" s="177">
        <v>40</v>
      </c>
    </row>
    <row r="69" spans="1:45" x14ac:dyDescent="0.2">
      <c r="A69" s="233" t="s">
        <v>317</v>
      </c>
      <c r="B69" s="225">
        <f t="shared" ref="B69:AO69" si="16">-B56</f>
        <v>0</v>
      </c>
      <c r="C69" s="225">
        <f t="shared" si="16"/>
        <v>0</v>
      </c>
      <c r="D69" s="225">
        <f t="shared" si="16"/>
        <v>0</v>
      </c>
      <c r="E69" s="225">
        <f t="shared" si="16"/>
        <v>0</v>
      </c>
      <c r="F69" s="225">
        <f t="shared" si="16"/>
        <v>0</v>
      </c>
      <c r="G69" s="225">
        <f t="shared" si="16"/>
        <v>0</v>
      </c>
      <c r="H69" s="225">
        <f t="shared" si="16"/>
        <v>0</v>
      </c>
      <c r="I69" s="225">
        <f t="shared" si="16"/>
        <v>0</v>
      </c>
      <c r="J69" s="225">
        <f t="shared" si="16"/>
        <v>0</v>
      </c>
      <c r="K69" s="225">
        <f t="shared" si="16"/>
        <v>0</v>
      </c>
      <c r="L69" s="225">
        <f t="shared" si="16"/>
        <v>0</v>
      </c>
      <c r="M69" s="225">
        <f t="shared" si="16"/>
        <v>0</v>
      </c>
      <c r="N69" s="225">
        <f t="shared" si="16"/>
        <v>0</v>
      </c>
      <c r="O69" s="225">
        <f t="shared" si="16"/>
        <v>0</v>
      </c>
      <c r="P69" s="225">
        <f t="shared" si="16"/>
        <v>0</v>
      </c>
      <c r="Q69" s="225">
        <f t="shared" si="16"/>
        <v>0</v>
      </c>
      <c r="R69" s="225">
        <f t="shared" si="16"/>
        <v>0</v>
      </c>
      <c r="S69" s="225">
        <f t="shared" si="16"/>
        <v>0</v>
      </c>
      <c r="T69" s="225">
        <f t="shared" si="16"/>
        <v>0</v>
      </c>
      <c r="U69" s="225">
        <f t="shared" si="16"/>
        <v>0</v>
      </c>
      <c r="V69" s="225">
        <f t="shared" si="16"/>
        <v>0</v>
      </c>
      <c r="W69" s="225">
        <f t="shared" si="16"/>
        <v>0</v>
      </c>
      <c r="X69" s="225">
        <f t="shared" si="16"/>
        <v>0</v>
      </c>
      <c r="Y69" s="225">
        <f t="shared" si="16"/>
        <v>0</v>
      </c>
      <c r="Z69" s="225">
        <f t="shared" si="16"/>
        <v>0</v>
      </c>
      <c r="AA69" s="225">
        <f t="shared" si="16"/>
        <v>0</v>
      </c>
      <c r="AB69" s="225">
        <f t="shared" si="16"/>
        <v>0</v>
      </c>
      <c r="AC69" s="225">
        <f t="shared" si="16"/>
        <v>0</v>
      </c>
      <c r="AD69" s="225">
        <f t="shared" si="16"/>
        <v>0</v>
      </c>
      <c r="AE69" s="225">
        <f t="shared" si="16"/>
        <v>0</v>
      </c>
      <c r="AF69" s="225">
        <f t="shared" si="16"/>
        <v>0</v>
      </c>
      <c r="AG69" s="225">
        <f t="shared" si="16"/>
        <v>0</v>
      </c>
      <c r="AH69" s="225">
        <f t="shared" si="16"/>
        <v>0</v>
      </c>
      <c r="AI69" s="225">
        <f t="shared" si="16"/>
        <v>0</v>
      </c>
      <c r="AJ69" s="225">
        <f t="shared" si="16"/>
        <v>0</v>
      </c>
      <c r="AK69" s="225">
        <f t="shared" si="16"/>
        <v>0</v>
      </c>
      <c r="AL69" s="225">
        <f t="shared" si="16"/>
        <v>0</v>
      </c>
      <c r="AM69" s="225">
        <f t="shared" si="16"/>
        <v>0</v>
      </c>
      <c r="AN69" s="225">
        <f t="shared" si="16"/>
        <v>0</v>
      </c>
      <c r="AO69" s="225">
        <f t="shared" si="16"/>
        <v>0</v>
      </c>
      <c r="AP69" s="225">
        <f>-AP56</f>
        <v>0</v>
      </c>
    </row>
    <row r="70" spans="1:45" ht="14.25" x14ac:dyDescent="0.2">
      <c r="A70" s="234" t="s">
        <v>322</v>
      </c>
      <c r="B70" s="232">
        <f t="shared" ref="B70:AO70" si="17">B68+B69</f>
        <v>2976513424.9386144</v>
      </c>
      <c r="C70" s="232">
        <f t="shared" si="17"/>
        <v>-20521641.817776889</v>
      </c>
      <c r="D70" s="232">
        <f t="shared" si="17"/>
        <v>122080077.03236566</v>
      </c>
      <c r="E70" s="232">
        <f t="shared" si="17"/>
        <v>284455574.31306803</v>
      </c>
      <c r="F70" s="232">
        <f t="shared" si="17"/>
        <v>306648960.43526179</v>
      </c>
      <c r="G70" s="232">
        <f t="shared" si="17"/>
        <v>330062982.7941761</v>
      </c>
      <c r="H70" s="232">
        <f t="shared" si="17"/>
        <v>354764776.38283074</v>
      </c>
      <c r="I70" s="232">
        <f t="shared" si="17"/>
        <v>380825168.61886132</v>
      </c>
      <c r="J70" s="232">
        <f t="shared" si="17"/>
        <v>408318882.42787355</v>
      </c>
      <c r="K70" s="232">
        <f t="shared" si="17"/>
        <v>437324750.49638158</v>
      </c>
      <c r="L70" s="232">
        <f t="shared" si="17"/>
        <v>467925941.30865747</v>
      </c>
      <c r="M70" s="232">
        <f t="shared" si="17"/>
        <v>500210197.61560863</v>
      </c>
      <c r="N70" s="232">
        <f t="shared" si="17"/>
        <v>534270088.01944202</v>
      </c>
      <c r="O70" s="232">
        <f t="shared" si="17"/>
        <v>570203272.39548624</v>
      </c>
      <c r="P70" s="232">
        <f t="shared" si="17"/>
        <v>608112781.91221285</v>
      </c>
      <c r="Q70" s="232">
        <f t="shared" si="17"/>
        <v>648107314.45235932</v>
      </c>
      <c r="R70" s="232">
        <f t="shared" si="17"/>
        <v>690301546.28221405</v>
      </c>
      <c r="S70" s="232">
        <f t="shared" si="17"/>
        <v>734816460.86271071</v>
      </c>
      <c r="T70" s="232">
        <f t="shared" si="17"/>
        <v>781779695.74513459</v>
      </c>
      <c r="U70" s="232">
        <f t="shared" si="17"/>
        <v>831325908.54609191</v>
      </c>
      <c r="V70" s="232">
        <f t="shared" si="17"/>
        <v>883597163.0511018</v>
      </c>
      <c r="W70" s="232">
        <f t="shared" si="17"/>
        <v>938743336.55388737</v>
      </c>
      <c r="X70" s="232">
        <f t="shared" si="17"/>
        <v>996922549.5993259</v>
      </c>
      <c r="Y70" s="232">
        <f t="shared" si="17"/>
        <v>1058301619.3622637</v>
      </c>
      <c r="Z70" s="232">
        <f t="shared" si="17"/>
        <v>1123056537.962163</v>
      </c>
      <c r="AA70" s="232">
        <f t="shared" si="17"/>
        <v>1191372977.085057</v>
      </c>
      <c r="AB70" s="232">
        <f t="shared" si="17"/>
        <v>1263446820.3597102</v>
      </c>
      <c r="AC70" s="232">
        <f t="shared" si="17"/>
        <v>1339484725.0144689</v>
      </c>
      <c r="AD70" s="232">
        <f t="shared" si="17"/>
        <v>1419704714.4252396</v>
      </c>
      <c r="AE70" s="232">
        <f t="shared" si="17"/>
        <v>1504336803.2536025</v>
      </c>
      <c r="AF70" s="232">
        <f t="shared" si="17"/>
        <v>1593623656.9675255</v>
      </c>
      <c r="AG70" s="232">
        <f t="shared" si="17"/>
        <v>1687821287.6357145</v>
      </c>
      <c r="AH70" s="232">
        <f t="shared" si="17"/>
        <v>1787199787.9906535</v>
      </c>
      <c r="AI70" s="232">
        <f t="shared" si="17"/>
        <v>1892044105.8651142</v>
      </c>
      <c r="AJ70" s="232">
        <f t="shared" si="17"/>
        <v>2002654861.2226706</v>
      </c>
      <c r="AK70" s="232">
        <f t="shared" si="17"/>
        <v>2119349208.1248922</v>
      </c>
      <c r="AL70" s="232">
        <f t="shared" si="17"/>
        <v>2242461744.1067357</v>
      </c>
      <c r="AM70" s="232">
        <f t="shared" si="17"/>
        <v>2372345469.5675812</v>
      </c>
      <c r="AN70" s="232">
        <f t="shared" si="17"/>
        <v>2509372799.9287729</v>
      </c>
      <c r="AO70" s="232">
        <f t="shared" si="17"/>
        <v>2653936633.4598308</v>
      </c>
      <c r="AP70" s="232">
        <f>AP68+AP69</f>
        <v>2806451477.8350964</v>
      </c>
    </row>
    <row r="71" spans="1:45" x14ac:dyDescent="0.2">
      <c r="A71" s="233" t="s">
        <v>316</v>
      </c>
      <c r="B71" s="225">
        <f t="shared" ref="B71:AP71" si="18">-B70*$B$36</f>
        <v>-595302684.98772287</v>
      </c>
      <c r="C71" s="225">
        <f t="shared" si="18"/>
        <v>4104328.3635553778</v>
      </c>
      <c r="D71" s="225">
        <f t="shared" si="18"/>
        <v>-24416015.406473134</v>
      </c>
      <c r="E71" s="225">
        <f t="shared" si="18"/>
        <v>-56891114.862613611</v>
      </c>
      <c r="F71" s="225">
        <f t="shared" si="18"/>
        <v>-61329792.08705236</v>
      </c>
      <c r="G71" s="225">
        <f t="shared" si="18"/>
        <v>-66012596.558835223</v>
      </c>
      <c r="H71" s="225">
        <f t="shared" si="18"/>
        <v>-70952955.276566148</v>
      </c>
      <c r="I71" s="225">
        <f t="shared" si="18"/>
        <v>-76165033.723772272</v>
      </c>
      <c r="J71" s="225">
        <f t="shared" si="18"/>
        <v>-81663776.485574722</v>
      </c>
      <c r="K71" s="225">
        <f t="shared" si="18"/>
        <v>-87464950.099276319</v>
      </c>
      <c r="L71" s="225">
        <f t="shared" si="18"/>
        <v>-93585188.261731505</v>
      </c>
      <c r="M71" s="225">
        <f t="shared" si="18"/>
        <v>-100042039.52312173</v>
      </c>
      <c r="N71" s="225">
        <f t="shared" si="18"/>
        <v>-106854017.60388841</v>
      </c>
      <c r="O71" s="225">
        <f t="shared" si="18"/>
        <v>-114040654.47909725</v>
      </c>
      <c r="P71" s="225">
        <f t="shared" si="18"/>
        <v>-121622556.38244258</v>
      </c>
      <c r="Q71" s="225">
        <f t="shared" si="18"/>
        <v>-129621462.89047188</v>
      </c>
      <c r="R71" s="225">
        <f t="shared" si="18"/>
        <v>-138060309.25644282</v>
      </c>
      <c r="S71" s="225">
        <f t="shared" si="18"/>
        <v>-146963292.17254215</v>
      </c>
      <c r="T71" s="225">
        <f t="shared" si="18"/>
        <v>-156355939.14902693</v>
      </c>
      <c r="U71" s="225">
        <f t="shared" si="18"/>
        <v>-166265181.70921838</v>
      </c>
      <c r="V71" s="225">
        <f t="shared" si="18"/>
        <v>-176719432.61022037</v>
      </c>
      <c r="W71" s="225">
        <f t="shared" si="18"/>
        <v>-187748667.31077749</v>
      </c>
      <c r="X71" s="225">
        <f t="shared" si="18"/>
        <v>-199384509.91986519</v>
      </c>
      <c r="Y71" s="225">
        <f t="shared" si="18"/>
        <v>-211660323.87245274</v>
      </c>
      <c r="Z71" s="225">
        <f t="shared" si="18"/>
        <v>-224611307.59243262</v>
      </c>
      <c r="AA71" s="225">
        <f t="shared" si="18"/>
        <v>-238274595.41701141</v>
      </c>
      <c r="AB71" s="225">
        <f t="shared" si="18"/>
        <v>-252689364.07194206</v>
      </c>
      <c r="AC71" s="225">
        <f t="shared" si="18"/>
        <v>-267896945.00289381</v>
      </c>
      <c r="AD71" s="225">
        <f t="shared" si="18"/>
        <v>-283940942.88504791</v>
      </c>
      <c r="AE71" s="225">
        <f t="shared" si="18"/>
        <v>-300867360.65072054</v>
      </c>
      <c r="AF71" s="225">
        <f t="shared" si="18"/>
        <v>-318724731.3935051</v>
      </c>
      <c r="AG71" s="225">
        <f t="shared" si="18"/>
        <v>-337564257.52714294</v>
      </c>
      <c r="AH71" s="225">
        <f t="shared" si="18"/>
        <v>-357439957.5981307</v>
      </c>
      <c r="AI71" s="225">
        <f t="shared" si="18"/>
        <v>-378408821.17302287</v>
      </c>
      <c r="AJ71" s="225">
        <f t="shared" si="18"/>
        <v>-400530972.24453413</v>
      </c>
      <c r="AK71" s="225">
        <f t="shared" si="18"/>
        <v>-423869841.62497848</v>
      </c>
      <c r="AL71" s="225">
        <f t="shared" si="18"/>
        <v>-448492348.82134718</v>
      </c>
      <c r="AM71" s="225">
        <f t="shared" si="18"/>
        <v>-474469093.91351628</v>
      </c>
      <c r="AN71" s="225">
        <f t="shared" si="18"/>
        <v>-501874559.98575461</v>
      </c>
      <c r="AO71" s="225">
        <f t="shared" si="18"/>
        <v>-530787326.69196618</v>
      </c>
      <c r="AP71" s="225">
        <f t="shared" si="18"/>
        <v>-561290295.56701934</v>
      </c>
    </row>
    <row r="72" spans="1:45" ht="15" thickBot="1" x14ac:dyDescent="0.25">
      <c r="A72" s="238" t="s">
        <v>321</v>
      </c>
      <c r="B72" s="239">
        <f t="shared" ref="B72:AO72" si="19">B70+B71</f>
        <v>2381210739.9508915</v>
      </c>
      <c r="C72" s="239">
        <f t="shared" si="19"/>
        <v>-16417313.454221511</v>
      </c>
      <c r="D72" s="239">
        <f t="shared" si="19"/>
        <v>97664061.625892535</v>
      </c>
      <c r="E72" s="239">
        <f t="shared" si="19"/>
        <v>227564459.45045441</v>
      </c>
      <c r="F72" s="239">
        <f t="shared" si="19"/>
        <v>245319168.34820944</v>
      </c>
      <c r="G72" s="239">
        <f t="shared" si="19"/>
        <v>264050386.23534089</v>
      </c>
      <c r="H72" s="239">
        <f t="shared" si="19"/>
        <v>283811821.10626459</v>
      </c>
      <c r="I72" s="239">
        <f t="shared" si="19"/>
        <v>304660134.89508903</v>
      </c>
      <c r="J72" s="239">
        <f t="shared" si="19"/>
        <v>326655105.94229883</v>
      </c>
      <c r="K72" s="239">
        <f t="shared" si="19"/>
        <v>349859800.39710528</v>
      </c>
      <c r="L72" s="239">
        <f t="shared" si="19"/>
        <v>374340753.04692596</v>
      </c>
      <c r="M72" s="239">
        <f t="shared" si="19"/>
        <v>400168158.09248692</v>
      </c>
      <c r="N72" s="239">
        <f t="shared" si="19"/>
        <v>427416070.41555363</v>
      </c>
      <c r="O72" s="239">
        <f t="shared" si="19"/>
        <v>456162617.91638899</v>
      </c>
      <c r="P72" s="239">
        <f t="shared" si="19"/>
        <v>486490225.52977026</v>
      </c>
      <c r="Q72" s="239">
        <f t="shared" si="19"/>
        <v>518485851.56188744</v>
      </c>
      <c r="R72" s="239">
        <f t="shared" si="19"/>
        <v>552241237.02577126</v>
      </c>
      <c r="S72" s="239">
        <f t="shared" si="19"/>
        <v>587853168.69016862</v>
      </c>
      <c r="T72" s="239">
        <f t="shared" si="19"/>
        <v>625423756.59610772</v>
      </c>
      <c r="U72" s="239">
        <f t="shared" si="19"/>
        <v>665060726.83687353</v>
      </c>
      <c r="V72" s="239">
        <f t="shared" si="19"/>
        <v>706877730.44088149</v>
      </c>
      <c r="W72" s="239">
        <f t="shared" si="19"/>
        <v>750994669.24310994</v>
      </c>
      <c r="X72" s="239">
        <f t="shared" si="19"/>
        <v>797538039.67946076</v>
      </c>
      <c r="Y72" s="239">
        <f t="shared" si="19"/>
        <v>846641295.48981094</v>
      </c>
      <c r="Z72" s="239">
        <f t="shared" si="19"/>
        <v>898445230.36973035</v>
      </c>
      <c r="AA72" s="239">
        <f t="shared" si="19"/>
        <v>953098381.66804564</v>
      </c>
      <c r="AB72" s="239">
        <f t="shared" si="19"/>
        <v>1010757456.2877681</v>
      </c>
      <c r="AC72" s="239">
        <f t="shared" si="19"/>
        <v>1071587780.0115751</v>
      </c>
      <c r="AD72" s="239">
        <f t="shared" si="19"/>
        <v>1135763771.5401917</v>
      </c>
      <c r="AE72" s="239">
        <f t="shared" si="19"/>
        <v>1203469442.6028819</v>
      </c>
      <c r="AF72" s="239">
        <f t="shared" si="19"/>
        <v>1274898925.5740204</v>
      </c>
      <c r="AG72" s="239">
        <f t="shared" si="19"/>
        <v>1350257030.1085715</v>
      </c>
      <c r="AH72" s="239">
        <f t="shared" si="19"/>
        <v>1429759830.3925228</v>
      </c>
      <c r="AI72" s="239">
        <f t="shared" si="19"/>
        <v>1513635284.6920915</v>
      </c>
      <c r="AJ72" s="239">
        <f t="shared" si="19"/>
        <v>1602123888.9781365</v>
      </c>
      <c r="AK72" s="239">
        <f t="shared" si="19"/>
        <v>1695479366.4999137</v>
      </c>
      <c r="AL72" s="239">
        <f t="shared" si="19"/>
        <v>1793969395.2853885</v>
      </c>
      <c r="AM72" s="239">
        <f t="shared" si="19"/>
        <v>1897876375.6540649</v>
      </c>
      <c r="AN72" s="239">
        <f t="shared" si="19"/>
        <v>2007498239.9430184</v>
      </c>
      <c r="AO72" s="239">
        <f t="shared" si="19"/>
        <v>2123149306.7678647</v>
      </c>
      <c r="AP72" s="239">
        <f>AP70+AP71</f>
        <v>2245161182.2680769</v>
      </c>
    </row>
    <row r="73" spans="1:45" s="241" customFormat="1" ht="16.5" thickBot="1" x14ac:dyDescent="0.25">
      <c r="A73" s="228"/>
      <c r="B73" s="240">
        <f>B141</f>
        <v>0.5</v>
      </c>
      <c r="C73" s="240">
        <f t="shared" ref="C73:AP73" si="20">C141</f>
        <v>1.5</v>
      </c>
      <c r="D73" s="240">
        <f t="shared" si="20"/>
        <v>2.5</v>
      </c>
      <c r="E73" s="240">
        <f t="shared" si="20"/>
        <v>3.5</v>
      </c>
      <c r="F73" s="240">
        <f t="shared" si="20"/>
        <v>4.5</v>
      </c>
      <c r="G73" s="240">
        <f t="shared" si="20"/>
        <v>5.5</v>
      </c>
      <c r="H73" s="240">
        <f t="shared" si="20"/>
        <v>6.5</v>
      </c>
      <c r="I73" s="240">
        <f t="shared" si="20"/>
        <v>7.5</v>
      </c>
      <c r="J73" s="240">
        <f t="shared" si="20"/>
        <v>8.5</v>
      </c>
      <c r="K73" s="240">
        <f t="shared" si="20"/>
        <v>9.5</v>
      </c>
      <c r="L73" s="240">
        <f t="shared" si="20"/>
        <v>10.5</v>
      </c>
      <c r="M73" s="240">
        <f t="shared" si="20"/>
        <v>11.5</v>
      </c>
      <c r="N73" s="240">
        <f t="shared" si="20"/>
        <v>12.5</v>
      </c>
      <c r="O73" s="240">
        <f t="shared" si="20"/>
        <v>13.5</v>
      </c>
      <c r="P73" s="240">
        <f t="shared" si="20"/>
        <v>14.5</v>
      </c>
      <c r="Q73" s="240">
        <f t="shared" si="20"/>
        <v>15.5</v>
      </c>
      <c r="R73" s="240">
        <f t="shared" si="20"/>
        <v>16.5</v>
      </c>
      <c r="S73" s="240">
        <f t="shared" si="20"/>
        <v>17.5</v>
      </c>
      <c r="T73" s="240">
        <f t="shared" si="20"/>
        <v>18.5</v>
      </c>
      <c r="U73" s="240">
        <f t="shared" si="20"/>
        <v>19.5</v>
      </c>
      <c r="V73" s="240">
        <f t="shared" si="20"/>
        <v>20.5</v>
      </c>
      <c r="W73" s="240">
        <f t="shared" si="20"/>
        <v>21.5</v>
      </c>
      <c r="X73" s="240">
        <f t="shared" si="20"/>
        <v>22.5</v>
      </c>
      <c r="Y73" s="240">
        <f t="shared" si="20"/>
        <v>23.5</v>
      </c>
      <c r="Z73" s="240">
        <f t="shared" si="20"/>
        <v>24.5</v>
      </c>
      <c r="AA73" s="240">
        <f t="shared" si="20"/>
        <v>25.5</v>
      </c>
      <c r="AB73" s="240">
        <f t="shared" si="20"/>
        <v>26.5</v>
      </c>
      <c r="AC73" s="240">
        <f t="shared" si="20"/>
        <v>27.5</v>
      </c>
      <c r="AD73" s="240">
        <f t="shared" si="20"/>
        <v>28.5</v>
      </c>
      <c r="AE73" s="240">
        <f t="shared" si="20"/>
        <v>29.5</v>
      </c>
      <c r="AF73" s="240">
        <f t="shared" si="20"/>
        <v>30.5</v>
      </c>
      <c r="AG73" s="240">
        <f t="shared" si="20"/>
        <v>31.5</v>
      </c>
      <c r="AH73" s="240">
        <f t="shared" si="20"/>
        <v>32.5</v>
      </c>
      <c r="AI73" s="240">
        <f t="shared" si="20"/>
        <v>33.5</v>
      </c>
      <c r="AJ73" s="240">
        <f t="shared" si="20"/>
        <v>34.5</v>
      </c>
      <c r="AK73" s="240">
        <f t="shared" si="20"/>
        <v>35.5</v>
      </c>
      <c r="AL73" s="240">
        <f t="shared" si="20"/>
        <v>36.5</v>
      </c>
      <c r="AM73" s="240">
        <f t="shared" si="20"/>
        <v>37.5</v>
      </c>
      <c r="AN73" s="240">
        <f t="shared" si="20"/>
        <v>38.5</v>
      </c>
      <c r="AO73" s="240">
        <f t="shared" si="20"/>
        <v>39.5</v>
      </c>
      <c r="AP73" s="240">
        <f t="shared" si="20"/>
        <v>40.5</v>
      </c>
      <c r="AQ73" s="177"/>
      <c r="AR73" s="177"/>
      <c r="AS73" s="177"/>
    </row>
    <row r="74" spans="1:45" x14ac:dyDescent="0.2">
      <c r="A74" s="222" t="s">
        <v>320</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1" t="s">
        <v>319</v>
      </c>
      <c r="B75" s="232">
        <f t="shared" ref="B75:AO75" si="22">B68</f>
        <v>2976513424.9386144</v>
      </c>
      <c r="C75" s="232">
        <f t="shared" si="22"/>
        <v>-20521641.817776889</v>
      </c>
      <c r="D75" s="232">
        <f>D68</f>
        <v>122080077.03236566</v>
      </c>
      <c r="E75" s="232">
        <f t="shared" si="22"/>
        <v>284455574.31306803</v>
      </c>
      <c r="F75" s="232">
        <f t="shared" si="22"/>
        <v>306648960.43526179</v>
      </c>
      <c r="G75" s="232">
        <f t="shared" si="22"/>
        <v>330062982.7941761</v>
      </c>
      <c r="H75" s="232">
        <f t="shared" si="22"/>
        <v>354764776.38283074</v>
      </c>
      <c r="I75" s="232">
        <f t="shared" si="22"/>
        <v>380825168.61886132</v>
      </c>
      <c r="J75" s="232">
        <f t="shared" si="22"/>
        <v>408318882.42787355</v>
      </c>
      <c r="K75" s="232">
        <f t="shared" si="22"/>
        <v>437324750.49638158</v>
      </c>
      <c r="L75" s="232">
        <f t="shared" si="22"/>
        <v>467925941.30865747</v>
      </c>
      <c r="M75" s="232">
        <f t="shared" si="22"/>
        <v>500210197.61560863</v>
      </c>
      <c r="N75" s="232">
        <f t="shared" si="22"/>
        <v>534270088.01944202</v>
      </c>
      <c r="O75" s="232">
        <f t="shared" si="22"/>
        <v>570203272.39548624</v>
      </c>
      <c r="P75" s="232">
        <f t="shared" si="22"/>
        <v>608112781.91221285</v>
      </c>
      <c r="Q75" s="232">
        <f t="shared" si="22"/>
        <v>648107314.45235932</v>
      </c>
      <c r="R75" s="232">
        <f t="shared" si="22"/>
        <v>690301546.28221405</v>
      </c>
      <c r="S75" s="232">
        <f t="shared" si="22"/>
        <v>734816460.86271071</v>
      </c>
      <c r="T75" s="232">
        <f t="shared" si="22"/>
        <v>781779695.74513459</v>
      </c>
      <c r="U75" s="232">
        <f t="shared" si="22"/>
        <v>831325908.54609191</v>
      </c>
      <c r="V75" s="232">
        <f t="shared" si="22"/>
        <v>883597163.0511018</v>
      </c>
      <c r="W75" s="232">
        <f t="shared" si="22"/>
        <v>938743336.55388737</v>
      </c>
      <c r="X75" s="232">
        <f t="shared" si="22"/>
        <v>996922549.5993259</v>
      </c>
      <c r="Y75" s="232">
        <f t="shared" si="22"/>
        <v>1058301619.3622637</v>
      </c>
      <c r="Z75" s="232">
        <f t="shared" si="22"/>
        <v>1123056537.962163</v>
      </c>
      <c r="AA75" s="232">
        <f t="shared" si="22"/>
        <v>1191372977.085057</v>
      </c>
      <c r="AB75" s="232">
        <f t="shared" si="22"/>
        <v>1263446820.3597102</v>
      </c>
      <c r="AC75" s="232">
        <f t="shared" si="22"/>
        <v>1339484725.0144689</v>
      </c>
      <c r="AD75" s="232">
        <f t="shared" si="22"/>
        <v>1419704714.4252396</v>
      </c>
      <c r="AE75" s="232">
        <f t="shared" si="22"/>
        <v>1504336803.2536025</v>
      </c>
      <c r="AF75" s="232">
        <f t="shared" si="22"/>
        <v>1593623656.9675255</v>
      </c>
      <c r="AG75" s="232">
        <f t="shared" si="22"/>
        <v>1687821287.6357145</v>
      </c>
      <c r="AH75" s="232">
        <f t="shared" si="22"/>
        <v>1787199787.9906535</v>
      </c>
      <c r="AI75" s="232">
        <f t="shared" si="22"/>
        <v>1892044105.8651142</v>
      </c>
      <c r="AJ75" s="232">
        <f t="shared" si="22"/>
        <v>2002654861.2226706</v>
      </c>
      <c r="AK75" s="232">
        <f t="shared" si="22"/>
        <v>2119349208.1248922</v>
      </c>
      <c r="AL75" s="232">
        <f t="shared" si="22"/>
        <v>2242461744.1067357</v>
      </c>
      <c r="AM75" s="232">
        <f t="shared" si="22"/>
        <v>2372345469.5675812</v>
      </c>
      <c r="AN75" s="232">
        <f t="shared" si="22"/>
        <v>2509372799.9287729</v>
      </c>
      <c r="AO75" s="232">
        <f t="shared" si="22"/>
        <v>2653936633.4598308</v>
      </c>
      <c r="AP75" s="232">
        <f>AP68</f>
        <v>2806451477.8350964</v>
      </c>
    </row>
    <row r="76" spans="1:45" x14ac:dyDescent="0.2">
      <c r="A76" s="233" t="s">
        <v>318</v>
      </c>
      <c r="B76" s="225">
        <f t="shared" ref="B76:AO76" si="23">-B67</f>
        <v>0</v>
      </c>
      <c r="C76" s="225">
        <f>-C67</f>
        <v>119060536.99954458</v>
      </c>
      <c r="D76" s="225">
        <f t="shared" si="23"/>
        <v>119060536.99954458</v>
      </c>
      <c r="E76" s="225">
        <f t="shared" si="23"/>
        <v>119060536.99954458</v>
      </c>
      <c r="F76" s="225">
        <f>-C67</f>
        <v>119060536.99954458</v>
      </c>
      <c r="G76" s="225">
        <f t="shared" si="23"/>
        <v>119060536.99954458</v>
      </c>
      <c r="H76" s="225">
        <f t="shared" si="23"/>
        <v>119060536.99954458</v>
      </c>
      <c r="I76" s="225">
        <f t="shared" si="23"/>
        <v>119060536.99954458</v>
      </c>
      <c r="J76" s="225">
        <f t="shared" si="23"/>
        <v>119060536.99954458</v>
      </c>
      <c r="K76" s="225">
        <f t="shared" si="23"/>
        <v>119060536.99954458</v>
      </c>
      <c r="L76" s="225">
        <f>-L67</f>
        <v>119060536.99954458</v>
      </c>
      <c r="M76" s="225">
        <f>-M67</f>
        <v>119060536.99954458</v>
      </c>
      <c r="N76" s="225">
        <f t="shared" si="23"/>
        <v>119060536.99954458</v>
      </c>
      <c r="O76" s="225">
        <f t="shared" si="23"/>
        <v>119060536.99954458</v>
      </c>
      <c r="P76" s="225">
        <f t="shared" si="23"/>
        <v>119060536.99954458</v>
      </c>
      <c r="Q76" s="225">
        <f t="shared" si="23"/>
        <v>119060536.99954458</v>
      </c>
      <c r="R76" s="225">
        <f t="shared" si="23"/>
        <v>119060536.99954458</v>
      </c>
      <c r="S76" s="225">
        <f t="shared" si="23"/>
        <v>119060536.99954458</v>
      </c>
      <c r="T76" s="225">
        <f t="shared" si="23"/>
        <v>119060536.99954458</v>
      </c>
      <c r="U76" s="225">
        <f t="shared" si="23"/>
        <v>119060536.99954458</v>
      </c>
      <c r="V76" s="225">
        <f t="shared" si="23"/>
        <v>119060536.99954458</v>
      </c>
      <c r="W76" s="225">
        <f t="shared" si="23"/>
        <v>119060536.99954458</v>
      </c>
      <c r="X76" s="225">
        <f t="shared" si="23"/>
        <v>119060536.99954458</v>
      </c>
      <c r="Y76" s="225">
        <f t="shared" si="23"/>
        <v>119060536.99954458</v>
      </c>
      <c r="Z76" s="225">
        <f t="shared" si="23"/>
        <v>119060536.99954458</v>
      </c>
      <c r="AA76" s="225">
        <f t="shared" si="23"/>
        <v>119060536.99954458</v>
      </c>
      <c r="AB76" s="225">
        <f t="shared" si="23"/>
        <v>119060536.99954458</v>
      </c>
      <c r="AC76" s="225">
        <f t="shared" si="23"/>
        <v>119060536.99954458</v>
      </c>
      <c r="AD76" s="225">
        <f t="shared" si="23"/>
        <v>119060536.99954458</v>
      </c>
      <c r="AE76" s="225">
        <f t="shared" si="23"/>
        <v>119060536.99954458</v>
      </c>
      <c r="AF76" s="225">
        <f t="shared" si="23"/>
        <v>119060536.99954458</v>
      </c>
      <c r="AG76" s="225">
        <f t="shared" si="23"/>
        <v>119060536.99954458</v>
      </c>
      <c r="AH76" s="225">
        <f t="shared" si="23"/>
        <v>119060536.99954458</v>
      </c>
      <c r="AI76" s="225">
        <f t="shared" si="23"/>
        <v>119060536.99954458</v>
      </c>
      <c r="AJ76" s="225">
        <f t="shared" si="23"/>
        <v>119060536.99954458</v>
      </c>
      <c r="AK76" s="225">
        <f t="shared" si="23"/>
        <v>119060536.99954458</v>
      </c>
      <c r="AL76" s="225">
        <f t="shared" si="23"/>
        <v>119060536.99954458</v>
      </c>
      <c r="AM76" s="225">
        <f t="shared" si="23"/>
        <v>119060536.99954458</v>
      </c>
      <c r="AN76" s="225">
        <f t="shared" si="23"/>
        <v>119060536.99954458</v>
      </c>
      <c r="AO76" s="225">
        <f t="shared" si="23"/>
        <v>119060536.99954458</v>
      </c>
      <c r="AP76" s="225">
        <f>-AP67</f>
        <v>119060536.99954458</v>
      </c>
    </row>
    <row r="77" spans="1:45" x14ac:dyDescent="0.2">
      <c r="A77" s="233" t="s">
        <v>317</v>
      </c>
      <c r="B77" s="225">
        <f t="shared" ref="B77:AO77" si="24">B69</f>
        <v>0</v>
      </c>
      <c r="C77" s="225">
        <f t="shared" si="24"/>
        <v>0</v>
      </c>
      <c r="D77" s="225">
        <f t="shared" si="24"/>
        <v>0</v>
      </c>
      <c r="E77" s="225">
        <f t="shared" si="24"/>
        <v>0</v>
      </c>
      <c r="F77" s="225">
        <f t="shared" si="24"/>
        <v>0</v>
      </c>
      <c r="G77" s="225">
        <f t="shared" si="24"/>
        <v>0</v>
      </c>
      <c r="H77" s="225">
        <f t="shared" si="24"/>
        <v>0</v>
      </c>
      <c r="I77" s="225">
        <f t="shared" si="24"/>
        <v>0</v>
      </c>
      <c r="J77" s="225">
        <f t="shared" si="24"/>
        <v>0</v>
      </c>
      <c r="K77" s="225">
        <f t="shared" si="24"/>
        <v>0</v>
      </c>
      <c r="L77" s="225">
        <f t="shared" si="24"/>
        <v>0</v>
      </c>
      <c r="M77" s="225">
        <f t="shared" si="24"/>
        <v>0</v>
      </c>
      <c r="N77" s="225">
        <f t="shared" si="24"/>
        <v>0</v>
      </c>
      <c r="O77" s="225">
        <f t="shared" si="24"/>
        <v>0</v>
      </c>
      <c r="P77" s="225">
        <f t="shared" si="24"/>
        <v>0</v>
      </c>
      <c r="Q77" s="225">
        <f t="shared" si="24"/>
        <v>0</v>
      </c>
      <c r="R77" s="225">
        <f t="shared" si="24"/>
        <v>0</v>
      </c>
      <c r="S77" s="225">
        <f t="shared" si="24"/>
        <v>0</v>
      </c>
      <c r="T77" s="225">
        <f t="shared" si="24"/>
        <v>0</v>
      </c>
      <c r="U77" s="225">
        <f t="shared" si="24"/>
        <v>0</v>
      </c>
      <c r="V77" s="225">
        <f t="shared" si="24"/>
        <v>0</v>
      </c>
      <c r="W77" s="225">
        <f t="shared" si="24"/>
        <v>0</v>
      </c>
      <c r="X77" s="225">
        <f t="shared" si="24"/>
        <v>0</v>
      </c>
      <c r="Y77" s="225">
        <f t="shared" si="24"/>
        <v>0</v>
      </c>
      <c r="Z77" s="225">
        <f t="shared" si="24"/>
        <v>0</v>
      </c>
      <c r="AA77" s="225">
        <f t="shared" si="24"/>
        <v>0</v>
      </c>
      <c r="AB77" s="225">
        <f t="shared" si="24"/>
        <v>0</v>
      </c>
      <c r="AC77" s="225">
        <f t="shared" si="24"/>
        <v>0</v>
      </c>
      <c r="AD77" s="225">
        <f t="shared" si="24"/>
        <v>0</v>
      </c>
      <c r="AE77" s="225">
        <f t="shared" si="24"/>
        <v>0</v>
      </c>
      <c r="AF77" s="225">
        <f t="shared" si="24"/>
        <v>0</v>
      </c>
      <c r="AG77" s="225">
        <f t="shared" si="24"/>
        <v>0</v>
      </c>
      <c r="AH77" s="225">
        <f t="shared" si="24"/>
        <v>0</v>
      </c>
      <c r="AI77" s="225">
        <f t="shared" si="24"/>
        <v>0</v>
      </c>
      <c r="AJ77" s="225">
        <f t="shared" si="24"/>
        <v>0</v>
      </c>
      <c r="AK77" s="225">
        <f t="shared" si="24"/>
        <v>0</v>
      </c>
      <c r="AL77" s="225">
        <f t="shared" si="24"/>
        <v>0</v>
      </c>
      <c r="AM77" s="225">
        <f t="shared" si="24"/>
        <v>0</v>
      </c>
      <c r="AN77" s="225">
        <f t="shared" si="24"/>
        <v>0</v>
      </c>
      <c r="AO77" s="225">
        <f t="shared" si="24"/>
        <v>0</v>
      </c>
      <c r="AP77" s="225">
        <f>AP69</f>
        <v>0</v>
      </c>
    </row>
    <row r="78" spans="1:45" x14ac:dyDescent="0.2">
      <c r="A78" s="233" t="s">
        <v>316</v>
      </c>
      <c r="B78" s="225">
        <f>IF(SUM($B$71:B71)+SUM($A$78:A78)&gt;0,0,SUM($B$71:B71)-SUM($A$78:A78))</f>
        <v>-595302684.98772287</v>
      </c>
      <c r="C78" s="225">
        <f>IF(SUM($B$71:C71)+SUM($A$78:B78)&gt;0,0,SUM($B$71:C71)-SUM($A$78:B78))</f>
        <v>4104328.3635554314</v>
      </c>
      <c r="D78" s="225">
        <f>IF(SUM($B$71:D71)+SUM($A$78:C78)&gt;0,0,SUM($B$71:D71)-SUM($A$78:C78))</f>
        <v>-24416015.40647316</v>
      </c>
      <c r="E78" s="225">
        <f>IF(SUM($B$71:E71)+SUM($A$78:D78)&gt;0,0,SUM($B$71:E71)-SUM($A$78:D78))</f>
        <v>-56891114.862613559</v>
      </c>
      <c r="F78" s="225">
        <f>IF(SUM($B$71:F71)+SUM($A$78:E78)&gt;0,0,SUM($B$71:F71)-SUM($A$78:E78))</f>
        <v>-61329792.087052345</v>
      </c>
      <c r="G78" s="225">
        <f>IF(SUM($B$71:G71)+SUM($A$78:F78)&gt;0,0,SUM($B$71:G71)-SUM($A$78:F78))</f>
        <v>-66012596.558835268</v>
      </c>
      <c r="H78" s="225">
        <f>IF(SUM($B$71:H71)+SUM($A$78:G78)&gt;0,0,SUM($B$71:H71)-SUM($A$78:G78))</f>
        <v>-70952955.276566148</v>
      </c>
      <c r="I78" s="225">
        <f>IF(SUM($B$71:I71)+SUM($A$78:H78)&gt;0,0,SUM($B$71:I71)-SUM($A$78:H78))</f>
        <v>-76165033.723772287</v>
      </c>
      <c r="J78" s="225">
        <f>IF(SUM($B$71:J71)+SUM($A$78:I78)&gt;0,0,SUM($B$71:J71)-SUM($A$78:I78))</f>
        <v>-81663776.485574722</v>
      </c>
      <c r="K78" s="225">
        <f>IF(SUM($B$71:K71)+SUM($A$78:J78)&gt;0,0,SUM($B$71:K71)-SUM($A$78:J78))</f>
        <v>-87464950.099276304</v>
      </c>
      <c r="L78" s="225">
        <f>IF(SUM($B$71:L71)+SUM($A$78:K78)&gt;0,0,SUM($B$71:L71)-SUM($A$78:K78))</f>
        <v>-93585188.261731386</v>
      </c>
      <c r="M78" s="225">
        <f>IF(SUM($B$71:M71)+SUM($A$78:L78)&gt;0,0,SUM($B$71:M71)-SUM($A$78:L78))</f>
        <v>-100042039.52312183</v>
      </c>
      <c r="N78" s="225">
        <f>IF(SUM($B$71:N71)+SUM($A$78:M78)&gt;0,0,SUM($B$71:N71)-SUM($A$78:M78))</f>
        <v>-106854017.60388851</v>
      </c>
      <c r="O78" s="225">
        <f>IF(SUM($B$71:O71)+SUM($A$78:N78)&gt;0,0,SUM($B$71:O71)-SUM($A$78:N78))</f>
        <v>-114040654.47909737</v>
      </c>
      <c r="P78" s="225">
        <f>IF(SUM($B$71:P71)+SUM($A$78:O78)&gt;0,0,SUM($B$71:P71)-SUM($A$78:O78))</f>
        <v>-121622556.38244247</v>
      </c>
      <c r="Q78" s="225">
        <f>IF(SUM($B$71:Q71)+SUM($A$78:P78)&gt;0,0,SUM($B$71:Q71)-SUM($A$78:P78))</f>
        <v>-129621462.89047194</v>
      </c>
      <c r="R78" s="225">
        <f>IF(SUM($B$71:R71)+SUM($A$78:Q78)&gt;0,0,SUM($B$71:R71)-SUM($A$78:Q78))</f>
        <v>-138060309.25644279</v>
      </c>
      <c r="S78" s="225">
        <f>IF(SUM($B$71:S71)+SUM($A$78:R78)&gt;0,0,SUM($B$71:S71)-SUM($A$78:R78))</f>
        <v>-146963292.1725421</v>
      </c>
      <c r="T78" s="225">
        <f>IF(SUM($B$71:T71)+SUM($A$78:S78)&gt;0,0,SUM($B$71:T71)-SUM($A$78:S78))</f>
        <v>-156355939.14902711</v>
      </c>
      <c r="U78" s="225">
        <f>IF(SUM($B$71:U71)+SUM($A$78:T78)&gt;0,0,SUM($B$71:U71)-SUM($A$78:T78))</f>
        <v>-166265181.7092185</v>
      </c>
      <c r="V78" s="225">
        <f>IF(SUM($B$71:V71)+SUM($A$78:U78)&gt;0,0,SUM($B$71:V71)-SUM($A$78:U78))</f>
        <v>-176719432.61022043</v>
      </c>
      <c r="W78" s="225">
        <f>IF(SUM($B$71:W71)+SUM($A$78:V78)&gt;0,0,SUM($B$71:W71)-SUM($A$78:V78))</f>
        <v>-187748667.31077766</v>
      </c>
      <c r="X78" s="225">
        <f>IF(SUM($B$71:X71)+SUM($A$78:W78)&gt;0,0,SUM($B$71:X71)-SUM($A$78:W78))</f>
        <v>-199384509.91986513</v>
      </c>
      <c r="Y78" s="225">
        <f>IF(SUM($B$71:Y71)+SUM($A$78:X78)&gt;0,0,SUM($B$71:Y71)-SUM($A$78:X78))</f>
        <v>-211660323.87245274</v>
      </c>
      <c r="Z78" s="225">
        <f>IF(SUM($B$71:Z71)+SUM($A$78:Y78)&gt;0,0,SUM($B$71:Z71)-SUM($A$78:Y78))</f>
        <v>-224611307.5924325</v>
      </c>
      <c r="AA78" s="225">
        <f>IF(SUM($B$71:AA71)+SUM($A$78:Z78)&gt;0,0,SUM($B$71:AA71)-SUM($A$78:Z78))</f>
        <v>-238274595.41701126</v>
      </c>
      <c r="AB78" s="225">
        <f>IF(SUM($B$71:AB71)+SUM($A$78:AA78)&gt;0,0,SUM($B$71:AB71)-SUM($A$78:AA78))</f>
        <v>-252689364.07194185</v>
      </c>
      <c r="AC78" s="225">
        <f>IF(SUM($B$71:AC71)+SUM($A$78:AB78)&gt;0,0,SUM($B$71:AC71)-SUM($A$78:AB78))</f>
        <v>-267896945.00289392</v>
      </c>
      <c r="AD78" s="225">
        <f>IF(SUM($B$71:AD71)+SUM($A$78:AC78)&gt;0,0,SUM($B$71:AD71)-SUM($A$78:AC78))</f>
        <v>-283940942.88504791</v>
      </c>
      <c r="AE78" s="225">
        <f>IF(SUM($B$71:AE71)+SUM($A$78:AD78)&gt;0,0,SUM($B$71:AE71)-SUM($A$78:AD78))</f>
        <v>-300867360.6507206</v>
      </c>
      <c r="AF78" s="225">
        <f>IF(SUM($B$71:AF71)+SUM($A$78:AE78)&gt;0,0,SUM($B$71:AF71)-SUM($A$78:AE78))</f>
        <v>-318724731.3935051</v>
      </c>
      <c r="AG78" s="225">
        <f>IF(SUM($B$71:AG71)+SUM($A$78:AF78)&gt;0,0,SUM($B$71:AG71)-SUM($A$78:AF78))</f>
        <v>-337564257.52714252</v>
      </c>
      <c r="AH78" s="225">
        <f>IF(SUM($B$71:AH71)+SUM($A$78:AG78)&gt;0,0,SUM($B$71:AH71)-SUM($A$78:AG78))</f>
        <v>-357439957.59813023</v>
      </c>
      <c r="AI78" s="225">
        <f>IF(SUM($B$71:AI71)+SUM($A$78:AH78)&gt;0,0,SUM($B$71:AI71)-SUM($A$78:AH78))</f>
        <v>-378408821.17302322</v>
      </c>
      <c r="AJ78" s="225">
        <f>IF(SUM($B$71:AJ71)+SUM($A$78:AI78)&gt;0,0,SUM($B$71:AJ71)-SUM($A$78:AI78))</f>
        <v>-400530972.24453449</v>
      </c>
      <c r="AK78" s="225">
        <f>IF(SUM($B$71:AK71)+SUM($A$78:AJ78)&gt;0,0,SUM($B$71:AK71)-SUM($A$78:AJ78))</f>
        <v>-423869841.62497807</v>
      </c>
      <c r="AL78" s="225">
        <f>IF(SUM($B$71:AL71)+SUM($A$78:AK78)&gt;0,0,SUM($B$71:AL71)-SUM($A$78:AK78))</f>
        <v>-448492348.82134724</v>
      </c>
      <c r="AM78" s="225">
        <f>IF(SUM($B$71:AM71)+SUM($A$78:AL78)&gt;0,0,SUM($B$71:AM71)-SUM($A$78:AL78))</f>
        <v>-474469093.91351604</v>
      </c>
      <c r="AN78" s="225">
        <f>IF(SUM($B$71:AN71)+SUM($A$78:AM78)&gt;0,0,SUM($B$71:AN71)-SUM($A$78:AM78))</f>
        <v>-501874559.98575497</v>
      </c>
      <c r="AO78" s="225">
        <f>IF(SUM($B$71:AO71)+SUM($A$78:AN78)&gt;0,0,SUM($B$71:AO71)-SUM($A$78:AN78))</f>
        <v>-530787326.69196606</v>
      </c>
      <c r="AP78" s="225">
        <f>IF(SUM($B$71:AP71)+SUM($A$78:AO78)&gt;0,0,SUM($B$71:AP71)-SUM($A$78:AO78))</f>
        <v>-561290295.56701851</v>
      </c>
    </row>
    <row r="79" spans="1:45" x14ac:dyDescent="0.2">
      <c r="A79" s="233" t="s">
        <v>315</v>
      </c>
      <c r="B79" s="225">
        <f>IF(((SUM($B$59:B59)+SUM($B$61:B64))+SUM($B$81:B81))&lt;0,((SUM($B$59:B59)+SUM($B$61:B64))+SUM($B$81:B81))*0.18-SUM($A$79:A79),IF(SUM(A$79:$B79)&lt;0,0-SUM(A$79:$B79),0))</f>
        <v>-9.00003433227539E-3</v>
      </c>
      <c r="C79" s="225">
        <f>IF(((SUM($B$59:C59)+SUM($B$61:C64))+SUM($B$81:C81))&lt;0,((SUM($B$59:C59)+SUM($B$61:C64))+SUM($B$81:C81))*0.18-SUM($A$79:B79),IF(SUM($B$79:B79)&lt;0,0-SUM($B$79:B79),0))</f>
        <v>9.00003433227539E-3</v>
      </c>
      <c r="D79" s="225">
        <f>IF(((SUM($B$59:D59)+SUM($B$61:D64))+SUM($B$81:D81))&lt;0,((SUM($B$59:D59)+SUM($B$61:D64))+SUM($B$81:D81))*0.18-SUM($A$79:C79),IF(SUM($B$79:C79)&lt;0,0-SUM($B$79:C79),0))</f>
        <v>0</v>
      </c>
      <c r="E79" s="225">
        <f>IF(((SUM($B$59:E59)+SUM($B$61:E64))+SUM($B$81:E81))&lt;0,((SUM($B$59:E59)+SUM($B$61:E64))+SUM($B$81:E81))*0.18-SUM($A$79:D79),IF(SUM($B$79:D79)&lt;0,0-SUM($B$79:D79),0))</f>
        <v>0</v>
      </c>
      <c r="F79" s="225">
        <f>IF(((SUM($B$59:F59)+SUM($B$61:F64))+SUM($B$81:F81))&lt;0,((SUM($B$59:F59)+SUM($B$61:F64))+SUM($B$81:F81))*0.18-SUM($A$79:E79),IF(SUM($B$79:E79)&lt;0,0-SUM($B$79:E79),0))</f>
        <v>0</v>
      </c>
      <c r="G79" s="225">
        <f>IF(((SUM($B$59:G59)+SUM($B$61:G64))+SUM($B$81:G81))&lt;0,((SUM($B$59:G59)+SUM($B$61:G64))+SUM($B$81:G81))*0.18-SUM($A$79:F79),IF(SUM($B$79:F79)&lt;0,0-SUM($B$79:F79),0))</f>
        <v>0</v>
      </c>
      <c r="H79" s="225">
        <f>IF(((SUM($B$59:H59)+SUM($B$61:H64))+SUM($B$81:H81))&lt;0,((SUM($B$59:H59)+SUM($B$61:H64))+SUM($B$81:H81))*0.18-SUM($A$79:G79),IF(SUM($B$79:G79)&lt;0,0-SUM($B$79:G79),0))</f>
        <v>0</v>
      </c>
      <c r="I79" s="225">
        <f>IF(((SUM($B$59:I59)+SUM($B$61:I64))+SUM($B$81:I81))&lt;0,((SUM($B$59:I59)+SUM($B$61:I64))+SUM($B$81:I81))*0.18-SUM($A$79:H79),IF(SUM($B$79:H79)&lt;0,0-SUM($B$79:H79),0))</f>
        <v>0</v>
      </c>
      <c r="J79" s="225">
        <f>IF(((SUM($B$59:J59)+SUM($B$61:J64))+SUM($B$81:J81))&lt;0,((SUM($B$59:J59)+SUM($B$61:J64))+SUM($B$81:J81))*0.18-SUM($A$79:I79),IF(SUM($B$79:I79)&lt;0,0-SUM($B$79:I79),0))</f>
        <v>0</v>
      </c>
      <c r="K79" s="225">
        <f>IF(((SUM($B$59:K59)+SUM($B$61:K64))+SUM($B$81:K81))&lt;0,((SUM($B$59:K59)+SUM($B$61:K64))+SUM($B$81:K81))*0.18-SUM($A$79:J79),IF(SUM($B$79:J79)&lt;0,0-SUM($B$79:J79),0))</f>
        <v>0</v>
      </c>
      <c r="L79" s="225">
        <f>IF(((SUM($B$59:L59)+SUM($B$61:L64))+SUM($B$81:L81))&lt;0,((SUM($B$59:L59)+SUM($B$61:L64))+SUM($B$81:L81))*0.18-SUM($A$79:K79),IF(SUM($B$79:K79)&lt;0,0-SUM($B$79:K79),0))</f>
        <v>0</v>
      </c>
      <c r="M79" s="225">
        <f>IF(((SUM($B$59:M59)+SUM($B$61:M64))+SUM($B$81:M81))&lt;0,((SUM($B$59:M59)+SUM($B$61:M64))+SUM($B$81:M81))*0.18-SUM($A$79:L79),IF(SUM($B$79:L79)&lt;0,0-SUM($B$79:L79),0))</f>
        <v>0</v>
      </c>
      <c r="N79" s="225">
        <f>IF(((SUM($B$59:N59)+SUM($B$61:N64))+SUM($B$81:N81))&lt;0,((SUM($B$59:N59)+SUM($B$61:N64))+SUM($B$81:N81))*0.18-SUM($A$79:M79),IF(SUM($B$79:M79)&lt;0,0-SUM($B$79:M79),0))</f>
        <v>0</v>
      </c>
      <c r="O79" s="225">
        <f>IF(((SUM($B$59:O59)+SUM($B$61:O64))+SUM($B$81:O81))&lt;0,((SUM($B$59:O59)+SUM($B$61:O64))+SUM($B$81:O81))*0.18-SUM($A$79:N79),IF(SUM($B$79:N79)&lt;0,0-SUM($B$79:N79),0))</f>
        <v>0</v>
      </c>
      <c r="P79" s="225">
        <f>IF(((SUM($B$59:P59)+SUM($B$61:P64))+SUM($B$81:P81))&lt;0,((SUM($B$59:P59)+SUM($B$61:P64))+SUM($B$81:P81))*0.18-SUM($A$79:O79),IF(SUM($B$79:O79)&lt;0,0-SUM($B$79:O79),0))</f>
        <v>0</v>
      </c>
      <c r="Q79" s="225">
        <f>IF(((SUM($B$59:Q59)+SUM($B$61:Q64))+SUM($B$81:Q81))&lt;0,((SUM($B$59:Q59)+SUM($B$61:Q64))+SUM($B$81:Q81))*0.18-SUM($A$79:P79),IF(SUM($B$79:P79)&lt;0,0-SUM($B$79:P79),0))</f>
        <v>0</v>
      </c>
      <c r="R79" s="225">
        <f>IF(((SUM($B$59:R59)+SUM($B$61:R64))+SUM($B$81:R81))&lt;0,((SUM($B$59:R59)+SUM($B$61:R64))+SUM($B$81:R81))*0.18-SUM($A$79:Q79),IF(SUM($B$79:Q79)&lt;0,0-SUM($B$79:Q79),0))</f>
        <v>0</v>
      </c>
      <c r="S79" s="225">
        <f>IF(((SUM($B$59:S59)+SUM($B$61:S64))+SUM($B$81:S81))&lt;0,((SUM($B$59:S59)+SUM($B$61:S64))+SUM($B$81:S81))*0.18-SUM($A$79:R79),IF(SUM($B$79:R79)&lt;0,0-SUM($B$79:R79),0))</f>
        <v>0</v>
      </c>
      <c r="T79" s="225">
        <f>IF(((SUM($B$59:T59)+SUM($B$61:T64))+SUM($B$81:T81))&lt;0,((SUM($B$59:T59)+SUM($B$61:T64))+SUM($B$81:T81))*0.18-SUM($A$79:S79),IF(SUM($B$79:S79)&lt;0,0-SUM($B$79:S79),0))</f>
        <v>0</v>
      </c>
      <c r="U79" s="225">
        <f>IF(((SUM($B$59:U59)+SUM($B$61:U64))+SUM($B$81:U81))&lt;0,((SUM($B$59:U59)+SUM($B$61:U64))+SUM($B$81:U81))*0.18-SUM($A$79:T79),IF(SUM($B$79:T79)&lt;0,0-SUM($B$79:T79),0))</f>
        <v>0</v>
      </c>
      <c r="V79" s="225">
        <f>IF(((SUM($B$59:V59)+SUM($B$61:V64))+SUM($B$81:V81))&lt;0,((SUM($B$59:V59)+SUM($B$61:V64))+SUM($B$81:V81))*0.18-SUM($A$79:U79),IF(SUM($B$79:U79)&lt;0,0-SUM($B$79:U79),0))</f>
        <v>0</v>
      </c>
      <c r="W79" s="225">
        <f>IF(((SUM($B$59:W59)+SUM($B$61:W64))+SUM($B$81:W81))&lt;0,((SUM($B$59:W59)+SUM($B$61:W64))+SUM($B$81:W81))*0.18-SUM($A$79:V79),IF(SUM($B$79:V79)&lt;0,0-SUM($B$79:V79),0))</f>
        <v>0</v>
      </c>
      <c r="X79" s="225">
        <f>IF(((SUM($B$59:X59)+SUM($B$61:X64))+SUM($B$81:X81))&lt;0,((SUM($B$59:X59)+SUM($B$61:X64))+SUM($B$81:X81))*0.18-SUM($A$79:W79),IF(SUM($B$79:W79)&lt;0,0-SUM($B$79:W79),0))</f>
        <v>0</v>
      </c>
      <c r="Y79" s="225">
        <f>IF(((SUM($B$59:Y59)+SUM($B$61:Y64))+SUM($B$81:Y81))&lt;0,((SUM($B$59:Y59)+SUM($B$61:Y64))+SUM($B$81:Y81))*0.18-SUM($A$79:X79),IF(SUM($B$79:X79)&lt;0,0-SUM($B$79:X79),0))</f>
        <v>0</v>
      </c>
      <c r="Z79" s="225">
        <f>IF(((SUM($B$59:Z59)+SUM($B$61:Z64))+SUM($B$81:Z81))&lt;0,((SUM($B$59:Z59)+SUM($B$61:Z64))+SUM($B$81:Z81))*0.18-SUM($A$79:Y79),IF(SUM($B$79:Y79)&lt;0,0-SUM($B$79:Y79),0))</f>
        <v>0</v>
      </c>
      <c r="AA79" s="225">
        <f>IF(((SUM($B$59:AA59)+SUM($B$61:AA64))+SUM($B$81:AA81))&lt;0,((SUM($B$59:AA59)+SUM($B$61:AA64))+SUM($B$81:AA81))*0.18-SUM($A$79:Z79),IF(SUM($B$79:Z79)&lt;0,0-SUM($B$79:Z79),0))</f>
        <v>0</v>
      </c>
      <c r="AB79" s="225">
        <f>IF(((SUM($B$59:AB59)+SUM($B$61:AB64))+SUM($B$81:AB81))&lt;0,((SUM($B$59:AB59)+SUM($B$61:AB64))+SUM($B$81:AB81))*0.18-SUM($A$79:AA79),IF(SUM($B$79:AA79)&lt;0,0-SUM($B$79:AA79),0))</f>
        <v>0</v>
      </c>
      <c r="AC79" s="225">
        <f>IF(((SUM($B$59:AC59)+SUM($B$61:AC64))+SUM($B$81:AC81))&lt;0,((SUM($B$59:AC59)+SUM($B$61:AC64))+SUM($B$81:AC81))*0.18-SUM($A$79:AB79),IF(SUM($B$79:AB79)&lt;0,0-SUM($B$79:AB79),0))</f>
        <v>0</v>
      </c>
      <c r="AD79" s="225">
        <f>IF(((SUM($B$59:AD59)+SUM($B$61:AD64))+SUM($B$81:AD81))&lt;0,((SUM($B$59:AD59)+SUM($B$61:AD64))+SUM($B$81:AD81))*0.18-SUM($A$79:AC79),IF(SUM($B$79:AC79)&lt;0,0-SUM($B$79:AC79),0))</f>
        <v>0</v>
      </c>
      <c r="AE79" s="225">
        <f>IF(((SUM($B$59:AE59)+SUM($B$61:AE64))+SUM($B$81:AE81))&lt;0,((SUM($B$59:AE59)+SUM($B$61:AE64))+SUM($B$81:AE81))*0.18-SUM($A$79:AD79),IF(SUM($B$79:AD79)&lt;0,0-SUM($B$79:AD79),0))</f>
        <v>0</v>
      </c>
      <c r="AF79" s="225">
        <f>IF(((SUM($B$59:AF59)+SUM($B$61:AF64))+SUM($B$81:AF81))&lt;0,((SUM($B$59:AF59)+SUM($B$61:AF64))+SUM($B$81:AF81))*0.18-SUM($A$79:AE79),IF(SUM($B$79:AE79)&lt;0,0-SUM($B$79:AE79),0))</f>
        <v>0</v>
      </c>
      <c r="AG79" s="225">
        <f>IF(((SUM($B$59:AG59)+SUM($B$61:AG64))+SUM($B$81:AG81))&lt;0,((SUM($B$59:AG59)+SUM($B$61:AG64))+SUM($B$81:AG81))*0.18-SUM($A$79:AF79),IF(SUM($B$79:AF79)&lt;0,0-SUM($B$79:AF79),0))</f>
        <v>0</v>
      </c>
      <c r="AH79" s="225">
        <f>IF(((SUM($B$59:AH59)+SUM($B$61:AH64))+SUM($B$81:AH81))&lt;0,((SUM($B$59:AH59)+SUM($B$61:AH64))+SUM($B$81:AH81))*0.18-SUM($A$79:AG79),IF(SUM($B$79:AG79)&lt;0,0-SUM($B$79:AG79),0))</f>
        <v>0</v>
      </c>
      <c r="AI79" s="225">
        <f>IF(((SUM($B$59:AI59)+SUM($B$61:AI64))+SUM($B$81:AI81))&lt;0,((SUM($B$59:AI59)+SUM($B$61:AI64))+SUM($B$81:AI81))*0.18-SUM($A$79:AH79),IF(SUM($B$79:AH79)&lt;0,0-SUM($B$79:AH79),0))</f>
        <v>0</v>
      </c>
      <c r="AJ79" s="225">
        <f>IF(((SUM($B$59:AJ59)+SUM($B$61:AJ64))+SUM($B$81:AJ81))&lt;0,((SUM($B$59:AJ59)+SUM($B$61:AJ64))+SUM($B$81:AJ81))*0.18-SUM($A$79:AI79),IF(SUM($B$79:AI79)&lt;0,0-SUM($B$79:AI79),0))</f>
        <v>0</v>
      </c>
      <c r="AK79" s="225">
        <f>IF(((SUM($B$59:AK59)+SUM($B$61:AK64))+SUM($B$81:AK81))&lt;0,((SUM($B$59:AK59)+SUM($B$61:AK64))+SUM($B$81:AK81))*0.18-SUM($A$79:AJ79),IF(SUM($B$79:AJ79)&lt;0,0-SUM($B$79:AJ79),0))</f>
        <v>0</v>
      </c>
      <c r="AL79" s="225">
        <f>IF(((SUM($B$59:AL59)+SUM($B$61:AL64))+SUM($B$81:AL81))&lt;0,((SUM($B$59:AL59)+SUM($B$61:AL64))+SUM($B$81:AL81))*0.18-SUM($A$79:AK79),IF(SUM($B$79:AK79)&lt;0,0-SUM($B$79:AK79),0))</f>
        <v>0</v>
      </c>
      <c r="AM79" s="225">
        <f>IF(((SUM($B$59:AM59)+SUM($B$61:AM64))+SUM($B$81:AM81))&lt;0,((SUM($B$59:AM59)+SUM($B$61:AM64))+SUM($B$81:AM81))*0.18-SUM($A$79:AL79),IF(SUM($B$79:AL79)&lt;0,0-SUM($B$79:AL79),0))</f>
        <v>0</v>
      </c>
      <c r="AN79" s="225">
        <f>IF(((SUM($B$59:AN59)+SUM($B$61:AN64))+SUM($B$81:AN81))&lt;0,((SUM($B$59:AN59)+SUM($B$61:AN64))+SUM($B$81:AN81))*0.18-SUM($A$79:AM79),IF(SUM($B$79:AM79)&lt;0,0-SUM($B$79:AM79),0))</f>
        <v>0</v>
      </c>
      <c r="AO79" s="225">
        <f>IF(((SUM($B$59:AO59)+SUM($B$61:AO64))+SUM($B$81:AO81))&lt;0,((SUM($B$59:AO59)+SUM($B$61:AO64))+SUM($B$81:AO81))*0.18-SUM($A$79:AN79),IF(SUM($B$79:AN79)&lt;0,0-SUM($B$79:AN79),0))</f>
        <v>0</v>
      </c>
      <c r="AP79" s="225">
        <f>IF(((SUM($B$59:AP59)+SUM($B$61:AP64))+SUM($B$81:AP81))&lt;0,((SUM($B$59:AP59)+SUM($B$61:AP64))+SUM($B$81:AP81))*0.18-SUM($A$79:AO79),IF(SUM($B$79:AO79)&lt;0,0-SUM($B$79:AO79),0))</f>
        <v>0</v>
      </c>
    </row>
    <row r="80" spans="1:45" x14ac:dyDescent="0.2">
      <c r="A80" s="233" t="s">
        <v>314</v>
      </c>
      <c r="B80" s="225">
        <f>-B59*(B39)</f>
        <v>0</v>
      </c>
      <c r="C80" s="225">
        <f t="shared" ref="C80:AP80" si="25">-(C59-B59)*$B$39</f>
        <v>0</v>
      </c>
      <c r="D80" s="225">
        <f t="shared" si="25"/>
        <v>0</v>
      </c>
      <c r="E80" s="225">
        <f t="shared" si="25"/>
        <v>0</v>
      </c>
      <c r="F80" s="225">
        <f t="shared" si="25"/>
        <v>0</v>
      </c>
      <c r="G80" s="225">
        <f t="shared" si="25"/>
        <v>0</v>
      </c>
      <c r="H80" s="225">
        <f t="shared" si="25"/>
        <v>0</v>
      </c>
      <c r="I80" s="225">
        <f t="shared" si="25"/>
        <v>0</v>
      </c>
      <c r="J80" s="225">
        <f t="shared" si="25"/>
        <v>0</v>
      </c>
      <c r="K80" s="225">
        <f t="shared" si="25"/>
        <v>0</v>
      </c>
      <c r="L80" s="225">
        <f t="shared" si="25"/>
        <v>0</v>
      </c>
      <c r="M80" s="225">
        <f t="shared" si="25"/>
        <v>0</v>
      </c>
      <c r="N80" s="225">
        <f t="shared" si="25"/>
        <v>0</v>
      </c>
      <c r="O80" s="225">
        <f t="shared" si="25"/>
        <v>0</v>
      </c>
      <c r="P80" s="225">
        <f t="shared" si="25"/>
        <v>0</v>
      </c>
      <c r="Q80" s="225">
        <f t="shared" si="25"/>
        <v>0</v>
      </c>
      <c r="R80" s="225">
        <f t="shared" si="25"/>
        <v>0</v>
      </c>
      <c r="S80" s="225">
        <f t="shared" si="25"/>
        <v>0</v>
      </c>
      <c r="T80" s="225">
        <f t="shared" si="25"/>
        <v>0</v>
      </c>
      <c r="U80" s="225">
        <f t="shared" si="25"/>
        <v>0</v>
      </c>
      <c r="V80" s="225">
        <f t="shared" si="25"/>
        <v>0</v>
      </c>
      <c r="W80" s="225">
        <f t="shared" si="25"/>
        <v>0</v>
      </c>
      <c r="X80" s="225">
        <f t="shared" si="25"/>
        <v>0</v>
      </c>
      <c r="Y80" s="225">
        <f t="shared" si="25"/>
        <v>0</v>
      </c>
      <c r="Z80" s="225">
        <f t="shared" si="25"/>
        <v>0</v>
      </c>
      <c r="AA80" s="225">
        <f t="shared" si="25"/>
        <v>0</v>
      </c>
      <c r="AB80" s="225">
        <f t="shared" si="25"/>
        <v>0</v>
      </c>
      <c r="AC80" s="225">
        <f t="shared" si="25"/>
        <v>0</v>
      </c>
      <c r="AD80" s="225">
        <f t="shared" si="25"/>
        <v>0</v>
      </c>
      <c r="AE80" s="225">
        <f t="shared" si="25"/>
        <v>0</v>
      </c>
      <c r="AF80" s="225">
        <f t="shared" si="25"/>
        <v>0</v>
      </c>
      <c r="AG80" s="225">
        <f t="shared" si="25"/>
        <v>0</v>
      </c>
      <c r="AH80" s="225">
        <f t="shared" si="25"/>
        <v>0</v>
      </c>
      <c r="AI80" s="225">
        <f t="shared" si="25"/>
        <v>0</v>
      </c>
      <c r="AJ80" s="225">
        <f t="shared" si="25"/>
        <v>0</v>
      </c>
      <c r="AK80" s="225">
        <f t="shared" si="25"/>
        <v>0</v>
      </c>
      <c r="AL80" s="225">
        <f t="shared" si="25"/>
        <v>0</v>
      </c>
      <c r="AM80" s="225">
        <f t="shared" si="25"/>
        <v>0</v>
      </c>
      <c r="AN80" s="225">
        <f t="shared" si="25"/>
        <v>0</v>
      </c>
      <c r="AO80" s="225">
        <f t="shared" si="25"/>
        <v>0</v>
      </c>
      <c r="AP80" s="225">
        <f t="shared" si="25"/>
        <v>0</v>
      </c>
    </row>
    <row r="81" spans="1:45" x14ac:dyDescent="0.2">
      <c r="A81" s="233" t="s">
        <v>559</v>
      </c>
      <c r="B81" s="225">
        <f>-$B$126</f>
        <v>-2976513424.9886146</v>
      </c>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36">
        <f>SUM(B81:AP81)</f>
        <v>-2976513424.9886146</v>
      </c>
      <c r="AR81" s="237"/>
    </row>
    <row r="82" spans="1:45" x14ac:dyDescent="0.2">
      <c r="A82" s="233" t="s">
        <v>313</v>
      </c>
      <c r="B82" s="225">
        <f t="shared" ref="B82:AO82" si="26">B54-B55</f>
        <v>0</v>
      </c>
      <c r="C82" s="225">
        <f t="shared" si="26"/>
        <v>0</v>
      </c>
      <c r="D82" s="225">
        <f t="shared" si="26"/>
        <v>0</v>
      </c>
      <c r="E82" s="225">
        <f t="shared" si="26"/>
        <v>0</v>
      </c>
      <c r="F82" s="225">
        <f t="shared" si="26"/>
        <v>0</v>
      </c>
      <c r="G82" s="225">
        <f t="shared" si="26"/>
        <v>0</v>
      </c>
      <c r="H82" s="225">
        <f t="shared" si="26"/>
        <v>0</v>
      </c>
      <c r="I82" s="225">
        <f t="shared" si="26"/>
        <v>0</v>
      </c>
      <c r="J82" s="225">
        <f t="shared" si="26"/>
        <v>0</v>
      </c>
      <c r="K82" s="225">
        <f t="shared" si="26"/>
        <v>0</v>
      </c>
      <c r="L82" s="225">
        <f t="shared" si="26"/>
        <v>0</v>
      </c>
      <c r="M82" s="225">
        <f t="shared" si="26"/>
        <v>0</v>
      </c>
      <c r="N82" s="225">
        <f t="shared" si="26"/>
        <v>0</v>
      </c>
      <c r="O82" s="225">
        <f t="shared" si="26"/>
        <v>0</v>
      </c>
      <c r="P82" s="225">
        <f t="shared" si="26"/>
        <v>0</v>
      </c>
      <c r="Q82" s="225">
        <f t="shared" si="26"/>
        <v>0</v>
      </c>
      <c r="R82" s="225">
        <f t="shared" si="26"/>
        <v>0</v>
      </c>
      <c r="S82" s="225">
        <f t="shared" si="26"/>
        <v>0</v>
      </c>
      <c r="T82" s="225">
        <f t="shared" si="26"/>
        <v>0</v>
      </c>
      <c r="U82" s="225">
        <f t="shared" si="26"/>
        <v>0</v>
      </c>
      <c r="V82" s="225">
        <f t="shared" si="26"/>
        <v>0</v>
      </c>
      <c r="W82" s="225">
        <f t="shared" si="26"/>
        <v>0</v>
      </c>
      <c r="X82" s="225">
        <f t="shared" si="26"/>
        <v>0</v>
      </c>
      <c r="Y82" s="225">
        <f t="shared" si="26"/>
        <v>0</v>
      </c>
      <c r="Z82" s="225">
        <f t="shared" si="26"/>
        <v>0</v>
      </c>
      <c r="AA82" s="225">
        <f t="shared" si="26"/>
        <v>0</v>
      </c>
      <c r="AB82" s="225">
        <f t="shared" si="26"/>
        <v>0</v>
      </c>
      <c r="AC82" s="225">
        <f t="shared" si="26"/>
        <v>0</v>
      </c>
      <c r="AD82" s="225">
        <f t="shared" si="26"/>
        <v>0</v>
      </c>
      <c r="AE82" s="225">
        <f t="shared" si="26"/>
        <v>0</v>
      </c>
      <c r="AF82" s="225">
        <f t="shared" si="26"/>
        <v>0</v>
      </c>
      <c r="AG82" s="225">
        <f t="shared" si="26"/>
        <v>0</v>
      </c>
      <c r="AH82" s="225">
        <f t="shared" si="26"/>
        <v>0</v>
      </c>
      <c r="AI82" s="225">
        <f t="shared" si="26"/>
        <v>0</v>
      </c>
      <c r="AJ82" s="225">
        <f t="shared" si="26"/>
        <v>0</v>
      </c>
      <c r="AK82" s="225">
        <f t="shared" si="26"/>
        <v>0</v>
      </c>
      <c r="AL82" s="225">
        <f t="shared" si="26"/>
        <v>0</v>
      </c>
      <c r="AM82" s="225">
        <f t="shared" si="26"/>
        <v>0</v>
      </c>
      <c r="AN82" s="225">
        <f t="shared" si="26"/>
        <v>0</v>
      </c>
      <c r="AO82" s="225">
        <f t="shared" si="26"/>
        <v>0</v>
      </c>
      <c r="AP82" s="225">
        <f>AP54-AP55</f>
        <v>0</v>
      </c>
    </row>
    <row r="83" spans="1:45" ht="14.25" x14ac:dyDescent="0.2">
      <c r="A83" s="234" t="s">
        <v>312</v>
      </c>
      <c r="B83" s="232">
        <f>SUM(B75:B82)</f>
        <v>-595302685.04672289</v>
      </c>
      <c r="C83" s="232">
        <f t="shared" ref="C83:V83" si="27">SUM(C75:C82)</f>
        <v>102643223.55432315</v>
      </c>
      <c r="D83" s="232">
        <f t="shared" si="27"/>
        <v>216724598.62543708</v>
      </c>
      <c r="E83" s="232">
        <f t="shared" si="27"/>
        <v>346624996.44999903</v>
      </c>
      <c r="F83" s="232">
        <f t="shared" si="27"/>
        <v>364379705.347754</v>
      </c>
      <c r="G83" s="232">
        <f t="shared" si="27"/>
        <v>383110923.23488539</v>
      </c>
      <c r="H83" s="232">
        <f t="shared" si="27"/>
        <v>402872358.10580915</v>
      </c>
      <c r="I83" s="232">
        <f t="shared" si="27"/>
        <v>423720671.89463359</v>
      </c>
      <c r="J83" s="232">
        <f t="shared" si="27"/>
        <v>445715642.94184339</v>
      </c>
      <c r="K83" s="232">
        <f t="shared" si="27"/>
        <v>468920337.39664984</v>
      </c>
      <c r="L83" s="232">
        <f t="shared" si="27"/>
        <v>493401290.04647064</v>
      </c>
      <c r="M83" s="232">
        <f t="shared" si="27"/>
        <v>519228695.09203136</v>
      </c>
      <c r="N83" s="232">
        <f t="shared" si="27"/>
        <v>546476607.41509807</v>
      </c>
      <c r="O83" s="232">
        <f t="shared" si="27"/>
        <v>575223154.91593349</v>
      </c>
      <c r="P83" s="232">
        <f t="shared" si="27"/>
        <v>605550762.52931499</v>
      </c>
      <c r="Q83" s="232">
        <f t="shared" si="27"/>
        <v>637546388.561432</v>
      </c>
      <c r="R83" s="232">
        <f t="shared" si="27"/>
        <v>671301774.02531588</v>
      </c>
      <c r="S83" s="232">
        <f t="shared" si="27"/>
        <v>706913705.68971324</v>
      </c>
      <c r="T83" s="232">
        <f t="shared" si="27"/>
        <v>744484293.5956521</v>
      </c>
      <c r="U83" s="232">
        <f t="shared" si="27"/>
        <v>784121263.83641803</v>
      </c>
      <c r="V83" s="232">
        <f t="shared" si="27"/>
        <v>825938267.44042599</v>
      </c>
      <c r="W83" s="232">
        <f>SUM(W75:W82)</f>
        <v>870055206.24265432</v>
      </c>
      <c r="X83" s="232">
        <f>SUM(X75:X82)</f>
        <v>916598576.67900538</v>
      </c>
      <c r="Y83" s="232">
        <f>SUM(Y75:Y82)</f>
        <v>965701832.48935556</v>
      </c>
      <c r="Z83" s="232">
        <f>SUM(Z75:Z82)</f>
        <v>1017505767.3692751</v>
      </c>
      <c r="AA83" s="232">
        <f t="shared" ref="AA83:AP83" si="28">SUM(AA75:AA82)</f>
        <v>1072158918.6675904</v>
      </c>
      <c r="AB83" s="232">
        <f t="shared" si="28"/>
        <v>1129817993.287313</v>
      </c>
      <c r="AC83" s="232">
        <f t="shared" si="28"/>
        <v>1190648317.0111196</v>
      </c>
      <c r="AD83" s="232">
        <f t="shared" si="28"/>
        <v>1254824308.5397363</v>
      </c>
      <c r="AE83" s="232">
        <f t="shared" si="28"/>
        <v>1322529979.6024265</v>
      </c>
      <c r="AF83" s="232">
        <f t="shared" si="28"/>
        <v>1393959462.573565</v>
      </c>
      <c r="AG83" s="232">
        <f t="shared" si="28"/>
        <v>1469317567.1081166</v>
      </c>
      <c r="AH83" s="232">
        <f t="shared" si="28"/>
        <v>1548820367.3920679</v>
      </c>
      <c r="AI83" s="232">
        <f t="shared" si="28"/>
        <v>1632695821.6916356</v>
      </c>
      <c r="AJ83" s="232">
        <f t="shared" si="28"/>
        <v>1721184425.9776807</v>
      </c>
      <c r="AK83" s="232">
        <f t="shared" si="28"/>
        <v>1814539903.4994588</v>
      </c>
      <c r="AL83" s="232">
        <f t="shared" si="28"/>
        <v>1913029932.2849331</v>
      </c>
      <c r="AM83" s="232">
        <f t="shared" si="28"/>
        <v>2016936912.6536098</v>
      </c>
      <c r="AN83" s="232">
        <f t="shared" si="28"/>
        <v>2126558776.9425626</v>
      </c>
      <c r="AO83" s="232">
        <f t="shared" si="28"/>
        <v>2242209843.7674093</v>
      </c>
      <c r="AP83" s="232">
        <f t="shared" si="28"/>
        <v>2364221719.2676225</v>
      </c>
    </row>
    <row r="84" spans="1:45" ht="14.25" x14ac:dyDescent="0.2">
      <c r="A84" s="234" t="s">
        <v>311</v>
      </c>
      <c r="B84" s="232">
        <f>SUM($B$83:B83)</f>
        <v>-595302685.04672289</v>
      </c>
      <c r="C84" s="232">
        <f>SUM($B$83:C83)</f>
        <v>-492659461.49239975</v>
      </c>
      <c r="D84" s="232">
        <f>SUM($B$83:D83)</f>
        <v>-275934862.86696267</v>
      </c>
      <c r="E84" s="232">
        <f>SUM($B$83:E83)</f>
        <v>70690133.583036363</v>
      </c>
      <c r="F84" s="232">
        <f>SUM($B$83:F83)</f>
        <v>435069838.93079036</v>
      </c>
      <c r="G84" s="232">
        <f>SUM($B$83:G83)</f>
        <v>818180762.16567576</v>
      </c>
      <c r="H84" s="232">
        <f>SUM($B$83:H83)</f>
        <v>1221053120.2714849</v>
      </c>
      <c r="I84" s="232">
        <f>SUM($B$83:I83)</f>
        <v>1644773792.1661184</v>
      </c>
      <c r="J84" s="232">
        <f>SUM($B$83:J83)</f>
        <v>2090489435.1079617</v>
      </c>
      <c r="K84" s="232">
        <f>SUM($B$83:K83)</f>
        <v>2559409772.5046115</v>
      </c>
      <c r="L84" s="232">
        <f>SUM($B$83:L83)</f>
        <v>3052811062.5510821</v>
      </c>
      <c r="M84" s="232">
        <f>SUM($B$83:M83)</f>
        <v>3572039757.6431136</v>
      </c>
      <c r="N84" s="232">
        <f>SUM($B$83:N83)</f>
        <v>4118516365.0582118</v>
      </c>
      <c r="O84" s="232">
        <f>SUM($B$83:O83)</f>
        <v>4693739519.9741449</v>
      </c>
      <c r="P84" s="232">
        <f>SUM($B$83:P83)</f>
        <v>5299290282.5034599</v>
      </c>
      <c r="Q84" s="232">
        <f>SUM($B$83:Q83)</f>
        <v>5936836671.0648918</v>
      </c>
      <c r="R84" s="232">
        <f>SUM($B$83:R83)</f>
        <v>6608138445.0902081</v>
      </c>
      <c r="S84" s="232">
        <f>SUM($B$83:S83)</f>
        <v>7315052150.7799215</v>
      </c>
      <c r="T84" s="232">
        <f>SUM($B$83:T83)</f>
        <v>8059536444.3755741</v>
      </c>
      <c r="U84" s="232">
        <f>SUM($B$83:U83)</f>
        <v>8843657708.2119923</v>
      </c>
      <c r="V84" s="232">
        <f>SUM($B$83:V83)</f>
        <v>9669595975.6524181</v>
      </c>
      <c r="W84" s="232">
        <f>SUM($B$83:W83)</f>
        <v>10539651181.895073</v>
      </c>
      <c r="X84" s="232">
        <f>SUM($B$83:X83)</f>
        <v>11456249758.574078</v>
      </c>
      <c r="Y84" s="232">
        <f>SUM($B$83:Y83)</f>
        <v>12421951591.063433</v>
      </c>
      <c r="Z84" s="232">
        <f>SUM($B$83:Z83)</f>
        <v>13439457358.432709</v>
      </c>
      <c r="AA84" s="232">
        <f>SUM($B$83:AA83)</f>
        <v>14511616277.1003</v>
      </c>
      <c r="AB84" s="232">
        <f>SUM($B$83:AB83)</f>
        <v>15641434270.387613</v>
      </c>
      <c r="AC84" s="232">
        <f>SUM($B$83:AC83)</f>
        <v>16832082587.398733</v>
      </c>
      <c r="AD84" s="232">
        <f>SUM($B$83:AD83)</f>
        <v>18086906895.938469</v>
      </c>
      <c r="AE84" s="232">
        <f>SUM($B$83:AE83)</f>
        <v>19409436875.540894</v>
      </c>
      <c r="AF84" s="232">
        <f>SUM($B$83:AF83)</f>
        <v>20803396338.11446</v>
      </c>
      <c r="AG84" s="232">
        <f>SUM($B$83:AG83)</f>
        <v>22272713905.222576</v>
      </c>
      <c r="AH84" s="232">
        <f>SUM($B$83:AH83)</f>
        <v>23821534272.614643</v>
      </c>
      <c r="AI84" s="232">
        <f>SUM($B$83:AI83)</f>
        <v>25454230094.306278</v>
      </c>
      <c r="AJ84" s="232">
        <f>SUM($B$83:AJ83)</f>
        <v>27175414520.283958</v>
      </c>
      <c r="AK84" s="232">
        <f>SUM($B$83:AK83)</f>
        <v>28989954423.783417</v>
      </c>
      <c r="AL84" s="232">
        <f>SUM($B$83:AL83)</f>
        <v>30902984356.068352</v>
      </c>
      <c r="AM84" s="232">
        <f>SUM($B$83:AM83)</f>
        <v>32919921268.721962</v>
      </c>
      <c r="AN84" s="232">
        <f>SUM($B$83:AN83)</f>
        <v>35046480045.664528</v>
      </c>
      <c r="AO84" s="232">
        <f>SUM($B$83:AO83)</f>
        <v>37288689889.431938</v>
      </c>
      <c r="AP84" s="232">
        <f>SUM($B$83:AP83)</f>
        <v>39652911608.699562</v>
      </c>
    </row>
    <row r="85" spans="1:45" x14ac:dyDescent="0.2">
      <c r="A85" s="233" t="s">
        <v>560</v>
      </c>
      <c r="B85" s="242">
        <f t="shared" ref="B85:AP85" si="29">1/POWER((1+$B$44),B73)</f>
        <v>0.9109750373485539</v>
      </c>
      <c r="C85" s="242">
        <f t="shared" si="29"/>
        <v>0.75599588161705711</v>
      </c>
      <c r="D85" s="242">
        <f t="shared" si="29"/>
        <v>0.6273824743710017</v>
      </c>
      <c r="E85" s="242">
        <f t="shared" si="29"/>
        <v>0.52064935632448273</v>
      </c>
      <c r="F85" s="242">
        <f t="shared" si="29"/>
        <v>0.43207415462612664</v>
      </c>
      <c r="G85" s="242">
        <f t="shared" si="29"/>
        <v>0.35856776317520883</v>
      </c>
      <c r="H85" s="242">
        <f t="shared" si="29"/>
        <v>0.29756660844415667</v>
      </c>
      <c r="I85" s="242">
        <f t="shared" si="29"/>
        <v>0.24694324352212174</v>
      </c>
      <c r="J85" s="242">
        <f t="shared" si="29"/>
        <v>0.20493215230051592</v>
      </c>
      <c r="K85" s="242">
        <f t="shared" si="29"/>
        <v>0.1700681761830008</v>
      </c>
      <c r="L85" s="242">
        <f t="shared" si="29"/>
        <v>0.14113541591950271</v>
      </c>
      <c r="M85" s="242">
        <f t="shared" si="29"/>
        <v>0.11712482648921385</v>
      </c>
      <c r="N85" s="242">
        <f t="shared" si="29"/>
        <v>9.719902613212765E-2</v>
      </c>
      <c r="O85" s="242">
        <f t="shared" si="29"/>
        <v>8.0663092225832109E-2</v>
      </c>
      <c r="P85" s="242">
        <f t="shared" si="29"/>
        <v>6.6940325498615838E-2</v>
      </c>
      <c r="Q85" s="242">
        <f t="shared" si="29"/>
        <v>5.5552137343249659E-2</v>
      </c>
      <c r="R85" s="242">
        <f t="shared" si="29"/>
        <v>4.6101358791078552E-2</v>
      </c>
      <c r="S85" s="242">
        <f t="shared" si="29"/>
        <v>3.825838903823945E-2</v>
      </c>
      <c r="T85" s="242">
        <f t="shared" si="29"/>
        <v>3.174970044667174E-2</v>
      </c>
      <c r="U85" s="242">
        <f t="shared" si="29"/>
        <v>2.6348299125868668E-2</v>
      </c>
      <c r="V85" s="242">
        <f t="shared" si="29"/>
        <v>2.1865808403210511E-2</v>
      </c>
      <c r="W85" s="242">
        <f t="shared" si="29"/>
        <v>1.814589908980126E-2</v>
      </c>
      <c r="X85" s="242">
        <f t="shared" si="29"/>
        <v>1.5058837418922204E-2</v>
      </c>
      <c r="Y85" s="242">
        <f t="shared" si="29"/>
        <v>1.2496960513628384E-2</v>
      </c>
      <c r="Z85" s="242">
        <f t="shared" si="29"/>
        <v>1.0370921588073345E-2</v>
      </c>
      <c r="AA85" s="242">
        <f t="shared" si="29"/>
        <v>8.6065739320110735E-3</v>
      </c>
      <c r="AB85" s="242">
        <f t="shared" si="29"/>
        <v>7.1423850058183183E-3</v>
      </c>
      <c r="AC85" s="242">
        <f t="shared" si="29"/>
        <v>5.9272904612600145E-3</v>
      </c>
      <c r="AD85" s="242">
        <f t="shared" si="29"/>
        <v>4.9189132458589318E-3</v>
      </c>
      <c r="AE85" s="242">
        <f t="shared" si="29"/>
        <v>4.082085681210732E-3</v>
      </c>
      <c r="AF85" s="242">
        <f t="shared" si="29"/>
        <v>3.3876229719591129E-3</v>
      </c>
      <c r="AG85" s="242">
        <f t="shared" si="29"/>
        <v>2.8113053709204251E-3</v>
      </c>
      <c r="AH85" s="242">
        <f t="shared" si="29"/>
        <v>2.3330335028385286E-3</v>
      </c>
      <c r="AI85" s="242">
        <f t="shared" si="29"/>
        <v>1.9361273882477412E-3</v>
      </c>
      <c r="AJ85" s="242">
        <f t="shared" si="29"/>
        <v>1.6067447205375444E-3</v>
      </c>
      <c r="AK85" s="242">
        <f t="shared" si="29"/>
        <v>1.3333981083299121E-3</v>
      </c>
      <c r="AL85" s="242">
        <f t="shared" si="29"/>
        <v>1.1065544467468149E-3</v>
      </c>
      <c r="AM85" s="242">
        <f t="shared" si="29"/>
        <v>9.1830244543304122E-4</v>
      </c>
      <c r="AN85" s="242">
        <f t="shared" si="29"/>
        <v>7.6207671820169396E-4</v>
      </c>
      <c r="AO85" s="242">
        <f t="shared" si="29"/>
        <v>6.3242881178563804E-4</v>
      </c>
      <c r="AP85" s="242">
        <f t="shared" si="29"/>
        <v>5.2483718820384888E-4</v>
      </c>
    </row>
    <row r="86" spans="1:45" ht="28.5" x14ac:dyDescent="0.2">
      <c r="A86" s="231" t="s">
        <v>310</v>
      </c>
      <c r="B86" s="232">
        <f>B83*B85</f>
        <v>-542305885.74413276</v>
      </c>
      <c r="C86" s="232">
        <f>C83*C85</f>
        <v>77597854.28296721</v>
      </c>
      <c r="D86" s="232">
        <f t="shared" ref="D86:AO86" si="30">D83*D85</f>
        <v>135969214.94268891</v>
      </c>
      <c r="E86" s="232">
        <f t="shared" si="30"/>
        <v>180470081.28766811</v>
      </c>
      <c r="F86" s="232">
        <f t="shared" si="30"/>
        <v>157439053.15104792</v>
      </c>
      <c r="G86" s="232">
        <f t="shared" si="30"/>
        <v>137371226.79232201</v>
      </c>
      <c r="H86" s="232">
        <f t="shared" si="30"/>
        <v>119881361.23744538</v>
      </c>
      <c r="I86" s="232">
        <f t="shared" si="30"/>
        <v>104634957.06503356</v>
      </c>
      <c r="J86" s="232">
        <f t="shared" si="30"/>
        <v>91341466.022080228</v>
      </c>
      <c r="K86" s="232">
        <f t="shared" si="30"/>
        <v>79748426.556165621</v>
      </c>
      <c r="L86" s="232">
        <f t="shared" si="30"/>
        <v>69636396.285927832</v>
      </c>
      <c r="M86" s="232">
        <f t="shared" si="30"/>
        <v>60814570.820875093</v>
      </c>
      <c r="N86" s="232">
        <f t="shared" si="30"/>
        <v>53116994.044736579</v>
      </c>
      <c r="O86" s="232">
        <f t="shared" si="30"/>
        <v>46399278.395418055</v>
      </c>
      <c r="P86" s="232">
        <f t="shared" si="30"/>
        <v>40535765.14964737</v>
      </c>
      <c r="Q86" s="232">
        <f t="shared" si="30"/>
        <v>35417064.540057488</v>
      </c>
      <c r="R86" s="232">
        <f t="shared" si="30"/>
        <v>30947923.941428624</v>
      </c>
      <c r="S86" s="232">
        <f t="shared" si="30"/>
        <v>27045379.568740554</v>
      </c>
      <c r="T86" s="232">
        <f t="shared" si="30"/>
        <v>23637153.308913972</v>
      </c>
      <c r="U86" s="232">
        <f t="shared" si="30"/>
        <v>20660261.610516127</v>
      </c>
      <c r="V86" s="232">
        <f t="shared" si="30"/>
        <v>18059807.908731997</v>
      </c>
      <c r="W86" s="232">
        <f t="shared" si="30"/>
        <v>15787933.975035429</v>
      </c>
      <c r="X86" s="232">
        <f t="shared" si="30"/>
        <v>13802908.94462464</v>
      </c>
      <c r="Y86" s="232">
        <f t="shared" si="30"/>
        <v>12068337.668558048</v>
      </c>
      <c r="Z86" s="232">
        <f t="shared" si="30"/>
        <v>10552472.52879915</v>
      </c>
      <c r="AA86" s="232">
        <f t="shared" si="30"/>
        <v>9227615.0003776643</v>
      </c>
      <c r="AB86" s="232">
        <f t="shared" si="30"/>
        <v>8069595.0945590455</v>
      </c>
      <c r="AC86" s="232">
        <f t="shared" si="30"/>
        <v>7057318.4121352993</v>
      </c>
      <c r="AD86" s="232">
        <f t="shared" si="30"/>
        <v>6172371.9125018837</v>
      </c>
      <c r="AE86" s="232">
        <f t="shared" si="30"/>
        <v>5398680.6927069863</v>
      </c>
      <c r="AF86" s="232">
        <f t="shared" si="30"/>
        <v>4722209.0973939877</v>
      </c>
      <c r="AG86" s="232">
        <f t="shared" si="30"/>
        <v>4130700.3679987802</v>
      </c>
      <c r="AH86" s="232">
        <f t="shared" si="30"/>
        <v>3613449.8070043731</v>
      </c>
      <c r="AI86" s="232">
        <f t="shared" si="30"/>
        <v>3161107.0970548261</v>
      </c>
      <c r="AJ86" s="232">
        <f t="shared" si="30"/>
        <v>2765503.9895110824</v>
      </c>
      <c r="AK86" s="232">
        <f t="shared" si="30"/>
        <v>2419504.0748153194</v>
      </c>
      <c r="AL86" s="232">
        <f t="shared" si="30"/>
        <v>2116871.7783296509</v>
      </c>
      <c r="AM86" s="232">
        <f t="shared" si="30"/>
        <v>1852158.0991739782</v>
      </c>
      <c r="AN86" s="232">
        <f t="shared" si="30"/>
        <v>1620600.9337953962</v>
      </c>
      <c r="AO86" s="232">
        <f t="shared" si="30"/>
        <v>1418038.1072678838</v>
      </c>
      <c r="AP86" s="232">
        <f>AP83*AP85</f>
        <v>1240831.4794308883</v>
      </c>
    </row>
    <row r="87" spans="1:45" ht="14.25" x14ac:dyDescent="0.2">
      <c r="A87" s="231" t="s">
        <v>309</v>
      </c>
      <c r="B87" s="232">
        <f>SUM($B$86:B86)</f>
        <v>-542305885.74413276</v>
      </c>
      <c r="C87" s="232">
        <f>SUM($B$86:C86)</f>
        <v>-464708031.46116555</v>
      </c>
      <c r="D87" s="232">
        <f>SUM($B$86:D86)</f>
        <v>-328738816.51847661</v>
      </c>
      <c r="E87" s="232">
        <f>SUM($B$86:E86)</f>
        <v>-148268735.2308085</v>
      </c>
      <c r="F87" s="232">
        <f>SUM($B$86:F86)</f>
        <v>9170317.9202394187</v>
      </c>
      <c r="G87" s="232">
        <f>SUM($B$86:G86)</f>
        <v>146541544.71256143</v>
      </c>
      <c r="H87" s="232">
        <f>SUM($B$86:H86)</f>
        <v>266422905.95000681</v>
      </c>
      <c r="I87" s="232">
        <f>SUM($B$86:I86)</f>
        <v>371057863.0150404</v>
      </c>
      <c r="J87" s="232">
        <f>SUM($B$86:J86)</f>
        <v>462399329.03712064</v>
      </c>
      <c r="K87" s="232">
        <f>SUM($B$86:K86)</f>
        <v>542147755.59328628</v>
      </c>
      <c r="L87" s="232">
        <f>SUM($B$86:L86)</f>
        <v>611784151.87921405</v>
      </c>
      <c r="M87" s="232">
        <f>SUM($B$86:M86)</f>
        <v>672598722.7000891</v>
      </c>
      <c r="N87" s="232">
        <f>SUM($B$86:N86)</f>
        <v>725715716.74482572</v>
      </c>
      <c r="O87" s="232">
        <f>SUM($B$86:O86)</f>
        <v>772114995.14024377</v>
      </c>
      <c r="P87" s="232">
        <f>SUM($B$86:P86)</f>
        <v>812650760.28989112</v>
      </c>
      <c r="Q87" s="232">
        <f>SUM($B$86:Q86)</f>
        <v>848067824.82994866</v>
      </c>
      <c r="R87" s="232">
        <f>SUM($B$86:R86)</f>
        <v>879015748.77137733</v>
      </c>
      <c r="S87" s="232">
        <f>SUM($B$86:S86)</f>
        <v>906061128.34011793</v>
      </c>
      <c r="T87" s="232">
        <f>SUM($B$86:T86)</f>
        <v>929698281.64903188</v>
      </c>
      <c r="U87" s="232">
        <f>SUM($B$86:U86)</f>
        <v>950358543.25954795</v>
      </c>
      <c r="V87" s="232">
        <f>SUM($B$86:V86)</f>
        <v>968418351.16827989</v>
      </c>
      <c r="W87" s="232">
        <f>SUM($B$86:W86)</f>
        <v>984206285.14331532</v>
      </c>
      <c r="X87" s="232">
        <f>SUM($B$86:X86)</f>
        <v>998009194.08793998</v>
      </c>
      <c r="Y87" s="232">
        <f>SUM($B$86:Y86)</f>
        <v>1010077531.756498</v>
      </c>
      <c r="Z87" s="232">
        <f>SUM($B$86:Z86)</f>
        <v>1020630004.2852972</v>
      </c>
      <c r="AA87" s="232">
        <f>SUM($B$86:AA86)</f>
        <v>1029857619.2856748</v>
      </c>
      <c r="AB87" s="232">
        <f>SUM($B$86:AB86)</f>
        <v>1037927214.3802339</v>
      </c>
      <c r="AC87" s="232">
        <f>SUM($B$86:AC86)</f>
        <v>1044984532.7923691</v>
      </c>
      <c r="AD87" s="232">
        <f>SUM($B$86:AD86)</f>
        <v>1051156904.7048711</v>
      </c>
      <c r="AE87" s="232">
        <f>SUM($B$86:AE86)</f>
        <v>1056555585.397578</v>
      </c>
      <c r="AF87" s="232">
        <f>SUM($B$86:AF86)</f>
        <v>1061277794.494972</v>
      </c>
      <c r="AG87" s="232">
        <f>SUM($B$86:AG86)</f>
        <v>1065408494.8629708</v>
      </c>
      <c r="AH87" s="232">
        <f>SUM($B$86:AH86)</f>
        <v>1069021944.6699752</v>
      </c>
      <c r="AI87" s="232">
        <f>SUM($B$86:AI86)</f>
        <v>1072183051.76703</v>
      </c>
      <c r="AJ87" s="232">
        <f>SUM($B$86:AJ86)</f>
        <v>1074948555.756541</v>
      </c>
      <c r="AK87" s="232">
        <f>SUM($B$86:AK86)</f>
        <v>1077368059.8313563</v>
      </c>
      <c r="AL87" s="232">
        <f>SUM($B$86:AL86)</f>
        <v>1079484931.6096859</v>
      </c>
      <c r="AM87" s="232">
        <f>SUM($B$86:AM86)</f>
        <v>1081337089.7088599</v>
      </c>
      <c r="AN87" s="232">
        <f>SUM($B$86:AN86)</f>
        <v>1082957690.6426554</v>
      </c>
      <c r="AO87" s="232">
        <f>SUM($B$86:AO86)</f>
        <v>1084375728.7499232</v>
      </c>
      <c r="AP87" s="232">
        <f>SUM($B$86:AP86)</f>
        <v>1085616560.2293541</v>
      </c>
    </row>
    <row r="88" spans="1:45" ht="14.25" x14ac:dyDescent="0.2">
      <c r="A88" s="231" t="s">
        <v>308</v>
      </c>
      <c r="B88" s="243">
        <f>IF((ISERR(IRR($B$83:B83))),0,IF(IRR($B$83:B83)&lt;0,0,IRR($B$83:B83)))</f>
        <v>0</v>
      </c>
      <c r="C88" s="243">
        <f>IF((ISERR(IRR($B$83:C83))),0,IF(IRR($B$83:C83)&lt;0,0,IRR($B$83:C83)))</f>
        <v>0</v>
      </c>
      <c r="D88" s="243">
        <f>IF((ISERR(IRR($B$83:D83))),0,IF(IRR($B$83:D83)&lt;0,0,IRR($B$83:D83)))</f>
        <v>0</v>
      </c>
      <c r="E88" s="243">
        <f>IF((ISERR(IRR($B$83:E83))),0,IF(IRR($B$83:E83)&lt;0,0,IRR($B$83:E83)))</f>
        <v>4.8835355745908249E-2</v>
      </c>
      <c r="F88" s="243">
        <f>IF((ISERR(IRR($B$83:F83))),0,IF(IRR($B$83:F83)&lt;0,0,IRR($B$83:F83)))</f>
        <v>0.21235839699714498</v>
      </c>
      <c r="G88" s="243">
        <f>IF((ISERR(IRR($B$83:G83))),0,IF(IRR($B$83:G83)&lt;0,0,IRR($B$83:G83)))</f>
        <v>0.3003029430451305</v>
      </c>
      <c r="H88" s="243">
        <f>IF((ISERR(IRR($B$83:H83))),0,IF(IRR($B$83:H83)&lt;0,0,IRR($B$83:H83)))</f>
        <v>0.35150340992030715</v>
      </c>
      <c r="I88" s="243">
        <f>IF((ISERR(IRR($B$83:I83))),0,IF(IRR($B$83:I83)&lt;0,0,IRR($B$83:I83)))</f>
        <v>0.38296266380718702</v>
      </c>
      <c r="J88" s="243">
        <f>IF((ISERR(IRR($B$83:J83))),0,IF(IRR($B$83:J83)&lt;0,0,IRR($B$83:J83)))</f>
        <v>0.40306207207070588</v>
      </c>
      <c r="K88" s="243">
        <f>IF((ISERR(IRR($B$83:K83))),0,IF(IRR($B$83:K83)&lt;0,0,IRR($B$83:K83)))</f>
        <v>0.4162841396085244</v>
      </c>
      <c r="L88" s="243">
        <f>IF((ISERR(IRR($B$83:L83))),0,IF(IRR($B$83:L83)&lt;0,0,IRR($B$83:L83)))</f>
        <v>0.4251779151678925</v>
      </c>
      <c r="M88" s="243">
        <f>IF((ISERR(IRR($B$83:M83))),0,IF(IRR($B$83:M83)&lt;0,0,IRR($B$83:M83)))</f>
        <v>0.4312641227751508</v>
      </c>
      <c r="N88" s="243">
        <f>IF((ISERR(IRR($B$83:N83))),0,IF(IRR($B$83:N83)&lt;0,0,IRR($B$83:N83)))</f>
        <v>0.43548532671646134</v>
      </c>
      <c r="O88" s="243">
        <f>IF((ISERR(IRR($B$83:O83))),0,IF(IRR($B$83:O83)&lt;0,0,IRR($B$83:O83)))</f>
        <v>0.43844402099159119</v>
      </c>
      <c r="P88" s="243">
        <f>IF((ISERR(IRR($B$83:P83))),0,IF(IRR($B$83:P83)&lt;0,0,IRR($B$83:P83)))</f>
        <v>0.44053508619538295</v>
      </c>
      <c r="Q88" s="243">
        <f>IF((ISERR(IRR($B$83:Q83))),0,IF(IRR($B$83:Q83)&lt;0,0,IRR($B$83:Q83)))</f>
        <v>0.44202266788353772</v>
      </c>
      <c r="R88" s="243">
        <f>IF((ISERR(IRR($B$83:R83))),0,IF(IRR($B$83:R83)&lt;0,0,IRR($B$83:R83)))</f>
        <v>0.44308642829169598</v>
      </c>
      <c r="S88" s="243">
        <f>IF((ISERR(IRR($B$83:S83))),0,IF(IRR($B$83:S83)&lt;0,0,IRR($B$83:S83)))</f>
        <v>0.44385023921837563</v>
      </c>
      <c r="T88" s="243">
        <f>IF((ISERR(IRR($B$83:T83))),0,IF(IRR($B$83:T83)&lt;0,0,IRR($B$83:T83)))</f>
        <v>0.44440045660789274</v>
      </c>
      <c r="U88" s="243">
        <f>IF((ISERR(IRR($B$83:U83))),0,IF(IRR($B$83:U83)&lt;0,0,IRR($B$83:U83)))</f>
        <v>0.44479782549723401</v>
      </c>
      <c r="V88" s="243">
        <f>IF((ISERR(IRR($B$83:V83))),0,IF(IRR($B$83:V83)&lt;0,0,IRR($B$83:V83)))</f>
        <v>0.44508538687377386</v>
      </c>
      <c r="W88" s="243">
        <f>IF((ISERR(IRR($B$83:W83))),0,IF(IRR($B$83:W83)&lt;0,0,IRR($B$83:W83)))</f>
        <v>0.44529381637759857</v>
      </c>
      <c r="X88" s="243">
        <f>IF((ISERR(IRR($B$83:X83))),0,IF(IRR($B$83:X83)&lt;0,0,IRR($B$83:X83)))</f>
        <v>0.4454450796258671</v>
      </c>
      <c r="Y88" s="243">
        <f>IF((ISERR(IRR($B$83:Y83))),0,IF(IRR($B$83:Y83)&lt;0,0,IRR($B$83:Y83)))</f>
        <v>0.44555496446555054</v>
      </c>
      <c r="Z88" s="243">
        <f>IF((ISERR(IRR($B$83:Z83))),0,IF(IRR($B$83:Z83)&lt;0,0,IRR($B$83:Z83)))</f>
        <v>0.44563485243306089</v>
      </c>
      <c r="AA88" s="243">
        <f>IF((ISERR(IRR($B$83:AA83))),0,IF(IRR($B$83:AA83)&lt;0,0,IRR($B$83:AA83)))</f>
        <v>0.44569296804256475</v>
      </c>
      <c r="AB88" s="243">
        <f>IF((ISERR(IRR($B$83:AB83))),0,IF(IRR($B$83:AB83)&lt;0,0,IRR($B$83:AB83)))</f>
        <v>0.44573526567597921</v>
      </c>
      <c r="AC88" s="243">
        <f>IF((ISERR(IRR($B$83:AC83))),0,IF(IRR($B$83:AC83)&lt;0,0,IRR($B$83:AC83)))</f>
        <v>0.44576606260213758</v>
      </c>
      <c r="AD88" s="243">
        <f>IF((ISERR(IRR($B$83:AD83))),0,IF(IRR($B$83:AD83)&lt;0,0,IRR($B$83:AD83)))</f>
        <v>0.44578849276686139</v>
      </c>
      <c r="AE88" s="243">
        <f>IF((ISERR(IRR($B$83:AE83))),0,IF(IRR($B$83:AE83)&lt;0,0,IRR($B$83:AE83)))</f>
        <v>0.44580483323939579</v>
      </c>
      <c r="AF88" s="243">
        <f>IF((ISERR(IRR($B$83:AF83))),0,IF(IRR($B$83:AF83)&lt;0,0,IRR($B$83:AF83)))</f>
        <v>0.44581673970772373</v>
      </c>
      <c r="AG88" s="243">
        <f>IF((ISERR(IRR($B$83:AG83))),0,IF(IRR($B$83:AG83)&lt;0,0,IRR($B$83:AG83)))</f>
        <v>0.44582541674055665</v>
      </c>
      <c r="AH88" s="243">
        <f>IF((ISERR(IRR($B$83:AH83))),0,IF(IRR($B$83:AH83)&lt;0,0,IRR($B$83:AH83)))</f>
        <v>0.44583174110294266</v>
      </c>
      <c r="AI88" s="243">
        <f>IF((ISERR(IRR($B$83:AI83))),0,IF(IRR($B$83:AI83)&lt;0,0,IRR($B$83:AI83)))</f>
        <v>0.44583635119446474</v>
      </c>
      <c r="AJ88" s="243">
        <f>IF((ISERR(IRR($B$83:AJ83))),0,IF(IRR($B$83:AJ83)&lt;0,0,IRR($B$83:AJ83)))</f>
        <v>0.44583971198818406</v>
      </c>
      <c r="AK88" s="243">
        <f>IF((ISERR(IRR($B$83:AK83))),0,IF(IRR($B$83:AK83)&lt;0,0,IRR($B$83:AK83)))</f>
        <v>0.44584216222213846</v>
      </c>
      <c r="AL88" s="243">
        <f>IF((ISERR(IRR($B$83:AL83))),0,IF(IRR($B$83:AL83)&lt;0,0,IRR($B$83:AL83)))</f>
        <v>0.44584394871712352</v>
      </c>
      <c r="AM88" s="243">
        <f>IF((ISERR(IRR($B$83:AM83))),0,IF(IRR($B$83:AM83)&lt;0,0,IRR($B$83:AM83)))</f>
        <v>0.44584525134616504</v>
      </c>
      <c r="AN88" s="243">
        <f>IF((ISERR(IRR($B$83:AN83))),0,IF(IRR($B$83:AN83)&lt;0,0,IRR($B$83:AN83)))</f>
        <v>0.44584620120997931</v>
      </c>
      <c r="AO88" s="243">
        <f>IF((ISERR(IRR($B$83:AO83))),0,IF(IRR($B$83:AO83)&lt;0,0,IRR($B$83:AO83)))</f>
        <v>0.44584689387152809</v>
      </c>
      <c r="AP88" s="243">
        <f>IF((ISERR(IRR($B$83:AP83))),0,IF(IRR($B$83:AP83)&lt;0,0,IRR($B$83:AP83)))</f>
        <v>0.44584739899545767</v>
      </c>
    </row>
    <row r="89" spans="1:45" ht="14.25" x14ac:dyDescent="0.2">
      <c r="A89" s="231" t="s">
        <v>307</v>
      </c>
      <c r="B89" s="244">
        <f>IF(AND(B84&gt;0,A84&lt;0),(B74-(B84/(B84-A84))),0)</f>
        <v>0</v>
      </c>
      <c r="C89" s="244">
        <f t="shared" ref="C89:AP89" si="31">IF(AND(C84&gt;0,B84&lt;0),(C74-(C84/(C84-B84))),0)</f>
        <v>0</v>
      </c>
      <c r="D89" s="244">
        <f t="shared" si="31"/>
        <v>0</v>
      </c>
      <c r="E89" s="244">
        <f t="shared" si="31"/>
        <v>3.7960616392152393</v>
      </c>
      <c r="F89" s="244">
        <f t="shared" si="31"/>
        <v>0</v>
      </c>
      <c r="G89" s="244">
        <f t="shared" si="31"/>
        <v>0</v>
      </c>
      <c r="H89" s="244">
        <f>IF(AND(H84&gt;0,G84&lt;0),(H74-(H84/(H84-G84))),0)</f>
        <v>0</v>
      </c>
      <c r="I89" s="244">
        <f t="shared" si="31"/>
        <v>0</v>
      </c>
      <c r="J89" s="244">
        <f t="shared" si="31"/>
        <v>0</v>
      </c>
      <c r="K89" s="244">
        <f t="shared" si="31"/>
        <v>0</v>
      </c>
      <c r="L89" s="244">
        <f t="shared" si="31"/>
        <v>0</v>
      </c>
      <c r="M89" s="244">
        <f t="shared" si="31"/>
        <v>0</v>
      </c>
      <c r="N89" s="244">
        <f t="shared" si="31"/>
        <v>0</v>
      </c>
      <c r="O89" s="244">
        <f t="shared" si="31"/>
        <v>0</v>
      </c>
      <c r="P89" s="244">
        <f t="shared" si="31"/>
        <v>0</v>
      </c>
      <c r="Q89" s="244">
        <f t="shared" si="31"/>
        <v>0</v>
      </c>
      <c r="R89" s="244">
        <f t="shared" si="31"/>
        <v>0</v>
      </c>
      <c r="S89" s="244">
        <f t="shared" si="31"/>
        <v>0</v>
      </c>
      <c r="T89" s="244">
        <f t="shared" si="31"/>
        <v>0</v>
      </c>
      <c r="U89" s="244">
        <f t="shared" si="31"/>
        <v>0</v>
      </c>
      <c r="V89" s="244">
        <f t="shared" si="31"/>
        <v>0</v>
      </c>
      <c r="W89" s="244">
        <f t="shared" si="31"/>
        <v>0</v>
      </c>
      <c r="X89" s="244">
        <f t="shared" si="31"/>
        <v>0</v>
      </c>
      <c r="Y89" s="244">
        <f t="shared" si="31"/>
        <v>0</v>
      </c>
      <c r="Z89" s="244">
        <f t="shared" si="31"/>
        <v>0</v>
      </c>
      <c r="AA89" s="244">
        <f t="shared" si="31"/>
        <v>0</v>
      </c>
      <c r="AB89" s="244">
        <f t="shared" si="31"/>
        <v>0</v>
      </c>
      <c r="AC89" s="244">
        <f t="shared" si="31"/>
        <v>0</v>
      </c>
      <c r="AD89" s="244">
        <f t="shared" si="31"/>
        <v>0</v>
      </c>
      <c r="AE89" s="244">
        <f t="shared" si="31"/>
        <v>0</v>
      </c>
      <c r="AF89" s="244">
        <f t="shared" si="31"/>
        <v>0</v>
      </c>
      <c r="AG89" s="244">
        <f t="shared" si="31"/>
        <v>0</v>
      </c>
      <c r="AH89" s="244">
        <f t="shared" si="31"/>
        <v>0</v>
      </c>
      <c r="AI89" s="244">
        <f t="shared" si="31"/>
        <v>0</v>
      </c>
      <c r="AJ89" s="244">
        <f t="shared" si="31"/>
        <v>0</v>
      </c>
      <c r="AK89" s="244">
        <f t="shared" si="31"/>
        <v>0</v>
      </c>
      <c r="AL89" s="244">
        <f t="shared" si="31"/>
        <v>0</v>
      </c>
      <c r="AM89" s="244">
        <f t="shared" si="31"/>
        <v>0</v>
      </c>
      <c r="AN89" s="244">
        <f t="shared" si="31"/>
        <v>0</v>
      </c>
      <c r="AO89" s="244">
        <f t="shared" si="31"/>
        <v>0</v>
      </c>
      <c r="AP89" s="244">
        <f t="shared" si="31"/>
        <v>0</v>
      </c>
    </row>
    <row r="90" spans="1:45" ht="15" thickBot="1" x14ac:dyDescent="0.25">
      <c r="A90" s="245" t="s">
        <v>306</v>
      </c>
      <c r="B90" s="246">
        <f t="shared" ref="B90:AP90" si="32">IF(AND(B87&gt;0,A87&lt;0),(B74-(B87/(B87-A87))),0)</f>
        <v>0</v>
      </c>
      <c r="C90" s="246">
        <f t="shared" si="32"/>
        <v>0</v>
      </c>
      <c r="D90" s="246">
        <f t="shared" si="32"/>
        <v>0</v>
      </c>
      <c r="E90" s="246">
        <f t="shared" si="32"/>
        <v>0</v>
      </c>
      <c r="F90" s="246">
        <f t="shared" si="32"/>
        <v>4.9417532198225214</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17" customFormat="1" x14ac:dyDescent="0.2">
      <c r="A91" s="191"/>
      <c r="B91" s="247">
        <v>2016</v>
      </c>
      <c r="C91" s="247">
        <f>B91+1</f>
        <v>2017</v>
      </c>
      <c r="D91" s="176">
        <f t="shared" ref="D91:AP91" si="33">C91+1</f>
        <v>2018</v>
      </c>
      <c r="E91" s="176">
        <f t="shared" si="33"/>
        <v>2019</v>
      </c>
      <c r="F91" s="176">
        <f t="shared" si="33"/>
        <v>2020</v>
      </c>
      <c r="G91" s="176">
        <f t="shared" si="33"/>
        <v>2021</v>
      </c>
      <c r="H91" s="176">
        <f t="shared" si="33"/>
        <v>2022</v>
      </c>
      <c r="I91" s="176">
        <f t="shared" si="33"/>
        <v>2023</v>
      </c>
      <c r="J91" s="176">
        <f t="shared" si="33"/>
        <v>2024</v>
      </c>
      <c r="K91" s="176">
        <f t="shared" si="33"/>
        <v>2025</v>
      </c>
      <c r="L91" s="176">
        <f t="shared" si="33"/>
        <v>2026</v>
      </c>
      <c r="M91" s="176">
        <f t="shared" si="33"/>
        <v>2027</v>
      </c>
      <c r="N91" s="176">
        <f t="shared" si="33"/>
        <v>2028</v>
      </c>
      <c r="O91" s="176">
        <f t="shared" si="33"/>
        <v>2029</v>
      </c>
      <c r="P91" s="176">
        <f t="shared" si="33"/>
        <v>2030</v>
      </c>
      <c r="Q91" s="176">
        <f t="shared" si="33"/>
        <v>2031</v>
      </c>
      <c r="R91" s="176">
        <f t="shared" si="33"/>
        <v>2032</v>
      </c>
      <c r="S91" s="176">
        <f t="shared" si="33"/>
        <v>2033</v>
      </c>
      <c r="T91" s="176">
        <f t="shared" si="33"/>
        <v>2034</v>
      </c>
      <c r="U91" s="176">
        <f t="shared" si="33"/>
        <v>2035</v>
      </c>
      <c r="V91" s="176">
        <f t="shared" si="33"/>
        <v>2036</v>
      </c>
      <c r="W91" s="176">
        <f t="shared" si="33"/>
        <v>2037</v>
      </c>
      <c r="X91" s="176">
        <f t="shared" si="33"/>
        <v>2038</v>
      </c>
      <c r="Y91" s="176">
        <f t="shared" si="33"/>
        <v>2039</v>
      </c>
      <c r="Z91" s="176">
        <f t="shared" si="33"/>
        <v>2040</v>
      </c>
      <c r="AA91" s="176">
        <f t="shared" si="33"/>
        <v>2041</v>
      </c>
      <c r="AB91" s="176">
        <f t="shared" si="33"/>
        <v>2042</v>
      </c>
      <c r="AC91" s="176">
        <f t="shared" si="33"/>
        <v>2043</v>
      </c>
      <c r="AD91" s="176">
        <f t="shared" si="33"/>
        <v>2044</v>
      </c>
      <c r="AE91" s="176">
        <f t="shared" si="33"/>
        <v>2045</v>
      </c>
      <c r="AF91" s="176">
        <f t="shared" si="33"/>
        <v>2046</v>
      </c>
      <c r="AG91" s="176">
        <f t="shared" si="33"/>
        <v>2047</v>
      </c>
      <c r="AH91" s="176">
        <f t="shared" si="33"/>
        <v>2048</v>
      </c>
      <c r="AI91" s="176">
        <f t="shared" si="33"/>
        <v>2049</v>
      </c>
      <c r="AJ91" s="176">
        <f t="shared" si="33"/>
        <v>2050</v>
      </c>
      <c r="AK91" s="176">
        <f t="shared" si="33"/>
        <v>2051</v>
      </c>
      <c r="AL91" s="176">
        <f t="shared" si="33"/>
        <v>2052</v>
      </c>
      <c r="AM91" s="176">
        <f t="shared" si="33"/>
        <v>2053</v>
      </c>
      <c r="AN91" s="176">
        <f t="shared" si="33"/>
        <v>2054</v>
      </c>
      <c r="AO91" s="176">
        <f t="shared" si="33"/>
        <v>2055</v>
      </c>
      <c r="AP91" s="176">
        <f t="shared" si="33"/>
        <v>2056</v>
      </c>
      <c r="AQ91" s="177"/>
      <c r="AR91" s="177"/>
      <c r="AS91" s="177"/>
    </row>
    <row r="92" spans="1:45" ht="15.6" customHeight="1" x14ac:dyDescent="0.2">
      <c r="A92" s="248" t="s">
        <v>305</v>
      </c>
      <c r="B92" s="109"/>
      <c r="C92" s="109"/>
      <c r="D92" s="109"/>
      <c r="E92" s="109"/>
      <c r="F92" s="109"/>
      <c r="G92" s="109"/>
      <c r="H92" s="109"/>
      <c r="I92" s="109"/>
      <c r="J92" s="109"/>
      <c r="K92" s="109"/>
      <c r="L92" s="249">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304</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303</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302</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301</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89" t="s">
        <v>561</v>
      </c>
      <c r="B97" s="489"/>
      <c r="C97" s="489"/>
      <c r="D97" s="489"/>
      <c r="E97" s="489"/>
      <c r="F97" s="489"/>
      <c r="G97" s="489"/>
      <c r="H97" s="489"/>
      <c r="I97" s="489"/>
      <c r="J97" s="489"/>
      <c r="K97" s="489"/>
      <c r="L97" s="489"/>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ht="16.5" thickBot="1" x14ac:dyDescent="0.25">
      <c r="C98" s="250"/>
    </row>
    <row r="99" spans="1:71" s="256" customFormat="1" ht="16.5" thickTop="1" x14ac:dyDescent="0.2">
      <c r="A99" s="251" t="s">
        <v>562</v>
      </c>
      <c r="B99" s="252">
        <f>B81*B85</f>
        <v>-2711529428.4974751</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-2711529428.4974751</v>
      </c>
      <c r="AR99" s="255"/>
      <c r="AS99" s="255"/>
    </row>
    <row r="100" spans="1:71" s="259" customFormat="1" x14ac:dyDescent="0.2">
      <c r="A100" s="257">
        <f>AQ99</f>
        <v>-2711529428.4974751</v>
      </c>
      <c r="B100" s="258"/>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9" customFormat="1" x14ac:dyDescent="0.2">
      <c r="A101" s="257">
        <f>AP87</f>
        <v>1085616560.2293541</v>
      </c>
      <c r="B101" s="258"/>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9" customFormat="1" x14ac:dyDescent="0.2">
      <c r="A102" s="260" t="s">
        <v>563</v>
      </c>
      <c r="B102" s="261">
        <f>(A101+-A100)/-A100</f>
        <v>1.4003705616541735</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9" customFormat="1" x14ac:dyDescent="0.2">
      <c r="A103" s="262"/>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63" t="s">
        <v>564</v>
      </c>
      <c r="B104" s="263" t="s">
        <v>565</v>
      </c>
      <c r="C104" s="263" t="s">
        <v>566</v>
      </c>
      <c r="D104" s="263" t="s">
        <v>567</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66">
        <f>G30/1000/1000</f>
        <v>611.78415187921405</v>
      </c>
      <c r="B105" s="267">
        <f>L88</f>
        <v>0.4251779151678925</v>
      </c>
      <c r="C105" s="268">
        <f>G28</f>
        <v>3.7960616392152393</v>
      </c>
      <c r="D105" s="268">
        <f>G29</f>
        <v>4.9417532198225214</v>
      </c>
      <c r="E105" s="269" t="s">
        <v>568</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71"/>
      <c r="B107" s="272">
        <v>2016</v>
      </c>
      <c r="C107" s="272">
        <v>2017</v>
      </c>
      <c r="D107" s="273">
        <f t="shared" ref="D107:AP107" si="35">C107+1</f>
        <v>2018</v>
      </c>
      <c r="E107" s="273">
        <f t="shared" si="35"/>
        <v>2019</v>
      </c>
      <c r="F107" s="273">
        <f t="shared" si="35"/>
        <v>2020</v>
      </c>
      <c r="G107" s="273">
        <f t="shared" si="35"/>
        <v>2021</v>
      </c>
      <c r="H107" s="273">
        <f t="shared" si="35"/>
        <v>2022</v>
      </c>
      <c r="I107" s="273">
        <f t="shared" si="35"/>
        <v>2023</v>
      </c>
      <c r="J107" s="273">
        <f t="shared" si="35"/>
        <v>2024</v>
      </c>
      <c r="K107" s="273">
        <f t="shared" si="35"/>
        <v>2025</v>
      </c>
      <c r="L107" s="273">
        <f t="shared" si="35"/>
        <v>2026</v>
      </c>
      <c r="M107" s="273">
        <f t="shared" si="35"/>
        <v>2027</v>
      </c>
      <c r="N107" s="273">
        <f t="shared" si="35"/>
        <v>2028</v>
      </c>
      <c r="O107" s="273">
        <f t="shared" si="35"/>
        <v>2029</v>
      </c>
      <c r="P107" s="273">
        <f t="shared" si="35"/>
        <v>2030</v>
      </c>
      <c r="Q107" s="273">
        <f t="shared" si="35"/>
        <v>2031</v>
      </c>
      <c r="R107" s="273">
        <f t="shared" si="35"/>
        <v>2032</v>
      </c>
      <c r="S107" s="273">
        <f t="shared" si="35"/>
        <v>2033</v>
      </c>
      <c r="T107" s="273">
        <f t="shared" si="35"/>
        <v>2034</v>
      </c>
      <c r="U107" s="273">
        <f t="shared" si="35"/>
        <v>2035</v>
      </c>
      <c r="V107" s="273">
        <f t="shared" si="35"/>
        <v>2036</v>
      </c>
      <c r="W107" s="273">
        <f t="shared" si="35"/>
        <v>2037</v>
      </c>
      <c r="X107" s="273">
        <f t="shared" si="35"/>
        <v>2038</v>
      </c>
      <c r="Y107" s="273">
        <f t="shared" si="35"/>
        <v>2039</v>
      </c>
      <c r="Z107" s="273">
        <f t="shared" si="35"/>
        <v>2040</v>
      </c>
      <c r="AA107" s="273">
        <f t="shared" si="35"/>
        <v>2041</v>
      </c>
      <c r="AB107" s="273">
        <f t="shared" si="35"/>
        <v>2042</v>
      </c>
      <c r="AC107" s="273">
        <f t="shared" si="35"/>
        <v>2043</v>
      </c>
      <c r="AD107" s="273">
        <f t="shared" si="35"/>
        <v>2044</v>
      </c>
      <c r="AE107" s="273">
        <f t="shared" si="35"/>
        <v>2045</v>
      </c>
      <c r="AF107" s="273">
        <f t="shared" si="35"/>
        <v>2046</v>
      </c>
      <c r="AG107" s="273">
        <f t="shared" si="35"/>
        <v>2047</v>
      </c>
      <c r="AH107" s="273">
        <f t="shared" si="35"/>
        <v>2048</v>
      </c>
      <c r="AI107" s="273">
        <f t="shared" si="35"/>
        <v>2049</v>
      </c>
      <c r="AJ107" s="273">
        <f t="shared" si="35"/>
        <v>2050</v>
      </c>
      <c r="AK107" s="273">
        <f t="shared" si="35"/>
        <v>2051</v>
      </c>
      <c r="AL107" s="273">
        <f t="shared" si="35"/>
        <v>2052</v>
      </c>
      <c r="AM107" s="273">
        <f t="shared" si="35"/>
        <v>2053</v>
      </c>
      <c r="AN107" s="273">
        <f t="shared" si="35"/>
        <v>2054</v>
      </c>
      <c r="AO107" s="273">
        <f t="shared" si="35"/>
        <v>2055</v>
      </c>
      <c r="AP107" s="273">
        <f t="shared" si="35"/>
        <v>2056</v>
      </c>
      <c r="AT107" s="259"/>
      <c r="AU107" s="259"/>
      <c r="AV107" s="259"/>
      <c r="AW107" s="259"/>
      <c r="AX107" s="259"/>
      <c r="AY107" s="259"/>
      <c r="AZ107" s="259"/>
      <c r="BA107" s="259"/>
      <c r="BB107" s="259"/>
      <c r="BC107" s="259"/>
      <c r="BD107" s="259"/>
      <c r="BE107" s="259"/>
      <c r="BF107" s="259"/>
      <c r="BG107" s="259"/>
    </row>
    <row r="108" spans="1:71" ht="12.75" x14ac:dyDescent="0.2">
      <c r="A108" s="274" t="s">
        <v>569</v>
      </c>
      <c r="B108" s="275"/>
      <c r="C108" s="275">
        <f>C109*$B$111*$B$112*1000</f>
        <v>122902086.21753046</v>
      </c>
      <c r="D108" s="275">
        <f t="shared" ref="D108:AP108" si="36">D109*$B$111*$B$112*1000</f>
        <v>245804172.43506092</v>
      </c>
      <c r="E108" s="275">
        <f>E109*$B$111*$B$112*1000</f>
        <v>372430564.29554683</v>
      </c>
      <c r="F108" s="275">
        <f t="shared" si="36"/>
        <v>372430564.29554683</v>
      </c>
      <c r="G108" s="275">
        <f t="shared" si="36"/>
        <v>372430564.29554683</v>
      </c>
      <c r="H108" s="275">
        <f t="shared" si="36"/>
        <v>372430564.29554683</v>
      </c>
      <c r="I108" s="275">
        <f t="shared" si="36"/>
        <v>372430564.29554683</v>
      </c>
      <c r="J108" s="275">
        <f t="shared" si="36"/>
        <v>372430564.29554683</v>
      </c>
      <c r="K108" s="275">
        <f t="shared" si="36"/>
        <v>372430564.29554683</v>
      </c>
      <c r="L108" s="275">
        <f t="shared" si="36"/>
        <v>372430564.29554683</v>
      </c>
      <c r="M108" s="275">
        <f t="shared" si="36"/>
        <v>372430564.29554683</v>
      </c>
      <c r="N108" s="275">
        <f t="shared" si="36"/>
        <v>372430564.29554683</v>
      </c>
      <c r="O108" s="275">
        <f t="shared" si="36"/>
        <v>372430564.29554683</v>
      </c>
      <c r="P108" s="275">
        <f t="shared" si="36"/>
        <v>372430564.29554683</v>
      </c>
      <c r="Q108" s="275">
        <f t="shared" si="36"/>
        <v>372430564.29554683</v>
      </c>
      <c r="R108" s="275">
        <f t="shared" si="36"/>
        <v>372430564.29554683</v>
      </c>
      <c r="S108" s="275">
        <f t="shared" si="36"/>
        <v>372430564.29554683</v>
      </c>
      <c r="T108" s="275">
        <f t="shared" si="36"/>
        <v>372430564.29554683</v>
      </c>
      <c r="U108" s="275">
        <f t="shared" si="36"/>
        <v>372430564.29554683</v>
      </c>
      <c r="V108" s="275">
        <f t="shared" si="36"/>
        <v>372430564.29554683</v>
      </c>
      <c r="W108" s="275">
        <f t="shared" si="36"/>
        <v>372430564.29554683</v>
      </c>
      <c r="X108" s="275">
        <f t="shared" si="36"/>
        <v>372430564.29554683</v>
      </c>
      <c r="Y108" s="275">
        <f t="shared" si="36"/>
        <v>372430564.29554683</v>
      </c>
      <c r="Z108" s="275">
        <f t="shared" si="36"/>
        <v>372430564.29554683</v>
      </c>
      <c r="AA108" s="275">
        <f t="shared" si="36"/>
        <v>372430564.29554683</v>
      </c>
      <c r="AB108" s="275">
        <f t="shared" si="36"/>
        <v>372430564.29554683</v>
      </c>
      <c r="AC108" s="275">
        <f t="shared" si="36"/>
        <v>372430564.29554683</v>
      </c>
      <c r="AD108" s="275">
        <f t="shared" si="36"/>
        <v>372430564.29554683</v>
      </c>
      <c r="AE108" s="275">
        <f t="shared" si="36"/>
        <v>372430564.29554683</v>
      </c>
      <c r="AF108" s="275">
        <f t="shared" si="36"/>
        <v>372430564.29554683</v>
      </c>
      <c r="AG108" s="275">
        <f t="shared" si="36"/>
        <v>372430564.29554683</v>
      </c>
      <c r="AH108" s="275">
        <f t="shared" si="36"/>
        <v>372430564.29554683</v>
      </c>
      <c r="AI108" s="275">
        <f t="shared" si="36"/>
        <v>372430564.29554683</v>
      </c>
      <c r="AJ108" s="275">
        <f t="shared" si="36"/>
        <v>372430564.29554683</v>
      </c>
      <c r="AK108" s="275">
        <f t="shared" si="36"/>
        <v>372430564.29554683</v>
      </c>
      <c r="AL108" s="275">
        <f t="shared" si="36"/>
        <v>372430564.29554683</v>
      </c>
      <c r="AM108" s="275">
        <f t="shared" si="36"/>
        <v>372430564.29554683</v>
      </c>
      <c r="AN108" s="275">
        <f t="shared" si="36"/>
        <v>372430564.29554683</v>
      </c>
      <c r="AO108" s="275">
        <f t="shared" si="36"/>
        <v>372430564.29554683</v>
      </c>
      <c r="AP108" s="275">
        <f t="shared" si="36"/>
        <v>372430564.29554683</v>
      </c>
      <c r="AT108" s="259"/>
      <c r="AU108" s="259"/>
      <c r="AV108" s="259"/>
      <c r="AW108" s="259"/>
      <c r="AX108" s="259"/>
      <c r="AY108" s="259"/>
      <c r="AZ108" s="259"/>
      <c r="BA108" s="259"/>
      <c r="BB108" s="259"/>
      <c r="BC108" s="259"/>
      <c r="BD108" s="259"/>
      <c r="BE108" s="259"/>
      <c r="BF108" s="259"/>
      <c r="BG108" s="259"/>
    </row>
    <row r="109" spans="1:71" ht="12.75" x14ac:dyDescent="0.2">
      <c r="A109" s="274" t="s">
        <v>570</v>
      </c>
      <c r="B109" s="273"/>
      <c r="C109" s="273">
        <f>B109+$I$120*C113</f>
        <v>34.199294359357765</v>
      </c>
      <c r="D109" s="273">
        <f>C109+$I$120*D113</f>
        <v>68.39858871871553</v>
      </c>
      <c r="E109" s="273">
        <f t="shared" ref="E109:AP109" si="37">D109+$I$120*E113</f>
        <v>103.63422533138717</v>
      </c>
      <c r="F109" s="273">
        <f t="shared" si="37"/>
        <v>103.63422533138717</v>
      </c>
      <c r="G109" s="273">
        <f t="shared" si="37"/>
        <v>103.63422533138717</v>
      </c>
      <c r="H109" s="273">
        <f t="shared" si="37"/>
        <v>103.63422533138717</v>
      </c>
      <c r="I109" s="273">
        <f t="shared" si="37"/>
        <v>103.63422533138717</v>
      </c>
      <c r="J109" s="273">
        <f t="shared" si="37"/>
        <v>103.63422533138717</v>
      </c>
      <c r="K109" s="273">
        <f t="shared" si="37"/>
        <v>103.63422533138717</v>
      </c>
      <c r="L109" s="273">
        <f t="shared" si="37"/>
        <v>103.63422533138717</v>
      </c>
      <c r="M109" s="273">
        <f t="shared" si="37"/>
        <v>103.63422533138717</v>
      </c>
      <c r="N109" s="273">
        <f t="shared" si="37"/>
        <v>103.63422533138717</v>
      </c>
      <c r="O109" s="273">
        <f t="shared" si="37"/>
        <v>103.63422533138717</v>
      </c>
      <c r="P109" s="273">
        <f t="shared" si="37"/>
        <v>103.63422533138717</v>
      </c>
      <c r="Q109" s="273">
        <f t="shared" si="37"/>
        <v>103.63422533138717</v>
      </c>
      <c r="R109" s="273">
        <f t="shared" si="37"/>
        <v>103.63422533138717</v>
      </c>
      <c r="S109" s="273">
        <f t="shared" si="37"/>
        <v>103.63422533138717</v>
      </c>
      <c r="T109" s="273">
        <f t="shared" si="37"/>
        <v>103.63422533138717</v>
      </c>
      <c r="U109" s="273">
        <f t="shared" si="37"/>
        <v>103.63422533138717</v>
      </c>
      <c r="V109" s="273">
        <f t="shared" si="37"/>
        <v>103.63422533138717</v>
      </c>
      <c r="W109" s="273">
        <f t="shared" si="37"/>
        <v>103.63422533138717</v>
      </c>
      <c r="X109" s="273">
        <f t="shared" si="37"/>
        <v>103.63422533138717</v>
      </c>
      <c r="Y109" s="273">
        <f t="shared" si="37"/>
        <v>103.63422533138717</v>
      </c>
      <c r="Z109" s="273">
        <f t="shared" si="37"/>
        <v>103.63422533138717</v>
      </c>
      <c r="AA109" s="273">
        <f t="shared" si="37"/>
        <v>103.63422533138717</v>
      </c>
      <c r="AB109" s="273">
        <f t="shared" si="37"/>
        <v>103.63422533138717</v>
      </c>
      <c r="AC109" s="273">
        <f t="shared" si="37"/>
        <v>103.63422533138717</v>
      </c>
      <c r="AD109" s="273">
        <f t="shared" si="37"/>
        <v>103.63422533138717</v>
      </c>
      <c r="AE109" s="273">
        <f t="shared" si="37"/>
        <v>103.63422533138717</v>
      </c>
      <c r="AF109" s="273">
        <f t="shared" si="37"/>
        <v>103.63422533138717</v>
      </c>
      <c r="AG109" s="273">
        <f t="shared" si="37"/>
        <v>103.63422533138717</v>
      </c>
      <c r="AH109" s="273">
        <f t="shared" si="37"/>
        <v>103.63422533138717</v>
      </c>
      <c r="AI109" s="273">
        <f t="shared" si="37"/>
        <v>103.63422533138717</v>
      </c>
      <c r="AJ109" s="273">
        <f t="shared" si="37"/>
        <v>103.63422533138717</v>
      </c>
      <c r="AK109" s="273">
        <f t="shared" si="37"/>
        <v>103.63422533138717</v>
      </c>
      <c r="AL109" s="273">
        <f t="shared" si="37"/>
        <v>103.63422533138717</v>
      </c>
      <c r="AM109" s="273">
        <f t="shared" si="37"/>
        <v>103.63422533138717</v>
      </c>
      <c r="AN109" s="273">
        <f t="shared" si="37"/>
        <v>103.63422533138717</v>
      </c>
      <c r="AO109" s="273">
        <f t="shared" si="37"/>
        <v>103.63422533138717</v>
      </c>
      <c r="AP109" s="273">
        <f t="shared" si="37"/>
        <v>103.63422533138717</v>
      </c>
      <c r="AT109" s="259"/>
      <c r="AU109" s="259"/>
      <c r="AV109" s="259"/>
      <c r="AW109" s="259"/>
      <c r="AX109" s="259"/>
      <c r="AY109" s="259"/>
      <c r="AZ109" s="259"/>
      <c r="BA109" s="259"/>
      <c r="BB109" s="259"/>
      <c r="BC109" s="259"/>
      <c r="BD109" s="259"/>
      <c r="BE109" s="259"/>
      <c r="BF109" s="259"/>
      <c r="BG109" s="259"/>
    </row>
    <row r="110" spans="1:71" ht="12.75" x14ac:dyDescent="0.2">
      <c r="A110" s="274" t="s">
        <v>571</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59"/>
      <c r="AU110" s="259"/>
      <c r="AV110" s="259"/>
      <c r="AW110" s="259"/>
      <c r="AX110" s="259"/>
      <c r="AY110" s="259"/>
      <c r="AZ110" s="259"/>
      <c r="BA110" s="259"/>
      <c r="BB110" s="259"/>
      <c r="BC110" s="259"/>
      <c r="BD110" s="259"/>
      <c r="BE110" s="259"/>
      <c r="BF110" s="259"/>
      <c r="BG110" s="259"/>
    </row>
    <row r="111" spans="1:71" ht="12.75" x14ac:dyDescent="0.2">
      <c r="A111" s="274" t="s">
        <v>572</v>
      </c>
      <c r="B111" s="276">
        <f>8*365</f>
        <v>2920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59"/>
      <c r="AU111" s="259"/>
      <c r="AV111" s="259"/>
      <c r="AW111" s="259"/>
      <c r="AX111" s="259"/>
      <c r="AY111" s="259"/>
      <c r="AZ111" s="259"/>
      <c r="BA111" s="259"/>
      <c r="BB111" s="259"/>
      <c r="BC111" s="259"/>
      <c r="BD111" s="259"/>
      <c r="BE111" s="259"/>
      <c r="BF111" s="259"/>
      <c r="BG111" s="259"/>
    </row>
    <row r="112" spans="1:71" ht="12.75" x14ac:dyDescent="0.2">
      <c r="A112" s="274" t="s">
        <v>573</v>
      </c>
      <c r="B112" s="272">
        <f>$B$131</f>
        <v>1.23072</v>
      </c>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T112" s="259"/>
      <c r="AU112" s="259"/>
      <c r="AV112" s="259"/>
      <c r="AW112" s="259"/>
      <c r="AX112" s="259"/>
      <c r="AY112" s="259"/>
      <c r="AZ112" s="259"/>
      <c r="BA112" s="259"/>
      <c r="BB112" s="259"/>
      <c r="BC112" s="259"/>
      <c r="BD112" s="259"/>
      <c r="BE112" s="259"/>
      <c r="BF112" s="259"/>
      <c r="BG112" s="259"/>
    </row>
    <row r="113" spans="1:71" ht="15" x14ac:dyDescent="0.2">
      <c r="A113" s="277" t="s">
        <v>574</v>
      </c>
      <c r="B113" s="278">
        <v>0</v>
      </c>
      <c r="C113" s="279">
        <v>0.33</v>
      </c>
      <c r="D113" s="279">
        <v>0.33</v>
      </c>
      <c r="E113" s="279">
        <v>0.34</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59"/>
      <c r="AU113" s="259"/>
      <c r="AV113" s="259"/>
      <c r="AW113" s="259"/>
      <c r="AX113" s="259"/>
      <c r="AY113" s="259"/>
      <c r="AZ113" s="259"/>
      <c r="BA113" s="259"/>
      <c r="BB113" s="259"/>
      <c r="BC113" s="259"/>
      <c r="BD113" s="259"/>
      <c r="BE113" s="259"/>
      <c r="BF113" s="259"/>
      <c r="BG113" s="259"/>
    </row>
    <row r="114" spans="1:71" ht="12.75" x14ac:dyDescent="0.2">
      <c r="A114" s="270"/>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70"/>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71"/>
      <c r="B116" s="477" t="s">
        <v>575</v>
      </c>
      <c r="C116" s="478"/>
      <c r="D116" s="477" t="s">
        <v>576</v>
      </c>
      <c r="E116" s="478"/>
      <c r="F116" s="271"/>
      <c r="G116" s="271"/>
      <c r="H116" s="271"/>
      <c r="I116" s="271"/>
      <c r="J116" s="271"/>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274" t="s">
        <v>577</v>
      </c>
      <c r="B117" s="280"/>
      <c r="C117" s="271" t="s">
        <v>578</v>
      </c>
      <c r="D117" s="319">
        <v>111.4346508939647</v>
      </c>
      <c r="E117" s="271" t="s">
        <v>578</v>
      </c>
      <c r="F117" s="271"/>
      <c r="G117" s="271"/>
      <c r="H117" s="271"/>
      <c r="I117" s="271"/>
      <c r="J117" s="271"/>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274" t="s">
        <v>577</v>
      </c>
      <c r="B118" s="271">
        <f>$B$110*B117</f>
        <v>0</v>
      </c>
      <c r="C118" s="271" t="s">
        <v>139</v>
      </c>
      <c r="D118" s="271">
        <f>$B$110*D117</f>
        <v>103.63422533138717</v>
      </c>
      <c r="E118" s="271" t="s">
        <v>139</v>
      </c>
      <c r="F118" s="274" t="s">
        <v>579</v>
      </c>
      <c r="G118" s="271">
        <f>D117-B117</f>
        <v>111.4346508939647</v>
      </c>
      <c r="H118" s="271" t="s">
        <v>578</v>
      </c>
      <c r="I118" s="281">
        <f>$B$110*G118</f>
        <v>103.63422533138717</v>
      </c>
      <c r="J118" s="271" t="s">
        <v>139</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71"/>
      <c r="B119" s="271"/>
      <c r="C119" s="271"/>
      <c r="D119" s="271"/>
      <c r="E119" s="271"/>
      <c r="F119" s="274" t="s">
        <v>580</v>
      </c>
      <c r="G119" s="271">
        <f>I119/$B$110</f>
        <v>0</v>
      </c>
      <c r="H119" s="271" t="s">
        <v>578</v>
      </c>
      <c r="I119" s="280"/>
      <c r="J119" s="271" t="s">
        <v>139</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282"/>
      <c r="B120" s="283"/>
      <c r="C120" s="283"/>
      <c r="D120" s="283"/>
      <c r="E120" s="283"/>
      <c r="F120" s="284" t="s">
        <v>581</v>
      </c>
      <c r="G120" s="281">
        <f>G118</f>
        <v>111.4346508939647</v>
      </c>
      <c r="H120" s="271" t="s">
        <v>578</v>
      </c>
      <c r="I120" s="276">
        <f>I118</f>
        <v>103.63422533138717</v>
      </c>
      <c r="J120" s="271" t="s">
        <v>139</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85"/>
      <c r="B121" s="269"/>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286" t="s">
        <v>582</v>
      </c>
      <c r="B122" s="287">
        <v>2976.5134249886146</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286" t="s">
        <v>351</v>
      </c>
      <c r="B123" s="288">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286" t="s">
        <v>583</v>
      </c>
      <c r="B124" s="288" t="s">
        <v>595</v>
      </c>
      <c r="C124" s="289" t="s">
        <v>584</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17" customFormat="1" ht="12.75" x14ac:dyDescent="0.2">
      <c r="A125" s="290"/>
      <c r="B125" s="291"/>
      <c r="C125" s="292"/>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x14ac:dyDescent="0.2">
      <c r="A126" s="286" t="s">
        <v>585</v>
      </c>
      <c r="B126" s="294">
        <f>$B$122*1000*1000</f>
        <v>2976513424.9886146</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286" t="s">
        <v>586</v>
      </c>
      <c r="B127" s="295">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85"/>
      <c r="B128" s="296"/>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286" t="s">
        <v>587</v>
      </c>
      <c r="B129" s="297">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298"/>
      <c r="B130" s="29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00" t="s">
        <v>588</v>
      </c>
      <c r="B131" s="301">
        <v>1.23072</v>
      </c>
      <c r="C131" s="269" t="s">
        <v>589</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00" t="s">
        <v>590</v>
      </c>
      <c r="B132" s="301">
        <v>1.20268</v>
      </c>
      <c r="C132" s="269" t="s">
        <v>589</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85"/>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17"/>
      <c r="AR133" s="217"/>
      <c r="AS133" s="217"/>
      <c r="BH133" s="269"/>
      <c r="BI133" s="269"/>
      <c r="BJ133" s="269"/>
      <c r="BK133" s="269"/>
      <c r="BL133" s="269"/>
      <c r="BM133" s="269"/>
      <c r="BN133" s="269"/>
      <c r="BO133" s="269"/>
      <c r="BP133" s="269"/>
      <c r="BQ133" s="269"/>
      <c r="BR133" s="269"/>
      <c r="BS133" s="269"/>
    </row>
    <row r="134" spans="1:71" x14ac:dyDescent="0.2">
      <c r="A134" s="286" t="s">
        <v>591</v>
      </c>
      <c r="C134" s="293" t="s">
        <v>592</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17"/>
      <c r="AR134" s="217"/>
      <c r="AS134" s="217"/>
      <c r="BH134" s="293"/>
      <c r="BI134" s="293"/>
      <c r="BJ134" s="293"/>
      <c r="BK134" s="293"/>
      <c r="BL134" s="293"/>
      <c r="BM134" s="293"/>
      <c r="BN134" s="293"/>
      <c r="BO134" s="293"/>
      <c r="BP134" s="293"/>
      <c r="BQ134" s="293"/>
      <c r="BR134" s="293"/>
      <c r="BS134" s="293"/>
    </row>
    <row r="135" spans="1:71" ht="12.75" x14ac:dyDescent="0.2">
      <c r="A135" s="286"/>
      <c r="B135" s="302">
        <v>2016</v>
      </c>
      <c r="C135" s="302">
        <f>B135+1</f>
        <v>2017</v>
      </c>
      <c r="D135" s="302">
        <f t="shared" ref="D135:AY135" si="38">C135+1</f>
        <v>2018</v>
      </c>
      <c r="E135" s="302">
        <f t="shared" si="38"/>
        <v>2019</v>
      </c>
      <c r="F135" s="302">
        <f t="shared" si="38"/>
        <v>2020</v>
      </c>
      <c r="G135" s="302">
        <f t="shared" si="38"/>
        <v>2021</v>
      </c>
      <c r="H135" s="302">
        <f t="shared" si="38"/>
        <v>2022</v>
      </c>
      <c r="I135" s="302">
        <f t="shared" si="38"/>
        <v>2023</v>
      </c>
      <c r="J135" s="302">
        <f t="shared" si="38"/>
        <v>2024</v>
      </c>
      <c r="K135" s="302">
        <f t="shared" si="38"/>
        <v>2025</v>
      </c>
      <c r="L135" s="302">
        <f t="shared" si="38"/>
        <v>2026</v>
      </c>
      <c r="M135" s="302">
        <f t="shared" si="38"/>
        <v>2027</v>
      </c>
      <c r="N135" s="302">
        <f t="shared" si="38"/>
        <v>2028</v>
      </c>
      <c r="O135" s="302">
        <f t="shared" si="38"/>
        <v>2029</v>
      </c>
      <c r="P135" s="302">
        <f t="shared" si="38"/>
        <v>2030</v>
      </c>
      <c r="Q135" s="302">
        <f t="shared" si="38"/>
        <v>2031</v>
      </c>
      <c r="R135" s="302">
        <f t="shared" si="38"/>
        <v>2032</v>
      </c>
      <c r="S135" s="302">
        <f t="shared" si="38"/>
        <v>2033</v>
      </c>
      <c r="T135" s="302">
        <f t="shared" si="38"/>
        <v>2034</v>
      </c>
      <c r="U135" s="302">
        <f t="shared" si="38"/>
        <v>2035</v>
      </c>
      <c r="V135" s="302">
        <f t="shared" si="38"/>
        <v>2036</v>
      </c>
      <c r="W135" s="302">
        <f t="shared" si="38"/>
        <v>2037</v>
      </c>
      <c r="X135" s="302">
        <f t="shared" si="38"/>
        <v>2038</v>
      </c>
      <c r="Y135" s="302">
        <f t="shared" si="38"/>
        <v>2039</v>
      </c>
      <c r="Z135" s="302">
        <f t="shared" si="38"/>
        <v>2040</v>
      </c>
      <c r="AA135" s="302">
        <f t="shared" si="38"/>
        <v>2041</v>
      </c>
      <c r="AB135" s="302">
        <f t="shared" si="38"/>
        <v>2042</v>
      </c>
      <c r="AC135" s="302">
        <f t="shared" si="38"/>
        <v>2043</v>
      </c>
      <c r="AD135" s="302">
        <f t="shared" si="38"/>
        <v>2044</v>
      </c>
      <c r="AE135" s="302">
        <f t="shared" si="38"/>
        <v>2045</v>
      </c>
      <c r="AF135" s="302">
        <f t="shared" si="38"/>
        <v>2046</v>
      </c>
      <c r="AG135" s="302">
        <f t="shared" si="38"/>
        <v>2047</v>
      </c>
      <c r="AH135" s="302">
        <f t="shared" si="38"/>
        <v>2048</v>
      </c>
      <c r="AI135" s="302">
        <f t="shared" si="38"/>
        <v>2049</v>
      </c>
      <c r="AJ135" s="302">
        <f t="shared" si="38"/>
        <v>2050</v>
      </c>
      <c r="AK135" s="302">
        <f t="shared" si="38"/>
        <v>2051</v>
      </c>
      <c r="AL135" s="302">
        <f t="shared" si="38"/>
        <v>2052</v>
      </c>
      <c r="AM135" s="302">
        <f t="shared" si="38"/>
        <v>2053</v>
      </c>
      <c r="AN135" s="302">
        <f t="shared" si="38"/>
        <v>2054</v>
      </c>
      <c r="AO135" s="302">
        <f t="shared" si="38"/>
        <v>2055</v>
      </c>
      <c r="AP135" s="302">
        <f t="shared" si="38"/>
        <v>2056</v>
      </c>
      <c r="AQ135" s="302">
        <f t="shared" si="38"/>
        <v>2057</v>
      </c>
      <c r="AR135" s="302">
        <f t="shared" si="38"/>
        <v>2058</v>
      </c>
      <c r="AS135" s="302">
        <f t="shared" si="38"/>
        <v>2059</v>
      </c>
      <c r="AT135" s="302">
        <f t="shared" si="38"/>
        <v>2060</v>
      </c>
      <c r="AU135" s="302">
        <f t="shared" si="38"/>
        <v>2061</v>
      </c>
      <c r="AV135" s="302">
        <f t="shared" si="38"/>
        <v>2062</v>
      </c>
      <c r="AW135" s="302">
        <f t="shared" si="38"/>
        <v>2063</v>
      </c>
      <c r="AX135" s="302">
        <f t="shared" si="38"/>
        <v>2064</v>
      </c>
      <c r="AY135" s="302">
        <f t="shared" si="38"/>
        <v>2065</v>
      </c>
    </row>
    <row r="136" spans="1:71" ht="12.75" x14ac:dyDescent="0.2">
      <c r="A136" s="286" t="s">
        <v>593</v>
      </c>
      <c r="B136" s="302"/>
      <c r="C136" s="303">
        <v>5.8000000000000003E-2</v>
      </c>
      <c r="D136" s="303">
        <v>5.5E-2</v>
      </c>
      <c r="E136" s="304">
        <f t="shared" ref="E136:AY136" si="39">D136</f>
        <v>5.5E-2</v>
      </c>
      <c r="F136" s="304">
        <f t="shared" si="39"/>
        <v>5.5E-2</v>
      </c>
      <c r="G136" s="304">
        <f t="shared" si="39"/>
        <v>5.5E-2</v>
      </c>
      <c r="H136" s="304">
        <f t="shared" si="39"/>
        <v>5.5E-2</v>
      </c>
      <c r="I136" s="304">
        <f t="shared" si="39"/>
        <v>5.5E-2</v>
      </c>
      <c r="J136" s="304">
        <f t="shared" si="39"/>
        <v>5.5E-2</v>
      </c>
      <c r="K136" s="304">
        <f t="shared" si="39"/>
        <v>5.5E-2</v>
      </c>
      <c r="L136" s="304">
        <f t="shared" si="39"/>
        <v>5.5E-2</v>
      </c>
      <c r="M136" s="304">
        <f t="shared" si="39"/>
        <v>5.5E-2</v>
      </c>
      <c r="N136" s="304">
        <f t="shared" si="39"/>
        <v>5.5E-2</v>
      </c>
      <c r="O136" s="304">
        <f t="shared" si="39"/>
        <v>5.5E-2</v>
      </c>
      <c r="P136" s="304">
        <f t="shared" si="39"/>
        <v>5.5E-2</v>
      </c>
      <c r="Q136" s="304">
        <f t="shared" si="39"/>
        <v>5.5E-2</v>
      </c>
      <c r="R136" s="304">
        <f t="shared" si="39"/>
        <v>5.5E-2</v>
      </c>
      <c r="S136" s="304">
        <f t="shared" si="39"/>
        <v>5.5E-2</v>
      </c>
      <c r="T136" s="304">
        <f t="shared" si="39"/>
        <v>5.5E-2</v>
      </c>
      <c r="U136" s="304">
        <f t="shared" si="39"/>
        <v>5.5E-2</v>
      </c>
      <c r="V136" s="304">
        <f t="shared" si="39"/>
        <v>5.5E-2</v>
      </c>
      <c r="W136" s="304">
        <f t="shared" si="39"/>
        <v>5.5E-2</v>
      </c>
      <c r="X136" s="304">
        <f t="shared" si="39"/>
        <v>5.5E-2</v>
      </c>
      <c r="Y136" s="304">
        <f t="shared" si="39"/>
        <v>5.5E-2</v>
      </c>
      <c r="Z136" s="304">
        <f t="shared" si="39"/>
        <v>5.5E-2</v>
      </c>
      <c r="AA136" s="304">
        <f t="shared" si="39"/>
        <v>5.5E-2</v>
      </c>
      <c r="AB136" s="304">
        <f t="shared" si="39"/>
        <v>5.5E-2</v>
      </c>
      <c r="AC136" s="304">
        <f t="shared" si="39"/>
        <v>5.5E-2</v>
      </c>
      <c r="AD136" s="304">
        <f t="shared" si="39"/>
        <v>5.5E-2</v>
      </c>
      <c r="AE136" s="304">
        <f t="shared" si="39"/>
        <v>5.5E-2</v>
      </c>
      <c r="AF136" s="304">
        <f t="shared" si="39"/>
        <v>5.5E-2</v>
      </c>
      <c r="AG136" s="304">
        <f t="shared" si="39"/>
        <v>5.5E-2</v>
      </c>
      <c r="AH136" s="304">
        <f t="shared" si="39"/>
        <v>5.5E-2</v>
      </c>
      <c r="AI136" s="304">
        <f t="shared" si="39"/>
        <v>5.5E-2</v>
      </c>
      <c r="AJ136" s="304">
        <f t="shared" si="39"/>
        <v>5.5E-2</v>
      </c>
      <c r="AK136" s="304">
        <f t="shared" si="39"/>
        <v>5.5E-2</v>
      </c>
      <c r="AL136" s="304">
        <f t="shared" si="39"/>
        <v>5.5E-2</v>
      </c>
      <c r="AM136" s="304">
        <f t="shared" si="39"/>
        <v>5.5E-2</v>
      </c>
      <c r="AN136" s="304">
        <f t="shared" si="39"/>
        <v>5.5E-2</v>
      </c>
      <c r="AO136" s="304">
        <f t="shared" si="39"/>
        <v>5.5E-2</v>
      </c>
      <c r="AP136" s="304">
        <f t="shared" si="39"/>
        <v>5.5E-2</v>
      </c>
      <c r="AQ136" s="304">
        <f t="shared" si="39"/>
        <v>5.5E-2</v>
      </c>
      <c r="AR136" s="304">
        <f t="shared" si="39"/>
        <v>5.5E-2</v>
      </c>
      <c r="AS136" s="304">
        <f t="shared" si="39"/>
        <v>5.5E-2</v>
      </c>
      <c r="AT136" s="304">
        <f t="shared" si="39"/>
        <v>5.5E-2</v>
      </c>
      <c r="AU136" s="304">
        <f t="shared" si="39"/>
        <v>5.5E-2</v>
      </c>
      <c r="AV136" s="304">
        <f t="shared" si="39"/>
        <v>5.5E-2</v>
      </c>
      <c r="AW136" s="304">
        <f t="shared" si="39"/>
        <v>5.5E-2</v>
      </c>
      <c r="AX136" s="304">
        <f t="shared" si="39"/>
        <v>5.5E-2</v>
      </c>
      <c r="AY136" s="304">
        <f t="shared" si="39"/>
        <v>5.5E-2</v>
      </c>
    </row>
    <row r="137" spans="1:71" s="217" customFormat="1" ht="15" x14ac:dyDescent="0.2">
      <c r="A137" s="286" t="s">
        <v>594</v>
      </c>
      <c r="B137" s="305"/>
      <c r="C137" s="219">
        <f>(1+B137)*(1+C136)-1</f>
        <v>5.8000000000000052E-2</v>
      </c>
      <c r="D137" s="219">
        <f t="shared" ref="D137:AY137" si="40">(1+C137)*(1+D136)-1</f>
        <v>0.11619000000000002</v>
      </c>
      <c r="E137" s="219">
        <f t="shared" si="40"/>
        <v>0.17758045</v>
      </c>
      <c r="F137" s="219">
        <f t="shared" si="40"/>
        <v>0.24234737475000001</v>
      </c>
      <c r="G137" s="219">
        <f t="shared" si="40"/>
        <v>0.31067648036124984</v>
      </c>
      <c r="H137" s="219">
        <f t="shared" si="40"/>
        <v>0.38276368678111861</v>
      </c>
      <c r="I137" s="219">
        <f t="shared" si="40"/>
        <v>0.45881568955408003</v>
      </c>
      <c r="J137" s="219">
        <f t="shared" si="40"/>
        <v>0.53905055247955436</v>
      </c>
      <c r="K137" s="219">
        <f t="shared" si="40"/>
        <v>0.62369833286592979</v>
      </c>
      <c r="L137" s="219">
        <f t="shared" si="40"/>
        <v>0.71300174117355586</v>
      </c>
      <c r="M137" s="219">
        <f t="shared" si="40"/>
        <v>0.80721683693810142</v>
      </c>
      <c r="N137" s="219">
        <f t="shared" si="40"/>
        <v>0.90661376296969687</v>
      </c>
      <c r="O137" s="219">
        <f t="shared" si="40"/>
        <v>1.0114775199330301</v>
      </c>
      <c r="P137" s="219">
        <f t="shared" si="40"/>
        <v>1.1221087835293466</v>
      </c>
      <c r="Q137" s="219">
        <f t="shared" si="40"/>
        <v>1.2388247666234604</v>
      </c>
      <c r="R137" s="219">
        <f t="shared" si="40"/>
        <v>1.3619601287877505</v>
      </c>
      <c r="S137" s="219">
        <f t="shared" si="40"/>
        <v>1.4918679358710767</v>
      </c>
      <c r="T137" s="219">
        <f t="shared" si="40"/>
        <v>1.6289206723439857</v>
      </c>
      <c r="U137" s="219">
        <f t="shared" si="40"/>
        <v>1.7735113093229047</v>
      </c>
      <c r="V137" s="219">
        <f t="shared" si="40"/>
        <v>1.9260544313356642</v>
      </c>
      <c r="W137" s="219">
        <f t="shared" si="40"/>
        <v>2.0869874250591254</v>
      </c>
      <c r="X137" s="219">
        <f t="shared" si="40"/>
        <v>2.2567717334373771</v>
      </c>
      <c r="Y137" s="219">
        <f t="shared" si="40"/>
        <v>2.4358941787764326</v>
      </c>
      <c r="Z137" s="219">
        <f t="shared" si="40"/>
        <v>2.6248683586091359</v>
      </c>
      <c r="AA137" s="219">
        <f t="shared" si="40"/>
        <v>2.8242361183326383</v>
      </c>
      <c r="AB137" s="219">
        <f t="shared" si="40"/>
        <v>3.0345691048409336</v>
      </c>
      <c r="AC137" s="219">
        <f t="shared" si="40"/>
        <v>3.2564704056071845</v>
      </c>
      <c r="AD137" s="219">
        <f t="shared" si="40"/>
        <v>3.4905762779155793</v>
      </c>
      <c r="AE137" s="219">
        <f t="shared" si="40"/>
        <v>3.7375579732009356</v>
      </c>
      <c r="AF137" s="219">
        <f t="shared" si="40"/>
        <v>3.9981236617269866</v>
      </c>
      <c r="AG137" s="219">
        <f t="shared" si="40"/>
        <v>4.2730204631219708</v>
      </c>
      <c r="AH137" s="219">
        <f t="shared" si="40"/>
        <v>4.563036588593679</v>
      </c>
      <c r="AI137" s="219">
        <f t="shared" si="40"/>
        <v>4.8690036009663311</v>
      </c>
      <c r="AJ137" s="219">
        <f t="shared" si="40"/>
        <v>5.1917987990194794</v>
      </c>
      <c r="AK137" s="219">
        <f t="shared" si="40"/>
        <v>5.5323477329655502</v>
      </c>
      <c r="AL137" s="219">
        <f t="shared" si="40"/>
        <v>5.8916268582786548</v>
      </c>
      <c r="AM137" s="219">
        <f t="shared" si="40"/>
        <v>6.2706663354839804</v>
      </c>
      <c r="AN137" s="219">
        <f t="shared" si="40"/>
        <v>6.6705529839355986</v>
      </c>
      <c r="AO137" s="219">
        <f t="shared" si="40"/>
        <v>7.0924333980520569</v>
      </c>
      <c r="AP137" s="219">
        <f t="shared" si="40"/>
        <v>7.5375172349449198</v>
      </c>
      <c r="AQ137" s="219">
        <f t="shared" si="40"/>
        <v>8.0070806828668903</v>
      </c>
      <c r="AR137" s="219">
        <f t="shared" si="40"/>
        <v>8.5024701204245687</v>
      </c>
      <c r="AS137" s="219">
        <f t="shared" si="40"/>
        <v>9.0251059770479198</v>
      </c>
      <c r="AT137" s="219">
        <f t="shared" si="40"/>
        <v>9.5764868057855548</v>
      </c>
      <c r="AU137" s="219">
        <f t="shared" si="40"/>
        <v>10.15819358010376</v>
      </c>
      <c r="AV137" s="219">
        <f t="shared" si="40"/>
        <v>10.771894227009465</v>
      </c>
      <c r="AW137" s="219">
        <f>(1+AV137)*(1+AW136)-1</f>
        <v>11.419348409494985</v>
      </c>
      <c r="AX137" s="219">
        <f t="shared" si="40"/>
        <v>12.102412572017208</v>
      </c>
      <c r="AY137" s="219">
        <f t="shared" si="40"/>
        <v>12.823045263478154</v>
      </c>
    </row>
    <row r="138" spans="1:71" s="217" customFormat="1" x14ac:dyDescent="0.2">
      <c r="A138" s="306"/>
      <c r="B138" s="305"/>
      <c r="C138" s="307"/>
      <c r="D138" s="307"/>
      <c r="E138" s="307"/>
      <c r="F138" s="307"/>
      <c r="G138" s="307"/>
      <c r="H138" s="307"/>
      <c r="I138" s="307"/>
      <c r="J138" s="307"/>
      <c r="K138" s="307"/>
      <c r="L138" s="307"/>
      <c r="M138" s="307"/>
      <c r="N138" s="307"/>
      <c r="O138" s="307"/>
      <c r="P138" s="307"/>
      <c r="Q138" s="307"/>
      <c r="R138" s="307"/>
      <c r="S138" s="307"/>
      <c r="T138" s="307"/>
      <c r="U138" s="307"/>
      <c r="V138" s="307"/>
      <c r="W138" s="307"/>
      <c r="X138" s="307"/>
      <c r="Y138" s="307"/>
      <c r="Z138" s="307"/>
      <c r="AA138" s="307"/>
      <c r="AB138" s="307"/>
      <c r="AC138" s="307"/>
      <c r="AD138" s="307"/>
      <c r="AE138" s="307"/>
      <c r="AF138" s="307"/>
      <c r="AG138" s="307"/>
      <c r="AH138" s="307"/>
      <c r="AI138" s="307"/>
      <c r="AJ138" s="307"/>
      <c r="AK138" s="307"/>
      <c r="AL138" s="307"/>
      <c r="AM138" s="307"/>
      <c r="AN138" s="307"/>
      <c r="AO138" s="307"/>
      <c r="AP138" s="307"/>
      <c r="AQ138" s="177"/>
    </row>
    <row r="139" spans="1:71" ht="12.75" x14ac:dyDescent="0.2">
      <c r="A139" s="285"/>
      <c r="B139" s="302">
        <v>2016</v>
      </c>
      <c r="C139" s="302">
        <f>B139+1</f>
        <v>2017</v>
      </c>
      <c r="D139" s="302">
        <f t="shared" ref="D139:AY140" si="41">C139+1</f>
        <v>2018</v>
      </c>
      <c r="E139" s="302">
        <f t="shared" si="41"/>
        <v>2019</v>
      </c>
      <c r="F139" s="302">
        <f t="shared" si="41"/>
        <v>2020</v>
      </c>
      <c r="G139" s="302">
        <f t="shared" si="41"/>
        <v>2021</v>
      </c>
      <c r="H139" s="302">
        <f t="shared" si="41"/>
        <v>2022</v>
      </c>
      <c r="I139" s="302">
        <f t="shared" si="41"/>
        <v>2023</v>
      </c>
      <c r="J139" s="302">
        <f t="shared" si="41"/>
        <v>2024</v>
      </c>
      <c r="K139" s="302">
        <f t="shared" si="41"/>
        <v>2025</v>
      </c>
      <c r="L139" s="302">
        <f t="shared" si="41"/>
        <v>2026</v>
      </c>
      <c r="M139" s="302">
        <f t="shared" si="41"/>
        <v>2027</v>
      </c>
      <c r="N139" s="302">
        <f t="shared" si="41"/>
        <v>2028</v>
      </c>
      <c r="O139" s="302">
        <f t="shared" si="41"/>
        <v>2029</v>
      </c>
      <c r="P139" s="302">
        <f t="shared" si="41"/>
        <v>2030</v>
      </c>
      <c r="Q139" s="302">
        <f t="shared" si="41"/>
        <v>2031</v>
      </c>
      <c r="R139" s="302">
        <f t="shared" si="41"/>
        <v>2032</v>
      </c>
      <c r="S139" s="302">
        <f t="shared" si="41"/>
        <v>2033</v>
      </c>
      <c r="T139" s="302">
        <f t="shared" si="41"/>
        <v>2034</v>
      </c>
      <c r="U139" s="302">
        <f t="shared" si="41"/>
        <v>2035</v>
      </c>
      <c r="V139" s="302">
        <f t="shared" si="41"/>
        <v>2036</v>
      </c>
      <c r="W139" s="302">
        <f t="shared" si="41"/>
        <v>2037</v>
      </c>
      <c r="X139" s="302">
        <f t="shared" si="41"/>
        <v>2038</v>
      </c>
      <c r="Y139" s="302">
        <f t="shared" si="41"/>
        <v>2039</v>
      </c>
      <c r="Z139" s="302">
        <f t="shared" si="41"/>
        <v>2040</v>
      </c>
      <c r="AA139" s="302">
        <f t="shared" si="41"/>
        <v>2041</v>
      </c>
      <c r="AB139" s="302">
        <f t="shared" si="41"/>
        <v>2042</v>
      </c>
      <c r="AC139" s="302">
        <f t="shared" si="41"/>
        <v>2043</v>
      </c>
      <c r="AD139" s="302">
        <f t="shared" si="41"/>
        <v>2044</v>
      </c>
      <c r="AE139" s="302">
        <f t="shared" si="41"/>
        <v>2045</v>
      </c>
      <c r="AF139" s="302">
        <f t="shared" si="41"/>
        <v>2046</v>
      </c>
      <c r="AG139" s="302">
        <f t="shared" si="41"/>
        <v>2047</v>
      </c>
      <c r="AH139" s="302">
        <f t="shared" si="41"/>
        <v>2048</v>
      </c>
      <c r="AI139" s="302">
        <f t="shared" si="41"/>
        <v>2049</v>
      </c>
      <c r="AJ139" s="302">
        <f t="shared" si="41"/>
        <v>2050</v>
      </c>
      <c r="AK139" s="302">
        <f t="shared" si="41"/>
        <v>2051</v>
      </c>
      <c r="AL139" s="302">
        <f t="shared" si="41"/>
        <v>2052</v>
      </c>
      <c r="AM139" s="302">
        <f t="shared" si="41"/>
        <v>2053</v>
      </c>
      <c r="AN139" s="302">
        <f t="shared" si="41"/>
        <v>2054</v>
      </c>
      <c r="AO139" s="302">
        <f t="shared" si="41"/>
        <v>2055</v>
      </c>
      <c r="AP139" s="302">
        <f t="shared" si="41"/>
        <v>2056</v>
      </c>
      <c r="AQ139" s="302">
        <f t="shared" si="41"/>
        <v>2057</v>
      </c>
      <c r="AR139" s="302">
        <f t="shared" si="41"/>
        <v>2058</v>
      </c>
      <c r="AS139" s="302">
        <f t="shared" si="41"/>
        <v>2059</v>
      </c>
      <c r="AT139" s="302">
        <f t="shared" si="41"/>
        <v>2060</v>
      </c>
      <c r="AU139" s="302">
        <f t="shared" si="41"/>
        <v>2061</v>
      </c>
      <c r="AV139" s="302">
        <f t="shared" si="41"/>
        <v>2062</v>
      </c>
      <c r="AW139" s="302">
        <f t="shared" si="41"/>
        <v>2063</v>
      </c>
      <c r="AX139" s="302">
        <f t="shared" si="41"/>
        <v>2064</v>
      </c>
      <c r="AY139" s="302">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85"/>
      <c r="B140" s="308">
        <f>1</f>
        <v>1</v>
      </c>
      <c r="C140" s="308">
        <f t="shared" ref="C140" si="42">B140+1</f>
        <v>2</v>
      </c>
      <c r="D140" s="308">
        <f t="shared" si="41"/>
        <v>3</v>
      </c>
      <c r="E140" s="308">
        <f>D140+1</f>
        <v>4</v>
      </c>
      <c r="F140" s="308">
        <f t="shared" si="41"/>
        <v>5</v>
      </c>
      <c r="G140" s="308">
        <f t="shared" si="41"/>
        <v>6</v>
      </c>
      <c r="H140" s="308">
        <f t="shared" si="41"/>
        <v>7</v>
      </c>
      <c r="I140" s="308">
        <f t="shared" si="41"/>
        <v>8</v>
      </c>
      <c r="J140" s="308">
        <f t="shared" si="41"/>
        <v>9</v>
      </c>
      <c r="K140" s="308">
        <f t="shared" si="41"/>
        <v>10</v>
      </c>
      <c r="L140" s="308">
        <f t="shared" si="41"/>
        <v>11</v>
      </c>
      <c r="M140" s="308">
        <f t="shared" si="41"/>
        <v>12</v>
      </c>
      <c r="N140" s="308">
        <f t="shared" si="41"/>
        <v>13</v>
      </c>
      <c r="O140" s="308">
        <f t="shared" si="41"/>
        <v>14</v>
      </c>
      <c r="P140" s="308">
        <f t="shared" si="41"/>
        <v>15</v>
      </c>
      <c r="Q140" s="308">
        <f t="shared" si="41"/>
        <v>16</v>
      </c>
      <c r="R140" s="308">
        <f t="shared" si="41"/>
        <v>17</v>
      </c>
      <c r="S140" s="308">
        <f t="shared" si="41"/>
        <v>18</v>
      </c>
      <c r="T140" s="308">
        <f t="shared" si="41"/>
        <v>19</v>
      </c>
      <c r="U140" s="308">
        <f t="shared" si="41"/>
        <v>20</v>
      </c>
      <c r="V140" s="308">
        <f t="shared" si="41"/>
        <v>21</v>
      </c>
      <c r="W140" s="308">
        <f t="shared" si="41"/>
        <v>22</v>
      </c>
      <c r="X140" s="308">
        <f t="shared" si="41"/>
        <v>23</v>
      </c>
      <c r="Y140" s="308">
        <f t="shared" si="41"/>
        <v>24</v>
      </c>
      <c r="Z140" s="308">
        <f t="shared" si="41"/>
        <v>25</v>
      </c>
      <c r="AA140" s="308">
        <f t="shared" si="41"/>
        <v>26</v>
      </c>
      <c r="AB140" s="308">
        <f t="shared" si="41"/>
        <v>27</v>
      </c>
      <c r="AC140" s="308">
        <f t="shared" si="41"/>
        <v>28</v>
      </c>
      <c r="AD140" s="308">
        <f t="shared" si="41"/>
        <v>29</v>
      </c>
      <c r="AE140" s="308">
        <f t="shared" si="41"/>
        <v>30</v>
      </c>
      <c r="AF140" s="308">
        <f t="shared" si="41"/>
        <v>31</v>
      </c>
      <c r="AG140" s="308">
        <f t="shared" si="41"/>
        <v>32</v>
      </c>
      <c r="AH140" s="308">
        <f t="shared" si="41"/>
        <v>33</v>
      </c>
      <c r="AI140" s="308">
        <f t="shared" si="41"/>
        <v>34</v>
      </c>
      <c r="AJ140" s="308">
        <f t="shared" si="41"/>
        <v>35</v>
      </c>
      <c r="AK140" s="308">
        <f t="shared" si="41"/>
        <v>36</v>
      </c>
      <c r="AL140" s="308">
        <f t="shared" si="41"/>
        <v>37</v>
      </c>
      <c r="AM140" s="308">
        <f t="shared" si="41"/>
        <v>38</v>
      </c>
      <c r="AN140" s="308">
        <f t="shared" si="41"/>
        <v>39</v>
      </c>
      <c r="AO140" s="308">
        <f t="shared" si="41"/>
        <v>40</v>
      </c>
      <c r="AP140" s="308">
        <f>AO140+1</f>
        <v>41</v>
      </c>
      <c r="AQ140" s="308">
        <f t="shared" si="41"/>
        <v>42</v>
      </c>
      <c r="AR140" s="308">
        <f t="shared" si="41"/>
        <v>43</v>
      </c>
      <c r="AS140" s="308">
        <f t="shared" si="41"/>
        <v>44</v>
      </c>
      <c r="AT140" s="308">
        <f t="shared" si="41"/>
        <v>45</v>
      </c>
      <c r="AU140" s="308">
        <f t="shared" si="41"/>
        <v>46</v>
      </c>
      <c r="AV140" s="308">
        <f t="shared" si="41"/>
        <v>47</v>
      </c>
      <c r="AW140" s="308">
        <f t="shared" si="41"/>
        <v>48</v>
      </c>
      <c r="AX140" s="308">
        <f t="shared" si="41"/>
        <v>49</v>
      </c>
      <c r="AY140" s="308">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85"/>
      <c r="B141" s="309">
        <v>0.5</v>
      </c>
      <c r="C141" s="309">
        <f>AVERAGE(B140:C140)</f>
        <v>1.5</v>
      </c>
      <c r="D141" s="309">
        <f>AVERAGE(C140:D140)</f>
        <v>2.5</v>
      </c>
      <c r="E141" s="309">
        <f>AVERAGE(D140:E140)</f>
        <v>3.5</v>
      </c>
      <c r="F141" s="309">
        <f t="shared" ref="F141:AO141" si="43">AVERAGE(E140:F140)</f>
        <v>4.5</v>
      </c>
      <c r="G141" s="309">
        <f t="shared" si="43"/>
        <v>5.5</v>
      </c>
      <c r="H141" s="309">
        <f t="shared" si="43"/>
        <v>6.5</v>
      </c>
      <c r="I141" s="309">
        <f t="shared" si="43"/>
        <v>7.5</v>
      </c>
      <c r="J141" s="309">
        <f t="shared" si="43"/>
        <v>8.5</v>
      </c>
      <c r="K141" s="309">
        <f t="shared" si="43"/>
        <v>9.5</v>
      </c>
      <c r="L141" s="309">
        <f t="shared" si="43"/>
        <v>10.5</v>
      </c>
      <c r="M141" s="309">
        <f t="shared" si="43"/>
        <v>11.5</v>
      </c>
      <c r="N141" s="309">
        <f t="shared" si="43"/>
        <v>12.5</v>
      </c>
      <c r="O141" s="309">
        <f t="shared" si="43"/>
        <v>13.5</v>
      </c>
      <c r="P141" s="309">
        <f t="shared" si="43"/>
        <v>14.5</v>
      </c>
      <c r="Q141" s="309">
        <f t="shared" si="43"/>
        <v>15.5</v>
      </c>
      <c r="R141" s="309">
        <f t="shared" si="43"/>
        <v>16.5</v>
      </c>
      <c r="S141" s="309">
        <f t="shared" si="43"/>
        <v>17.5</v>
      </c>
      <c r="T141" s="309">
        <f t="shared" si="43"/>
        <v>18.5</v>
      </c>
      <c r="U141" s="309">
        <f t="shared" si="43"/>
        <v>19.5</v>
      </c>
      <c r="V141" s="309">
        <f t="shared" si="43"/>
        <v>20.5</v>
      </c>
      <c r="W141" s="309">
        <f t="shared" si="43"/>
        <v>21.5</v>
      </c>
      <c r="X141" s="309">
        <f t="shared" si="43"/>
        <v>22.5</v>
      </c>
      <c r="Y141" s="309">
        <f t="shared" si="43"/>
        <v>23.5</v>
      </c>
      <c r="Z141" s="309">
        <f t="shared" si="43"/>
        <v>24.5</v>
      </c>
      <c r="AA141" s="309">
        <f t="shared" si="43"/>
        <v>25.5</v>
      </c>
      <c r="AB141" s="309">
        <f t="shared" si="43"/>
        <v>26.5</v>
      </c>
      <c r="AC141" s="309">
        <f t="shared" si="43"/>
        <v>27.5</v>
      </c>
      <c r="AD141" s="309">
        <f t="shared" si="43"/>
        <v>28.5</v>
      </c>
      <c r="AE141" s="309">
        <f t="shared" si="43"/>
        <v>29.5</v>
      </c>
      <c r="AF141" s="309">
        <f t="shared" si="43"/>
        <v>30.5</v>
      </c>
      <c r="AG141" s="309">
        <f t="shared" si="43"/>
        <v>31.5</v>
      </c>
      <c r="AH141" s="309">
        <f t="shared" si="43"/>
        <v>32.5</v>
      </c>
      <c r="AI141" s="309">
        <f t="shared" si="43"/>
        <v>33.5</v>
      </c>
      <c r="AJ141" s="309">
        <f t="shared" si="43"/>
        <v>34.5</v>
      </c>
      <c r="AK141" s="309">
        <f t="shared" si="43"/>
        <v>35.5</v>
      </c>
      <c r="AL141" s="309">
        <f t="shared" si="43"/>
        <v>36.5</v>
      </c>
      <c r="AM141" s="309">
        <f t="shared" si="43"/>
        <v>37.5</v>
      </c>
      <c r="AN141" s="309">
        <f t="shared" si="43"/>
        <v>38.5</v>
      </c>
      <c r="AO141" s="309">
        <f t="shared" si="43"/>
        <v>39.5</v>
      </c>
      <c r="AP141" s="309">
        <f>AVERAGE(AO140:AP140)</f>
        <v>40.5</v>
      </c>
      <c r="AQ141" s="309">
        <f t="shared" ref="AQ141:AY141" si="44">AVERAGE(AP140:AQ140)</f>
        <v>41.5</v>
      </c>
      <c r="AR141" s="309">
        <f t="shared" si="44"/>
        <v>42.5</v>
      </c>
      <c r="AS141" s="309">
        <f t="shared" si="44"/>
        <v>43.5</v>
      </c>
      <c r="AT141" s="309">
        <f t="shared" si="44"/>
        <v>44.5</v>
      </c>
      <c r="AU141" s="309">
        <f t="shared" si="44"/>
        <v>45.5</v>
      </c>
      <c r="AV141" s="309">
        <f t="shared" si="44"/>
        <v>46.5</v>
      </c>
      <c r="AW141" s="309">
        <f t="shared" si="44"/>
        <v>47.5</v>
      </c>
      <c r="AX141" s="309">
        <f t="shared" si="44"/>
        <v>48.5</v>
      </c>
      <c r="AY141" s="309">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8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8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8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8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8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8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8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8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8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8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8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8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8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8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70"/>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70"/>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70"/>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70"/>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70"/>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70"/>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70"/>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70"/>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70"/>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70"/>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70"/>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70"/>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70"/>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70"/>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70"/>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70"/>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70"/>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70"/>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70"/>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70"/>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70"/>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70"/>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70"/>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70"/>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70"/>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70"/>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70"/>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70"/>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70"/>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70"/>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70"/>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70"/>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70"/>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70"/>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70"/>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70"/>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70"/>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70"/>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70"/>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70"/>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70"/>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70"/>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70"/>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70"/>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70"/>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70"/>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70"/>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70"/>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70"/>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70"/>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70"/>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70"/>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6"/>
  <sheetViews>
    <sheetView view="pageBreakPreview" zoomScale="80" zoomScaleSheetLayoutView="80" workbookViewId="0"/>
  </sheetViews>
  <sheetFormatPr defaultRowHeight="15.75" x14ac:dyDescent="0.25"/>
  <cols>
    <col min="1" max="1" width="9.140625" style="66"/>
    <col min="2" max="2" width="37.7109375" style="66" customWidth="1"/>
    <col min="3" max="6" width="14.140625" style="66" customWidth="1"/>
    <col min="7" max="8" width="14.140625" style="66" hidden="1" customWidth="1"/>
    <col min="9" max="10" width="18.28515625" style="66" customWidth="1"/>
    <col min="11" max="11" width="39.71093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1" t="s">
        <v>68</v>
      </c>
    </row>
    <row r="2" spans="1:44" ht="18.75" x14ac:dyDescent="0.3">
      <c r="L2" s="15" t="s">
        <v>10</v>
      </c>
    </row>
    <row r="3" spans="1:44" ht="18.75" x14ac:dyDescent="0.3">
      <c r="L3" s="15" t="s">
        <v>67</v>
      </c>
    </row>
    <row r="4" spans="1:44" ht="18.75" x14ac:dyDescent="0.3">
      <c r="K4" s="15"/>
    </row>
    <row r="5" spans="1:44" x14ac:dyDescent="0.25">
      <c r="A5" s="426" t="str">
        <f>'1. паспорт местоположение'!A5:C5</f>
        <v>Год раскрытия информации: 2018 год</v>
      </c>
      <c r="B5" s="426"/>
      <c r="C5" s="426"/>
      <c r="D5" s="426"/>
      <c r="E5" s="426"/>
      <c r="F5" s="426"/>
      <c r="G5" s="426"/>
      <c r="H5" s="426"/>
      <c r="I5" s="426"/>
      <c r="J5" s="426"/>
      <c r="K5" s="426"/>
      <c r="L5" s="426"/>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5"/>
    </row>
    <row r="7" spans="1:44" ht="18.75" x14ac:dyDescent="0.25">
      <c r="A7" s="434" t="s">
        <v>9</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АО "Янтарьэнерго"</v>
      </c>
      <c r="B9" s="435"/>
      <c r="C9" s="435"/>
      <c r="D9" s="435"/>
      <c r="E9" s="435"/>
      <c r="F9" s="435"/>
      <c r="G9" s="435"/>
      <c r="H9" s="435"/>
      <c r="I9" s="435"/>
      <c r="J9" s="435"/>
      <c r="K9" s="435"/>
      <c r="L9" s="435"/>
    </row>
    <row r="10" spans="1:44" x14ac:dyDescent="0.25">
      <c r="A10" s="439" t="s">
        <v>8</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Г</v>
      </c>
      <c r="B12" s="435"/>
      <c r="C12" s="435"/>
      <c r="D12" s="435"/>
      <c r="E12" s="435"/>
      <c r="F12" s="435"/>
      <c r="G12" s="435"/>
      <c r="H12" s="435"/>
      <c r="I12" s="435"/>
      <c r="J12" s="435"/>
      <c r="K12" s="435"/>
      <c r="L12" s="435"/>
    </row>
    <row r="13" spans="1:44" x14ac:dyDescent="0.25">
      <c r="A13" s="439" t="s">
        <v>7</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35"/>
      <c r="C15" s="435"/>
      <c r="D15" s="435"/>
      <c r="E15" s="435"/>
      <c r="F15" s="435"/>
      <c r="G15" s="435"/>
      <c r="H15" s="435"/>
      <c r="I15" s="435"/>
      <c r="J15" s="435"/>
      <c r="K15" s="435"/>
      <c r="L15" s="435"/>
    </row>
    <row r="16" spans="1:44" x14ac:dyDescent="0.25">
      <c r="A16" s="439" t="s">
        <v>6</v>
      </c>
      <c r="B16" s="439"/>
      <c r="C16" s="439"/>
      <c r="D16" s="439"/>
      <c r="E16" s="439"/>
      <c r="F16" s="439"/>
      <c r="G16" s="439"/>
      <c r="H16" s="439"/>
      <c r="I16" s="439"/>
      <c r="J16" s="439"/>
      <c r="K16" s="439"/>
      <c r="L16" s="439"/>
    </row>
    <row r="17" spans="1:12" ht="15.75" customHeight="1" x14ac:dyDescent="0.25">
      <c r="L17" s="87"/>
    </row>
    <row r="18" spans="1:12" x14ac:dyDescent="0.25">
      <c r="K18" s="86"/>
    </row>
    <row r="19" spans="1:12" ht="15.75" customHeight="1" x14ac:dyDescent="0.25">
      <c r="A19" s="497" t="s">
        <v>507</v>
      </c>
      <c r="B19" s="497"/>
      <c r="C19" s="497"/>
      <c r="D19" s="497"/>
      <c r="E19" s="497"/>
      <c r="F19" s="497"/>
      <c r="G19" s="497"/>
      <c r="H19" s="497"/>
      <c r="I19" s="497"/>
      <c r="J19" s="497"/>
      <c r="K19" s="497"/>
      <c r="L19" s="497"/>
    </row>
    <row r="20" spans="1:12" x14ac:dyDescent="0.25">
      <c r="A20" s="68"/>
      <c r="B20" s="68"/>
      <c r="C20" s="85"/>
      <c r="D20" s="85"/>
      <c r="E20" s="85"/>
      <c r="F20" s="85"/>
      <c r="G20" s="85"/>
      <c r="H20" s="85"/>
      <c r="I20" s="85"/>
      <c r="J20" s="85"/>
      <c r="K20" s="85"/>
      <c r="L20" s="85"/>
    </row>
    <row r="21" spans="1:12" ht="28.5" customHeight="1" x14ac:dyDescent="0.25">
      <c r="A21" s="490" t="s">
        <v>228</v>
      </c>
      <c r="B21" s="490" t="s">
        <v>622</v>
      </c>
      <c r="C21" s="490" t="s">
        <v>439</v>
      </c>
      <c r="D21" s="490"/>
      <c r="E21" s="490"/>
      <c r="F21" s="490"/>
      <c r="G21" s="490"/>
      <c r="H21" s="490"/>
      <c r="I21" s="491" t="s">
        <v>227</v>
      </c>
      <c r="J21" s="493" t="s">
        <v>441</v>
      </c>
      <c r="K21" s="490" t="s">
        <v>226</v>
      </c>
      <c r="L21" s="492" t="s">
        <v>440</v>
      </c>
    </row>
    <row r="22" spans="1:12" ht="58.5" customHeight="1" x14ac:dyDescent="0.25">
      <c r="A22" s="490"/>
      <c r="B22" s="490"/>
      <c r="C22" s="496" t="s">
        <v>1027</v>
      </c>
      <c r="D22" s="496"/>
      <c r="E22" s="496" t="s">
        <v>11</v>
      </c>
      <c r="F22" s="496"/>
      <c r="G22" s="496" t="s">
        <v>1028</v>
      </c>
      <c r="H22" s="496"/>
      <c r="I22" s="491"/>
      <c r="J22" s="494"/>
      <c r="K22" s="490"/>
      <c r="L22" s="492"/>
    </row>
    <row r="23" spans="1:12" ht="31.5" x14ac:dyDescent="0.25">
      <c r="A23" s="490"/>
      <c r="B23" s="490"/>
      <c r="C23" s="349" t="s">
        <v>225</v>
      </c>
      <c r="D23" s="349" t="s">
        <v>224</v>
      </c>
      <c r="E23" s="349" t="s">
        <v>225</v>
      </c>
      <c r="F23" s="349" t="s">
        <v>224</v>
      </c>
      <c r="G23" s="349" t="s">
        <v>225</v>
      </c>
      <c r="H23" s="349" t="s">
        <v>224</v>
      </c>
      <c r="I23" s="491"/>
      <c r="J23" s="495"/>
      <c r="K23" s="490"/>
      <c r="L23" s="492"/>
    </row>
    <row r="24" spans="1:12" x14ac:dyDescent="0.25">
      <c r="A24" s="350">
        <v>1</v>
      </c>
      <c r="B24" s="350">
        <v>2</v>
      </c>
      <c r="C24" s="349">
        <v>3</v>
      </c>
      <c r="D24" s="349">
        <v>4</v>
      </c>
      <c r="E24" s="349">
        <v>5</v>
      </c>
      <c r="F24" s="349">
        <v>6</v>
      </c>
      <c r="G24" s="349">
        <v>7</v>
      </c>
      <c r="H24" s="349">
        <v>8</v>
      </c>
      <c r="I24" s="349">
        <v>9</v>
      </c>
      <c r="J24" s="349">
        <v>10</v>
      </c>
      <c r="K24" s="349">
        <v>11</v>
      </c>
      <c r="L24" s="349">
        <v>12</v>
      </c>
    </row>
    <row r="25" spans="1:12" x14ac:dyDescent="0.25">
      <c r="A25" s="382">
        <v>1</v>
      </c>
      <c r="B25" s="383" t="s">
        <v>223</v>
      </c>
      <c r="C25" s="384"/>
      <c r="D25" s="384"/>
      <c r="E25" s="417"/>
      <c r="F25" s="417"/>
      <c r="G25" s="417"/>
      <c r="H25" s="417"/>
      <c r="I25" s="384"/>
      <c r="J25" s="343"/>
      <c r="K25" s="344"/>
      <c r="L25" s="345"/>
    </row>
    <row r="26" spans="1:12" x14ac:dyDescent="0.25">
      <c r="A26" s="382" t="s">
        <v>222</v>
      </c>
      <c r="B26" s="385" t="s">
        <v>446</v>
      </c>
      <c r="C26" s="386">
        <v>42370</v>
      </c>
      <c r="D26" s="386">
        <v>44196</v>
      </c>
      <c r="E26" s="418">
        <v>42370</v>
      </c>
      <c r="F26" s="418"/>
      <c r="G26" s="418">
        <v>42917</v>
      </c>
      <c r="H26" s="418">
        <v>45138</v>
      </c>
      <c r="I26" s="387">
        <v>20</v>
      </c>
      <c r="J26" s="343"/>
      <c r="K26" s="344"/>
      <c r="L26" s="346"/>
    </row>
    <row r="27" spans="1:12" s="70" customFormat="1" ht="31.5" x14ac:dyDescent="0.25">
      <c r="A27" s="382" t="s">
        <v>221</v>
      </c>
      <c r="B27" s="385" t="s">
        <v>447</v>
      </c>
      <c r="C27" s="386" t="s">
        <v>602</v>
      </c>
      <c r="D27" s="386" t="s">
        <v>602</v>
      </c>
      <c r="E27" s="418" t="s">
        <v>602</v>
      </c>
      <c r="F27" s="418" t="s">
        <v>602</v>
      </c>
      <c r="G27" s="418" t="s">
        <v>602</v>
      </c>
      <c r="H27" s="418" t="s">
        <v>602</v>
      </c>
      <c r="I27" s="387"/>
      <c r="J27" s="343"/>
      <c r="K27" s="344"/>
      <c r="L27" s="346"/>
    </row>
    <row r="28" spans="1:12" s="70" customFormat="1" ht="63" x14ac:dyDescent="0.25">
      <c r="A28" s="382" t="s">
        <v>220</v>
      </c>
      <c r="B28" s="385" t="s">
        <v>451</v>
      </c>
      <c r="C28" s="386" t="s">
        <v>602</v>
      </c>
      <c r="D28" s="386" t="s">
        <v>602</v>
      </c>
      <c r="E28" s="418" t="s">
        <v>602</v>
      </c>
      <c r="F28" s="418" t="s">
        <v>602</v>
      </c>
      <c r="G28" s="418" t="s">
        <v>602</v>
      </c>
      <c r="H28" s="418" t="s">
        <v>602</v>
      </c>
      <c r="I28" s="387"/>
      <c r="J28" s="343"/>
      <c r="K28" s="344"/>
      <c r="L28" s="346"/>
    </row>
    <row r="29" spans="1:12" s="70" customFormat="1" ht="31.5" x14ac:dyDescent="0.25">
      <c r="A29" s="382" t="s">
        <v>219</v>
      </c>
      <c r="B29" s="385" t="s">
        <v>450</v>
      </c>
      <c r="C29" s="386" t="s">
        <v>602</v>
      </c>
      <c r="D29" s="386" t="s">
        <v>602</v>
      </c>
      <c r="E29" s="418" t="s">
        <v>602</v>
      </c>
      <c r="F29" s="418" t="s">
        <v>602</v>
      </c>
      <c r="G29" s="418" t="s">
        <v>602</v>
      </c>
      <c r="H29" s="418" t="s">
        <v>602</v>
      </c>
      <c r="I29" s="387"/>
      <c r="J29" s="343"/>
      <c r="K29" s="344"/>
      <c r="L29" s="346"/>
    </row>
    <row r="30" spans="1:12" s="70" customFormat="1" ht="31.5" x14ac:dyDescent="0.25">
      <c r="A30" s="382" t="s">
        <v>218</v>
      </c>
      <c r="B30" s="385" t="s">
        <v>452</v>
      </c>
      <c r="C30" s="386" t="s">
        <v>602</v>
      </c>
      <c r="D30" s="386" t="s">
        <v>602</v>
      </c>
      <c r="E30" s="418" t="s">
        <v>602</v>
      </c>
      <c r="F30" s="418" t="s">
        <v>602</v>
      </c>
      <c r="G30" s="418" t="s">
        <v>602</v>
      </c>
      <c r="H30" s="418" t="s">
        <v>602</v>
      </c>
      <c r="I30" s="387"/>
      <c r="J30" s="343"/>
      <c r="K30" s="344"/>
      <c r="L30" s="346"/>
    </row>
    <row r="31" spans="1:12" s="70" customFormat="1" ht="31.5" x14ac:dyDescent="0.25">
      <c r="A31" s="382" t="s">
        <v>216</v>
      </c>
      <c r="B31" s="385" t="s">
        <v>448</v>
      </c>
      <c r="C31" s="386">
        <v>42370</v>
      </c>
      <c r="D31" s="386">
        <v>44196</v>
      </c>
      <c r="E31" s="418">
        <f>G31</f>
        <v>43101</v>
      </c>
      <c r="F31" s="418"/>
      <c r="G31" s="418">
        <v>43101</v>
      </c>
      <c r="H31" s="419">
        <v>45289</v>
      </c>
      <c r="I31" s="387">
        <v>20</v>
      </c>
      <c r="J31" s="343"/>
      <c r="K31" s="344"/>
      <c r="L31" s="344"/>
    </row>
    <row r="32" spans="1:12" s="70" customFormat="1" ht="31.5" x14ac:dyDescent="0.25">
      <c r="A32" s="382" t="s">
        <v>464</v>
      </c>
      <c r="B32" s="385" t="s">
        <v>453</v>
      </c>
      <c r="C32" s="386">
        <v>42370</v>
      </c>
      <c r="D32" s="386">
        <v>44196</v>
      </c>
      <c r="E32" s="418">
        <f>G32</f>
        <v>43101</v>
      </c>
      <c r="F32" s="418"/>
      <c r="G32" s="418">
        <v>43101</v>
      </c>
      <c r="H32" s="419">
        <v>45289</v>
      </c>
      <c r="I32" s="387">
        <v>20</v>
      </c>
      <c r="J32" s="343"/>
      <c r="K32" s="344"/>
      <c r="L32" s="346"/>
    </row>
    <row r="33" spans="1:12" s="70" customFormat="1" ht="47.25" x14ac:dyDescent="0.25">
      <c r="A33" s="382" t="s">
        <v>465</v>
      </c>
      <c r="B33" s="385" t="s">
        <v>380</v>
      </c>
      <c r="C33" s="386" t="s">
        <v>602</v>
      </c>
      <c r="D33" s="386" t="s">
        <v>602</v>
      </c>
      <c r="E33" s="418" t="s">
        <v>602</v>
      </c>
      <c r="F33" s="418" t="s">
        <v>602</v>
      </c>
      <c r="G33" s="418" t="s">
        <v>602</v>
      </c>
      <c r="H33" s="418" t="s">
        <v>602</v>
      </c>
      <c r="I33" s="387"/>
      <c r="J33" s="343"/>
      <c r="K33" s="344"/>
      <c r="L33" s="346"/>
    </row>
    <row r="34" spans="1:12" s="70" customFormat="1" ht="63" x14ac:dyDescent="0.25">
      <c r="A34" s="382" t="s">
        <v>466</v>
      </c>
      <c r="B34" s="385" t="s">
        <v>457</v>
      </c>
      <c r="C34" s="386" t="s">
        <v>602</v>
      </c>
      <c r="D34" s="386" t="s">
        <v>602</v>
      </c>
      <c r="E34" s="418" t="s">
        <v>602</v>
      </c>
      <c r="F34" s="418" t="s">
        <v>602</v>
      </c>
      <c r="G34" s="418" t="s">
        <v>602</v>
      </c>
      <c r="H34" s="418" t="s">
        <v>602</v>
      </c>
      <c r="I34" s="387"/>
      <c r="J34" s="347"/>
      <c r="K34" s="347"/>
      <c r="L34" s="346"/>
    </row>
    <row r="35" spans="1:12" s="70" customFormat="1" ht="31.5" x14ac:dyDescent="0.25">
      <c r="A35" s="382" t="s">
        <v>467</v>
      </c>
      <c r="B35" s="385" t="s">
        <v>217</v>
      </c>
      <c r="C35" s="386">
        <v>42370</v>
      </c>
      <c r="D35" s="386">
        <v>44196</v>
      </c>
      <c r="E35" s="418">
        <v>42370</v>
      </c>
      <c r="F35" s="418"/>
      <c r="G35" s="418">
        <v>43101</v>
      </c>
      <c r="H35" s="419">
        <v>45289</v>
      </c>
      <c r="I35" s="387">
        <v>20</v>
      </c>
      <c r="J35" s="347"/>
      <c r="K35" s="347"/>
      <c r="L35" s="346"/>
    </row>
    <row r="36" spans="1:12" ht="31.5" x14ac:dyDescent="0.25">
      <c r="A36" s="382" t="s">
        <v>468</v>
      </c>
      <c r="B36" s="385" t="s">
        <v>449</v>
      </c>
      <c r="C36" s="386" t="s">
        <v>602</v>
      </c>
      <c r="D36" s="386" t="s">
        <v>602</v>
      </c>
      <c r="E36" s="418" t="s">
        <v>602</v>
      </c>
      <c r="F36" s="418" t="s">
        <v>602</v>
      </c>
      <c r="G36" s="418" t="s">
        <v>602</v>
      </c>
      <c r="H36" s="418" t="s">
        <v>602</v>
      </c>
      <c r="I36" s="387"/>
      <c r="J36" s="348"/>
      <c r="K36" s="344"/>
      <c r="L36" s="346"/>
    </row>
    <row r="37" spans="1:12" x14ac:dyDescent="0.25">
      <c r="A37" s="382" t="s">
        <v>469</v>
      </c>
      <c r="B37" s="385" t="s">
        <v>215</v>
      </c>
      <c r="C37" s="386">
        <v>42370</v>
      </c>
      <c r="D37" s="386">
        <v>44196</v>
      </c>
      <c r="E37" s="418">
        <f>G37</f>
        <v>43101</v>
      </c>
      <c r="F37" s="418"/>
      <c r="G37" s="418">
        <v>43101</v>
      </c>
      <c r="H37" s="419">
        <v>45289</v>
      </c>
      <c r="I37" s="387">
        <v>20</v>
      </c>
      <c r="J37" s="348"/>
      <c r="K37" s="344"/>
      <c r="L37" s="346"/>
    </row>
    <row r="38" spans="1:12" x14ac:dyDescent="0.25">
      <c r="A38" s="388" t="s">
        <v>623</v>
      </c>
      <c r="B38" s="383" t="s">
        <v>214</v>
      </c>
      <c r="C38" s="386"/>
      <c r="D38" s="386"/>
      <c r="E38" s="418"/>
      <c r="F38" s="418"/>
      <c r="G38" s="418"/>
      <c r="H38" s="419"/>
      <c r="I38" s="387"/>
      <c r="J38" s="344"/>
      <c r="K38" s="344"/>
      <c r="L38" s="346"/>
    </row>
    <row r="39" spans="1:12" ht="63" x14ac:dyDescent="0.25">
      <c r="A39" s="382" t="s">
        <v>213</v>
      </c>
      <c r="B39" s="385" t="s">
        <v>454</v>
      </c>
      <c r="C39" s="386">
        <v>42370</v>
      </c>
      <c r="D39" s="386">
        <v>44196</v>
      </c>
      <c r="E39" s="418">
        <f>G39</f>
        <v>43101</v>
      </c>
      <c r="F39" s="418"/>
      <c r="G39" s="418">
        <v>43101</v>
      </c>
      <c r="H39" s="419">
        <v>45289</v>
      </c>
      <c r="I39" s="387">
        <v>20</v>
      </c>
      <c r="J39" s="344"/>
      <c r="K39" s="344"/>
      <c r="L39" s="346"/>
    </row>
    <row r="40" spans="1:12" x14ac:dyDescent="0.25">
      <c r="A40" s="382" t="s">
        <v>212</v>
      </c>
      <c r="B40" s="385" t="s">
        <v>456</v>
      </c>
      <c r="C40" s="386">
        <v>42370</v>
      </c>
      <c r="D40" s="386">
        <v>44196</v>
      </c>
      <c r="E40" s="418">
        <f>G40</f>
        <v>43101</v>
      </c>
      <c r="F40" s="418"/>
      <c r="G40" s="418">
        <v>43101</v>
      </c>
      <c r="H40" s="419">
        <v>45289</v>
      </c>
      <c r="I40" s="387">
        <v>20</v>
      </c>
      <c r="J40" s="344"/>
      <c r="K40" s="344"/>
      <c r="L40" s="346"/>
    </row>
    <row r="41" spans="1:12" ht="47.25" x14ac:dyDescent="0.25">
      <c r="A41" s="382" t="s">
        <v>624</v>
      </c>
      <c r="B41" s="383" t="s">
        <v>538</v>
      </c>
      <c r="C41" s="386"/>
      <c r="D41" s="386"/>
      <c r="E41" s="418"/>
      <c r="F41" s="418"/>
      <c r="G41" s="418"/>
      <c r="H41" s="419"/>
      <c r="I41" s="387"/>
      <c r="J41" s="344"/>
      <c r="K41" s="344"/>
      <c r="L41" s="346"/>
    </row>
    <row r="42" spans="1:12" ht="31.5" x14ac:dyDescent="0.25">
      <c r="A42" s="382" t="s">
        <v>211</v>
      </c>
      <c r="B42" s="385" t="s">
        <v>455</v>
      </c>
      <c r="C42" s="386">
        <v>42370</v>
      </c>
      <c r="D42" s="386">
        <v>44196</v>
      </c>
      <c r="E42" s="418">
        <f>G42</f>
        <v>43101</v>
      </c>
      <c r="F42" s="418"/>
      <c r="G42" s="418">
        <v>43101</v>
      </c>
      <c r="H42" s="419">
        <v>45289</v>
      </c>
      <c r="I42" s="387">
        <v>20</v>
      </c>
      <c r="J42" s="344"/>
      <c r="K42" s="344"/>
      <c r="L42" s="346"/>
    </row>
    <row r="43" spans="1:12" x14ac:dyDescent="0.25">
      <c r="A43" s="382" t="s">
        <v>210</v>
      </c>
      <c r="B43" s="385" t="s">
        <v>209</v>
      </c>
      <c r="C43" s="386">
        <v>42370</v>
      </c>
      <c r="D43" s="386">
        <v>44196</v>
      </c>
      <c r="E43" s="418">
        <f>G43</f>
        <v>43101</v>
      </c>
      <c r="F43" s="418"/>
      <c r="G43" s="418">
        <v>43101</v>
      </c>
      <c r="H43" s="419">
        <v>45289</v>
      </c>
      <c r="I43" s="387">
        <v>20</v>
      </c>
      <c r="J43" s="344"/>
      <c r="K43" s="344"/>
      <c r="L43" s="346"/>
    </row>
    <row r="44" spans="1:12" x14ac:dyDescent="0.25">
      <c r="A44" s="382" t="s">
        <v>208</v>
      </c>
      <c r="B44" s="385" t="s">
        <v>207</v>
      </c>
      <c r="C44" s="386">
        <v>42370</v>
      </c>
      <c r="D44" s="386">
        <v>44196</v>
      </c>
      <c r="E44" s="418">
        <f>G44</f>
        <v>43101</v>
      </c>
      <c r="F44" s="418"/>
      <c r="G44" s="418">
        <v>43101</v>
      </c>
      <c r="H44" s="419">
        <v>45289</v>
      </c>
      <c r="I44" s="387">
        <v>20</v>
      </c>
      <c r="J44" s="344"/>
      <c r="K44" s="344"/>
      <c r="L44" s="346"/>
    </row>
    <row r="45" spans="1:12" ht="78.75" x14ac:dyDescent="0.25">
      <c r="A45" s="382" t="s">
        <v>206</v>
      </c>
      <c r="B45" s="385" t="s">
        <v>460</v>
      </c>
      <c r="C45" s="386" t="s">
        <v>602</v>
      </c>
      <c r="D45" s="386" t="s">
        <v>602</v>
      </c>
      <c r="E45" s="418" t="s">
        <v>602</v>
      </c>
      <c r="F45" s="418" t="s">
        <v>602</v>
      </c>
      <c r="G45" s="418" t="s">
        <v>602</v>
      </c>
      <c r="H45" s="418" t="s">
        <v>602</v>
      </c>
      <c r="I45" s="387"/>
      <c r="J45" s="344"/>
      <c r="K45" s="344"/>
      <c r="L45" s="346"/>
    </row>
    <row r="46" spans="1:12" ht="157.5" x14ac:dyDescent="0.25">
      <c r="A46" s="382" t="s">
        <v>204</v>
      </c>
      <c r="B46" s="385" t="s">
        <v>458</v>
      </c>
      <c r="C46" s="386" t="s">
        <v>602</v>
      </c>
      <c r="D46" s="386" t="s">
        <v>602</v>
      </c>
      <c r="E46" s="418" t="s">
        <v>602</v>
      </c>
      <c r="F46" s="418" t="s">
        <v>602</v>
      </c>
      <c r="G46" s="418" t="s">
        <v>602</v>
      </c>
      <c r="H46" s="418" t="s">
        <v>602</v>
      </c>
      <c r="I46" s="387"/>
      <c r="J46" s="344"/>
      <c r="K46" s="344"/>
      <c r="L46" s="346"/>
    </row>
    <row r="47" spans="1:12" x14ac:dyDescent="0.25">
      <c r="A47" s="382" t="s">
        <v>1017</v>
      </c>
      <c r="B47" s="385" t="s">
        <v>205</v>
      </c>
      <c r="C47" s="386">
        <v>42370</v>
      </c>
      <c r="D47" s="386">
        <v>44196</v>
      </c>
      <c r="E47" s="418">
        <f>G47</f>
        <v>43101</v>
      </c>
      <c r="F47" s="418"/>
      <c r="G47" s="418">
        <v>43101</v>
      </c>
      <c r="H47" s="419">
        <v>45289</v>
      </c>
      <c r="I47" s="387">
        <v>20</v>
      </c>
      <c r="J47" s="344"/>
      <c r="K47" s="344"/>
      <c r="L47" s="346"/>
    </row>
    <row r="48" spans="1:12" ht="31.5" x14ac:dyDescent="0.25">
      <c r="A48" s="382" t="s">
        <v>625</v>
      </c>
      <c r="B48" s="383" t="s">
        <v>203</v>
      </c>
      <c r="C48" s="386"/>
      <c r="D48" s="386"/>
      <c r="E48" s="418"/>
      <c r="F48" s="418"/>
      <c r="G48" s="418"/>
      <c r="H48" s="418"/>
      <c r="I48" s="387"/>
      <c r="J48" s="344"/>
      <c r="K48" s="344"/>
      <c r="L48" s="346"/>
    </row>
    <row r="49" spans="1:12" ht="31.5" x14ac:dyDescent="0.25">
      <c r="A49" s="382" t="s">
        <v>1018</v>
      </c>
      <c r="B49" s="385" t="s">
        <v>202</v>
      </c>
      <c r="C49" s="386">
        <v>42370</v>
      </c>
      <c r="D49" s="386">
        <v>44196</v>
      </c>
      <c r="E49" s="418">
        <f>G49</f>
        <v>43101</v>
      </c>
      <c r="F49" s="418"/>
      <c r="G49" s="418">
        <v>43101</v>
      </c>
      <c r="H49" s="419">
        <v>45289</v>
      </c>
      <c r="I49" s="387">
        <v>20</v>
      </c>
      <c r="J49" s="344"/>
      <c r="K49" s="344"/>
      <c r="L49" s="346"/>
    </row>
    <row r="50" spans="1:12" ht="63" x14ac:dyDescent="0.25">
      <c r="A50" s="388" t="s">
        <v>199</v>
      </c>
      <c r="B50" s="385" t="s">
        <v>461</v>
      </c>
      <c r="C50" s="386" t="s">
        <v>602</v>
      </c>
      <c r="D50" s="386" t="s">
        <v>602</v>
      </c>
      <c r="E50" s="418" t="s">
        <v>602</v>
      </c>
      <c r="F50" s="418" t="s">
        <v>602</v>
      </c>
      <c r="G50" s="418" t="s">
        <v>602</v>
      </c>
      <c r="H50" s="418" t="s">
        <v>602</v>
      </c>
      <c r="I50" s="387"/>
      <c r="J50" s="344"/>
      <c r="K50" s="344"/>
      <c r="L50" s="346"/>
    </row>
    <row r="51" spans="1:12" ht="78.75" x14ac:dyDescent="0.25">
      <c r="A51" s="382" t="s">
        <v>201</v>
      </c>
      <c r="B51" s="385" t="s">
        <v>459</v>
      </c>
      <c r="C51" s="386">
        <v>42370</v>
      </c>
      <c r="D51" s="386">
        <v>44196</v>
      </c>
      <c r="E51" s="418">
        <f>G51</f>
        <v>43101</v>
      </c>
      <c r="F51" s="418"/>
      <c r="G51" s="418">
        <v>43101</v>
      </c>
      <c r="H51" s="419">
        <v>45289</v>
      </c>
      <c r="I51" s="387">
        <v>20</v>
      </c>
      <c r="J51" s="344"/>
      <c r="K51" s="344"/>
      <c r="L51" s="346"/>
    </row>
    <row r="52" spans="1:12" ht="63" x14ac:dyDescent="0.25">
      <c r="A52" s="382" t="s">
        <v>197</v>
      </c>
      <c r="B52" s="385" t="s">
        <v>200</v>
      </c>
      <c r="C52" s="386">
        <v>42370</v>
      </c>
      <c r="D52" s="386">
        <v>44196</v>
      </c>
      <c r="E52" s="418">
        <f>G52</f>
        <v>43101</v>
      </c>
      <c r="F52" s="418"/>
      <c r="G52" s="418">
        <v>43101</v>
      </c>
      <c r="H52" s="419">
        <v>45289</v>
      </c>
      <c r="I52" s="387">
        <v>20</v>
      </c>
      <c r="J52" s="344"/>
      <c r="K52" s="344"/>
      <c r="L52" s="346"/>
    </row>
    <row r="53" spans="1:12" ht="31.5" x14ac:dyDescent="0.25">
      <c r="A53" s="382" t="s">
        <v>463</v>
      </c>
      <c r="B53" s="389" t="s">
        <v>462</v>
      </c>
      <c r="C53" s="386">
        <v>42370</v>
      </c>
      <c r="D53" s="386">
        <v>44196</v>
      </c>
      <c r="E53" s="418">
        <f>G53</f>
        <v>43101</v>
      </c>
      <c r="F53" s="418"/>
      <c r="G53" s="418">
        <v>43101</v>
      </c>
      <c r="H53" s="419">
        <v>45289</v>
      </c>
      <c r="I53" s="387">
        <v>20</v>
      </c>
      <c r="J53" s="344"/>
      <c r="K53" s="344"/>
      <c r="L53" s="346"/>
    </row>
    <row r="54" spans="1:12" ht="31.5" x14ac:dyDescent="0.25">
      <c r="A54" s="382" t="s">
        <v>1019</v>
      </c>
      <c r="B54" s="385" t="s">
        <v>198</v>
      </c>
      <c r="C54" s="386" t="s">
        <v>602</v>
      </c>
      <c r="D54" s="386" t="s">
        <v>602</v>
      </c>
      <c r="E54" s="418" t="s">
        <v>602</v>
      </c>
      <c r="F54" s="418" t="s">
        <v>602</v>
      </c>
      <c r="G54" s="418" t="s">
        <v>602</v>
      </c>
      <c r="H54" s="418" t="s">
        <v>602</v>
      </c>
      <c r="I54" s="387"/>
      <c r="J54" s="344"/>
      <c r="K54" s="344"/>
      <c r="L54" s="346"/>
    </row>
    <row r="55" spans="1:12" ht="18.75" x14ac:dyDescent="0.3">
      <c r="B55" s="420" t="s">
        <v>1039</v>
      </c>
    </row>
    <row r="56" spans="1:12" ht="18.75" x14ac:dyDescent="0.3">
      <c r="B56" s="420" t="s">
        <v>1040</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2018-05-10T12:41:45Z</dcterms:modified>
</cp:coreProperties>
</file>