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K26" i="5" l="1"/>
  <c r="P28" i="15" l="1"/>
  <c r="L35" i="15"/>
  <c r="L36" i="15"/>
  <c r="L37" i="15"/>
  <c r="L38" i="15"/>
  <c r="L39" i="15"/>
  <c r="L40" i="15"/>
  <c r="L41" i="15"/>
  <c r="L42" i="15"/>
  <c r="L43" i="15"/>
  <c r="L44" i="15"/>
  <c r="L45" i="15"/>
  <c r="L46" i="15"/>
  <c r="L47" i="15"/>
  <c r="L48" i="15"/>
  <c r="L49" i="15"/>
  <c r="L50" i="15"/>
  <c r="L51" i="15"/>
  <c r="L52" i="15"/>
  <c r="L53" i="15"/>
  <c r="L54" i="15"/>
  <c r="L55" i="15"/>
  <c r="L56" i="15"/>
  <c r="L57" i="15"/>
  <c r="L31" i="15"/>
  <c r="L32" i="15"/>
  <c r="L33" i="15"/>
  <c r="L34" i="15"/>
  <c r="L30" i="15"/>
  <c r="C56" i="15"/>
  <c r="C54" i="15"/>
  <c r="E54" i="15" s="1"/>
  <c r="F54" i="15" s="1"/>
  <c r="C52" i="15"/>
  <c r="C46" i="15"/>
  <c r="E46" i="15" s="1"/>
  <c r="F46" i="15" s="1"/>
  <c r="C47" i="15"/>
  <c r="C48" i="15"/>
  <c r="E48" i="15" s="1"/>
  <c r="F48" i="15" s="1"/>
  <c r="C49" i="15"/>
  <c r="C45" i="15"/>
  <c r="E58" i="15"/>
  <c r="F58" i="15" s="1"/>
  <c r="E59" i="15"/>
  <c r="F59" i="15"/>
  <c r="E60" i="15"/>
  <c r="F60" i="15" s="1"/>
  <c r="E61" i="15"/>
  <c r="F61" i="15"/>
  <c r="E62" i="15"/>
  <c r="F62" i="15" s="1"/>
  <c r="E63" i="15"/>
  <c r="F63" i="15"/>
  <c r="E64" i="15"/>
  <c r="F64" i="15" s="1"/>
  <c r="E25" i="15"/>
  <c r="F25" i="15"/>
  <c r="E26" i="15"/>
  <c r="F26" i="15"/>
  <c r="E27" i="15"/>
  <c r="F27" i="15"/>
  <c r="E28" i="15"/>
  <c r="F28" i="15"/>
  <c r="E29" i="15"/>
  <c r="F29" i="15"/>
  <c r="E30" i="15"/>
  <c r="F30" i="15" s="1"/>
  <c r="E31" i="15"/>
  <c r="F31" i="15" s="1"/>
  <c r="E32" i="15"/>
  <c r="F32" i="15" s="1"/>
  <c r="E33" i="15"/>
  <c r="F33" i="15" s="1"/>
  <c r="E34" i="15"/>
  <c r="F34" i="15" s="1"/>
  <c r="E35" i="15"/>
  <c r="F35" i="15"/>
  <c r="E36" i="15"/>
  <c r="F36" i="15"/>
  <c r="E37" i="15"/>
  <c r="F37" i="15"/>
  <c r="E38" i="15"/>
  <c r="F38" i="15"/>
  <c r="E39" i="15"/>
  <c r="F39" i="15"/>
  <c r="E40" i="15"/>
  <c r="F40" i="15"/>
  <c r="E41" i="15"/>
  <c r="F41" i="15"/>
  <c r="E42" i="15"/>
  <c r="F42" i="15"/>
  <c r="E43" i="15"/>
  <c r="F43" i="15"/>
  <c r="E44" i="15"/>
  <c r="F44" i="15"/>
  <c r="E45" i="15"/>
  <c r="F45" i="15"/>
  <c r="E47" i="15"/>
  <c r="F47" i="15"/>
  <c r="E49" i="15"/>
  <c r="F49" i="15"/>
  <c r="E50" i="15"/>
  <c r="F50" i="15"/>
  <c r="E51" i="15"/>
  <c r="F51" i="15"/>
  <c r="E52" i="15"/>
  <c r="F52" i="15"/>
  <c r="E53" i="15"/>
  <c r="F53" i="15"/>
  <c r="E55" i="15"/>
  <c r="F55" i="15"/>
  <c r="E56" i="15"/>
  <c r="F56" i="15" s="1"/>
  <c r="E57" i="15"/>
  <c r="F57" i="15"/>
  <c r="F24" i="15"/>
  <c r="E24" i="15"/>
  <c r="J24" i="15"/>
  <c r="K24" i="15"/>
  <c r="L24" i="15"/>
  <c r="M24" i="15"/>
  <c r="N24" i="15"/>
  <c r="O24" i="15"/>
  <c r="P24" i="15"/>
  <c r="E26" i="14" l="1"/>
  <c r="E25" i="14"/>
  <c r="A5" i="53"/>
  <c r="A5" i="52"/>
  <c r="AG30" i="15" l="1"/>
  <c r="AG25" i="15"/>
  <c r="AG26" i="15"/>
  <c r="AG27" i="15"/>
  <c r="AG28" i="15"/>
  <c r="AG29"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D24" i="15"/>
  <c r="G24" i="15"/>
  <c r="H24" i="15"/>
  <c r="I24" i="15"/>
  <c r="AG24" i="15"/>
  <c r="Q24" i="15"/>
  <c r="R24" i="15"/>
  <c r="S24" i="15"/>
  <c r="T24" i="15"/>
  <c r="U24" i="15"/>
  <c r="V24" i="15"/>
  <c r="W24" i="15"/>
  <c r="X24" i="15"/>
  <c r="Y24" i="15"/>
  <c r="Z24" i="15"/>
  <c r="AA24" i="15"/>
  <c r="C24" i="15"/>
  <c r="B83" i="53" l="1"/>
  <c r="S23" i="12" l="1"/>
  <c r="J23" i="12"/>
  <c r="H23" i="12"/>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2" i="53"/>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N66" i="52" s="1"/>
  <c r="N68"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66" i="52" l="1"/>
  <c r="AB68" i="52" s="1"/>
  <c r="AB75" i="52" s="1"/>
  <c r="AB79" i="52"/>
  <c r="AC50" i="52"/>
  <c r="AC59" i="52" s="1"/>
  <c r="AC80" i="52" s="1"/>
  <c r="V55" i="52"/>
  <c r="W53" i="52" s="1"/>
  <c r="AF137" i="52"/>
  <c r="AD49" i="52"/>
  <c r="AD61" i="52" s="1"/>
  <c r="AD60" i="52" s="1"/>
  <c r="AE76" i="52"/>
  <c r="AF67" i="52"/>
  <c r="S71" i="52"/>
  <c r="S78" i="52" s="1"/>
  <c r="S83" i="52" s="1"/>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D23" i="15" s="1"/>
  <c r="AE23" i="15" s="1"/>
  <c r="AF23" i="15" s="1"/>
  <c r="AG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<sst xmlns="http://schemas.openxmlformats.org/spreadsheetml/2006/main" count="1265" uniqueCount="712">
  <si>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</si>
  <si>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</si>
  <si>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</si>
  <si>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</si>
  <si>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</si>
  <si>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</si>
  <si>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</si>
  <si>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</si>
  <si>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</si>
  <si>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</si>
  <si>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</si>
  <si>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</si>
  <si>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</si>
  <si>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</si>
  <si>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</si>
  <si>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</si>
  <si>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</si>
  <si>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</si>
  <si>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</si>
  <si>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</si>
  <si>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</si>
  <si>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</si>
  <si>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</si>
  <si>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</si>
  <si>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</si>
  <si>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</si>
  <si>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</si>
  <si>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</si>
  <si>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</si>
  <si>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</si>
  <si>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</si>
  <si>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</si>
  <si>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</si>
  <si>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</si>
  <si>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</si>
  <si>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</si>
  <si>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</si>
  <si>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</si>
  <si>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</si>
  <si>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</si>
  <si>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</si>
  <si>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</si>
  <si>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</si>
  <si>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</si>
  <si>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</si>
  <si>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</si>
  <si>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</si>
  <si>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</si>
  <si>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</si>
  <si>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</si>
  <si>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</si>
  <si>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</si>
  <si>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</si>
  <si>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</si>
  <si>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</si>
  <si>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</si>
  <si>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</si>
  <si>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</si>
  <si>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</si>
  <si>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</si>
  <si>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</si>
  <si>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</si>
  <si>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</si>
  <si>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</si>
  <si>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</si>
  <si>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</si>
  <si>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</si>
  <si>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</si>
  <si>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</si>
  <si>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</si>
  <si>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</si>
  <si>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</si>
  <si>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</si>
  <si>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</si>
  <si>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</si>
  <si>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</si>
  <si>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</si>
  <si>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</si>
  <si>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</si>
  <si>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</si>
  <si>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</si>
  <si>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</si>
  <si>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</si>
  <si>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</si>
  <si>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</si>
  <si>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</si>
  <si>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</si>
  <si>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</si>
  <si>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</si>
  <si>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</si>
  <si>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</si>
  <si>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</si>
  <si>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</si>
  <si>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</si>
  <si>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</si>
  <si>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</si>
  <si>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</si>
  <si>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</si>
  <si>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</si>
  <si>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</si>
  <si>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</si>
  <si>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</si>
  <si>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</si>
  <si>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</si>
  <si>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</si>
  <si>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</si>
  <si>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</si>
  <si>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</si>
  <si>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</si>
  <si>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</si>
  <si>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</si>
  <si>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</si>
  <si>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</si>
  <si>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</si>
  <si>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</si>
  <si>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</si>
  <si>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</si>
  <si>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</si>
  <si>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</si>
  <si>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</si>
  <si>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</si>
  <si>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</si>
  <si>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</si>
  <si>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</si>
  <si>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</si>
  <si>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</si>
  <si>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</si>
  <si>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</si>
  <si>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</si>
  <si>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</si>
  <si>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</si>
  <si>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</si>
  <si>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</si>
  <si>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</si>
  <si>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</si>
  <si>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</si>
  <si>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</si>
  <si>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</si>
  <si>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</si>
  <si>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</si>
  <si>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</si>
  <si>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</si>
  <si>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</si>
  <si>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</si>
  <si>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</si>
  <si>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</si>
  <si>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</si>
  <si>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</si>
  <si>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</si>
  <si>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</si>
  <si>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</si>
  <si>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</si>
  <si>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</si>
  <si>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</si>
  <si>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</si>
  <si>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</si>
  <si>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</si>
  <si>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</si>
  <si>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</si>
  <si>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</si>
  <si>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</si>
  <si>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</si>
  <si>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</si>
  <si>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</si>
  <si>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</si>
  <si>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</si>
  <si>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</si>
  <si>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</si>
  <si>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</si>
  <si>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</si>
  <si>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</si>
  <si>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</si>
  <si>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</si>
  <si>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</si>
  <si>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</si>
  <si>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</si>
  <si>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</si>
  <si>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</si>
  <si>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</si>
  <si>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</si>
  <si>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</si>
  <si>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</si>
  <si>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</si>
  <si>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</si>
  <si>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</si>
  <si>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</si>
  <si>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</si>
  <si>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</si>
  <si>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</si>
  <si>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</si>
  <si>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</si>
  <si>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</si>
  <si>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</si>
  <si>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</si>
  <si>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</si>
  <si>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</si>
  <si>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</si>
  <si>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</si>
  <si>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</si>
  <si>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</si>
  <si>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</si>
  <si>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</si>
  <si>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</si>
  <si>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</si>
  <si>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</si>
  <si>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</si>
  <si>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</si>
  <si>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</si>
  <si>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</si>
  <si>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</si>
  <si>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</si>
  <si>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</si>
  <si>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</si>
  <si>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</si>
  <si>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</si>
  <si>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</si>
  <si>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</si>
  <si>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</si>
  <si>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</si>
  <si>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</si>
  <si>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</si>
  <si>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</si>
  <si>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</si>
  <si>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</si>
  <si>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</si>
  <si>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</si>
  <si>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</si>
  <si>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</si>
  <si>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</si>
  <si>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</si>
  <si>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</si>
  <si>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</si>
  <si>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</si>
  <si>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</si>
  <si>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</si>
  <si>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</si>
  <si>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</si>
  <si>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</si>
  <si>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</si>
  <si>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</si>
  <si>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</si>
  <si>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</si>
  <si>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</si>
  <si>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</si>
  <si>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</si>
  <si>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</si>
  <si>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</si>
  <si>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</si>
  <si>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</si>
  <si>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</si>
  <si>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</si>
  <si>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</si>
  <si>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</si>
  <si>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</si>
  <si>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</si>
  <si>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</si>
  <si>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</si>
  <si>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</si>
  <si>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</si>
  <si>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</si>
  <si>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</si>
  <si>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</si>
  <si>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</si>
  <si>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</si>
  <si>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</si>
  <si>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</si>
  <si>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</si>
  <si>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</si>
  <si>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</si>
  <si>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</si>
  <si>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</si>
  <si>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</si>
  <si>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</si>
  <si>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</si>
  <si>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</si>
  <si>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</si>
  <si>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</si>
  <si>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</si>
  <si>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</si>
  <si>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</si>
  <si>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</si>
  <si>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</si>
  <si>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</si>
  <si>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</si>
  <si>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</si>
  <si>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</si>
  <si>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</si>
  <si>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</si>
  <si>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</si>
  <si>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</si>
  <si>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</si>
  <si>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</si>
  <si>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</si>
  <si>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</si>
  <si>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</si>
  <si>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</si>
  <si>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</si>
  <si>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</si>
  <si>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</si>
  <si>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</si>
  <si>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</si>
  <si>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</si>
  <si>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</si>
  <si>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</si>
  <si>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</si>
  <si>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</si>
  <si>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</si>
  <si>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</si>
  <si>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</si>
  <si>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</si>
  <si>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</si>
  <si>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</si>
  <si>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</si>
  <si>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</si>
  <si>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</si>
  <si>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</si>
  <si>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</si>
  <si>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</si>
  <si>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</si>
  <si>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</si>
  <si>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</si>
  <si>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</si>
  <si>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</si>
  <si>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</si>
  <si>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</si>
  <si>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</si>
  <si>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</si>
  <si>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</si>
  <si>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</si>
  <si>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</si>
  <si>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</si>
  <si>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</si>
  <si>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</si>
  <si>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</si>
  <si>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</si>
  <si>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</si>
  <si>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</si>
  <si>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</si>
  <si>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</si>
  <si>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</si>
  <si>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</si>
  <si>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</si>
  <si>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</si>
  <si>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</si>
  <si>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</si>
  <si>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</si>
  <si>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</si>
  <si>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</si>
  <si>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</si>
  <si>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</si>
  <si>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</si>
  <si>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</si>
  <si>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</si>
  <si>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</si>
  <si>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</si>
  <si>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</si>
  <si>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</si>
  <si>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</si>
  <si>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</si>
  <si>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</si>
  <si>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</si>
  <si>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</si>
  <si>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</si>
  <si>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</si>
  <si>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</si>
  <si>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</si>
  <si>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</si>
  <si>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</si>
  <si>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</si>
  <si>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</si>
  <si>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</si>
  <si>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</si>
  <si>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</si>
  <si>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</si>
  <si>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</si>
  <si>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</si>
  <si>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</si>
  <si>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</si>
  <si>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</si>
  <si>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</si>
  <si>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</si>
  <si>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</si>
  <si>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</si>
  <si>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</si>
  <si>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</si>
  <si>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</si>
  <si>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</si>
  <si>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</si>
  <si>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</si>
  <si>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</si>
  <si>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</si>
  <si>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</si>
  <si>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</si>
  <si>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</si>
  <si>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</si>
  <si>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</si>
  <si>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</si>
  <si>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</si>
  <si>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</si>
  <si>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</si>
  <si>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</si>
  <si>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</si>
  <si>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</si>
  <si>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</si>
  <si>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</si>
  <si>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</si>
  <si>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</si>
  <si>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</si>
  <si>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</si>
  <si>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</si>
  <si>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</si>
  <si>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</si>
  <si>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</si>
  <si>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</si>
  <si>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</si>
  <si>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</si>
  <si>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</si>
  <si>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</si>
  <si>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</si>
  <si>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</si>
  <si>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</si>
  <si>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</si>
  <si>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</si>
  <si>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</si>
  <si>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</si>
  <si>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</si>
  <si>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</si>
  <si>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</si>
  <si>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</si>
  <si>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</si>
  <si>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</si>
  <si>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</si>
  <si>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</si>
  <si>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</si>
  <si>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</si>
  <si>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</si>
  <si>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</si>
  <si>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</si>
  <si>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</si>
  <si>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</si>
  <si>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</si>
  <si>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</si>
  <si>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</si>
  <si>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</si>
  <si>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</si>
  <si>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</si>
  <si>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</si>
  <si>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</si>
  <si>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</si>
  <si>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</si>
  <si>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</si>
  <si>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</si>
  <si>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</si>
  <si>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</si>
  <si>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</si>
  <si>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</si>
  <si>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</si>
  <si>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</si>
  <si>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</si>
  <si>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</si>
  <si>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</si>
  <si>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</si>
  <si>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</si>
  <si>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</si>
  <si>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</si>
  <si>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</si>
  <si>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</si>
  <si>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</si>
  <si>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</si>
  <si>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</si>
  <si>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</si>
  <si>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</si>
  <si>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</si>
  <si>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</si>
  <si>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</si>
  <si>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</si>
  <si>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</si>
  <si>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</si>
  <si>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</si>
  <si>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</si>
  <si>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</si>
  <si>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</si>
  <si>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</si>
  <si>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</si>
  <si>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</si>
  <si>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</si>
  <si>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</si>
  <si>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</si>
  <si>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</si>
  <si>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</si>
  <si>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</si>
  <si>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</si>
  <si>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</si>
  <si>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</si>
  <si>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</si>
  <si>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</si>
  <si>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</si>
  <si>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</si>
  <si>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</si>
  <si>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</si>
  <si>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</si>
  <si>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</si>
  <si>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</si>
  <si>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</si>
  <si>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</si>
  <si>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</si>
  <si>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</si>
  <si>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</si>
  <si>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</si>
  <si>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</si>
  <si>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</si>
  <si>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</si>
  <si>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</si>
  <si>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</si>
  <si>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</si>
  <si>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</si>
  <si>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</si>
  <si>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</si>
  <si>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</si>
  <si>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</si>
  <si>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</si>
  <si>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</si>
  <si>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</si>
  <si>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</si>
  <si>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</si>
  <si>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</si>
  <si>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</si>
  <si>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</si>
  <si>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</si>
  <si>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</si>
  <si>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</si>
  <si>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</si>
  <si>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</si>
  <si>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</si>
  <si>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</si>
  <si>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</si>
  <si>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</si>
  <si>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</si>
  <si>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</si>
  <si>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</si>
  <si>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</si>
  <si>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</si>
  <si>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</si>
  <si>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</si>
  <si>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</si>
  <si>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</si>
  <si>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</si>
  <si>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</si>
  <si>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</si>
  <si>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</si>
  <si>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</si>
  <si>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</si>
  <si>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</si>
  <si>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</si>
  <si>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</si>
  <si>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</si>
  <si>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</si>
  <si>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</si>
  <si>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</si>
  <si>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</si>
  <si>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</si>
  <si>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</si>
  <si>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</si>
  <si>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</si>
  <si>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</si>
  <si>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</si>
  <si>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</si>
  <si>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</si>
  <si>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</si>
  <si>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</si>
  <si>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</si>
  <si>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</si>
  <si>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</si>
  <si>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</si>
  <si>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</si>
  <si>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</si>
  <si>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</si>
  <si>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</si>
  <si>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</si>
  <si>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</si>
  <si>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</si>
  <si>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</si>
  <si>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</si>
  <si>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</si>
  <si>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</si>
  <si>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</si>
  <si>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</si>
  <si>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</si>
  <si>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</si>
  <si>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</si>
  <si>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</si>
  <si>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</si>
  <si>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</si>
  <si>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</si>
  <si>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</si>
  <si>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</si>
  <si>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</si>
  <si>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</si>
  <si>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</si>
  <si>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</si>
  <si>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</si>
  <si>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</si>
  <si>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</si>
  <si>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</si>
  <si>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</si>
  <si>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</si>
  <si>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</si>
  <si>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</si>
  <si>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</si>
  <si>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</si>
  <si>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</si>
  <si>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</si>
  <si>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</si>
  <si>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</si>
  <si>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</si>
  <si>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</si>
  <si>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</si>
  <si>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</si>
  <si>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</si>
  <si>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</si>
  <si>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</si>
  <si>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</si>
  <si>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</si>
  <si>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</si>
  <si>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</si>
  <si>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</si>
  <si>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</si>
  <si>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</si>
  <si>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</si>
  <si>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</si>
  <si>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</si>
  <si>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</si>
  <si>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</si>
  <si>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</si>
  <si>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</si>
  <si>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</si>
  <si>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</si>
  <si>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</si>
  <si>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</si>
  <si>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</si>
  <si>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</si>
  <si>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</si>
  <si>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</si>
  <si>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</si>
  <si>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</si>
  <si>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</si>
  <si>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</si>
  <si>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</si>
  <si>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</si>
  <si>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</si>
  <si>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</si>
  <si>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</si>
  <si>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</si>
  <si>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</si>
  <si>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</si>
  <si>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</si>
  <si>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</si>
  <si>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</si>
  <si>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</si>
  <si>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</si>
  <si>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</si>
  <si>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</si>
  <si>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</si>
  <si>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</si>
  <si>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</si>
  <si>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</si>
  <si>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</si>
  <si>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</si>
  <si>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</si>
  <si>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</si>
  <si>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</si>
  <si>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</si>
  <si>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</si>
  <si>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</si>
  <si>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</si>
  <si>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</si>
  <si>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</si>
  <si>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</si>
  <si>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</si>
  <si>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</si>
  <si>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</si>
  <si>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</si>
  <si>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</si>
  <si>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</si>
  <si>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Т-1, Т-2</t>
  </si>
  <si>
    <t>Увеличение объема услуг по передаче электрической энергии.</t>
  </si>
  <si>
    <t>строительство</t>
  </si>
  <si>
    <t>0.4 кВ</t>
  </si>
  <si>
    <t>2016</t>
  </si>
  <si>
    <t>КТП новая</t>
  </si>
  <si>
    <t>П</t>
  </si>
  <si>
    <t>договор технологического присоединения</t>
  </si>
  <si>
    <t xml:space="preserve"> по состоянию на 01.01.2017</t>
  </si>
  <si>
    <t>предложения по корректировке плана</t>
  </si>
  <si>
    <t>факт</t>
  </si>
  <si>
    <t>новое строительство</t>
  </si>
  <si>
    <t>F_prj_111001_49220</t>
  </si>
  <si>
    <t>Год раскрытия информации: 2017 год</t>
  </si>
  <si>
    <t>1107/09/14 от 25.09.2014</t>
  </si>
  <si>
    <t>Договор расторгнут</t>
  </si>
  <si>
    <t>г. Калининград, ул. Аксакова, к.н. 39:15:133009:24</t>
  </si>
  <si>
    <t>многоквартирный жилой дом</t>
  </si>
  <si>
    <t>КАБЕЛЬНЫЕ НАКОНЕЧНИКИ НА КЛ-1 кВ (ТПновая (п. 10.1) - РЩновый (п.11.1)) В РЩновом (п.11.1) ПС 110 кВ О-30 Московская</t>
  </si>
  <si>
    <t>10.1. На границе земельного участка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монтаж двух КЛ-10 кВ сечением 120 мм2 (ориентировочной протяженностью 2х2000 м) от I секции и II секции РП-XXXIX доТПновой (п.10.1),смонтировать концевыемуфты, выполнить расчет емкостных токов.
10.3. Для присоединения КЛ-10кВ (п.10.2) в РУ-10кВ РП XXXIX на I и II секциисмонтировать линейную ячейку с ВН, произвести наладку и регулировку. Типоборудования согласовать с филиалом ОАО "Янтарьэнерго" "Городские электрическиесети".
10.4.Произвести проектирование, монтаж эл. сети 0,4 кВ от разных секций ТПновой (п.10.1) до РЩ (п.11.1) по взаиморезервируемым КЛ-1 кВ расчетного сечения (ориентировочно 2х50м), смонтировать концевые муфты.</t>
  </si>
  <si>
    <t>Строительство КТПн 10/0.4 кВ, двух КЛ 10 кВ от РП-XXXIX до КТПн, двух КЛ 1 кВ от КТПн до РЩ по ул.Аксакова в г.Калининграде</t>
  </si>
  <si>
    <t>2 КЛ 10 кВ от РП-XXXIX до КТПн</t>
  </si>
  <si>
    <t>2 КЛ 1 кВ от КТПн до РЩ по ул.Аксакова</t>
  </si>
  <si>
    <t>Строительство КТПн 10/0,4 кВ мощностью 2х400 кВА, 2-х КЛ 10 кВ протяженностью 2х2,0 км км и 2-х КЛ 1 кВ от КТПн протяженностью 2х0,05 км</t>
  </si>
  <si>
    <t>Договор ТП расторгнут</t>
  </si>
  <si>
    <t>4,1 км (4,1 км), 0,8 МВА (0,8 МВА)</t>
  </si>
  <si>
    <t>УСР</t>
  </si>
  <si>
    <t>Сметная стоимость проекта в ценах 2017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</si>
</sst>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0" fontId="7" fillId="0" borderId="51" xfId="1" applyFont="1" applyBorder="1" applyAlignment="1">
      <alignment horizontal="center" vertical="center"/>
    </xf>
    <xf numFmtId="169" fontId="7" fillId="0" borderId="5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 fontId="7" fillId="0" borderId="51" xfId="1" applyNumberFormat="1" applyFont="1" applyBorder="1" applyAlignment="1">
      <alignment horizontal="center" vertical="center"/>
    </xf>
    <xf numFmtId="0" fontId="36" fillId="0" borderId="51" xfId="1" applyFont="1" applyBorder="1" applyAlignment="1">
      <alignment horizontal="left" vertical="center" wrapText="1"/>
    </xf>
    <xf numFmtId="2" fontId="7" fillId="0" borderId="51" xfId="1" applyNumberFormat="1" applyFont="1" applyBorder="1" applyAlignment="1">
      <alignment horizontal="left" vertical="center" wrapText="1"/>
    </xf>
    <xf numFmtId="14" fontId="11" fillId="0" borderId="1" xfId="2" applyNumberFormat="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8195912"/>
        <c:axId val="788196304"/>
      </c:lineChart>
      <c:catAx>
        <c:axId val="7881959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196304"/>
        <c:crosses val="autoZero"/>
        <c:auto val="1"/>
        <c:lblAlgn val="ctr"/>
        <c:lblOffset val="100"/>
        <c:noMultiLvlLbl val="0"/>
      </c:catAx>
      <c:valAx>
        <c:axId val="788196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1959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0" t="s">
        <v>697</v>
      </c>
      <c r="B5" s="370"/>
      <c r="C5" s="370"/>
      <c r="D5" s="172"/>
      <c r="E5" s="172"/>
      <c r="F5" s="172"/>
      <c r="G5" s="172"/>
      <c r="H5" s="172"/>
      <c r="I5" s="172"/>
      <c r="J5" s="172"/>
    </row>
    <row r="6" spans="1:22" s="12" customFormat="1" ht="18.75" x14ac:dyDescent="0.3">
      <c r="A6" s="17"/>
      <c r="F6" s="16"/>
      <c r="G6" s="16"/>
      <c r="H6" s="15"/>
    </row>
    <row r="7" spans="1:22" s="12" customFormat="1" ht="18.75" x14ac:dyDescent="0.2">
      <c r="A7" s="374" t="s">
        <v>9</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588</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1" t="s">
        <v>8</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696</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7</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76" t="s">
        <v>704</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6</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522</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355</v>
      </c>
      <c r="C22" s="41" t="s">
        <v>603</v>
      </c>
      <c r="D22" s="33" t="s">
        <v>599</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640</v>
      </c>
      <c r="C23" s="41" t="s">
        <v>592</v>
      </c>
      <c r="D23" s="33" t="s">
        <v>589</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9" t="s">
        <v>471</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9" t="s">
        <v>74</v>
      </c>
      <c r="C26" s="39" t="s">
        <v>540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9" t="s">
        <v>73</v>
      </c>
      <c r="C27" s="284" t="s">
        <v>641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9" t="s">
        <v>472</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9" t="s">
        <v>473</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9" t="s">
        <v>474</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475</v>
      </c>
      <c r="C31" s="39" t="s">
        <v>543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476</v>
      </c>
      <c r="C32" s="39" t="s">
        <v>543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477</v>
      </c>
      <c r="C33" s="44" t="s">
        <v>666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9" t="s">
        <v>666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71</v>
      </c>
      <c r="C35" s="29" t="s">
        <v>663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664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663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679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679</v>
      </c>
      <c r="D41" s="27" t="s">
        <v>671</v>
      </c>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679</v>
      </c>
      <c r="D42" s="27" t="s">
        <v>671</v>
      </c>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679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679</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518</v>
      </c>
      <c r="B45" s="44" t="s">
        <v>524</v>
      </c>
      <c r="C45" s="2" t="s">
        <v>679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679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4" t="s">
        <v>533</v>
      </c>
      <c r="C48" s="356" t="str">
        <f>CONCATENATE('6.2. Паспорт фин осв ввод'!AF24," млн.руб.")</f>
        <v>16,8243582237612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4" t="s">
        <v>534</v>
      </c>
      <c r="C49" s="356" t="str">
        <f>CONCATENATE('6.2. Паспорт фин осв ввод'!AF30," млн.руб.")</f>
        <v>14,2579306981027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15" sqref="A15:C15"/>
      <selection pane="topRight" activeCell="A15" sqref="A15:C15"/>
      <selection pane="bottomLeft" activeCell="A15" sqref="A15:C15"/>
      <selection pane="bottomRight" activeCell="L34" sqref="L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5" width="9.140625" style="70" customWidth="1"/>
    <col min="16" max="16" width="8" style="70" customWidth="1"/>
    <col min="17"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row>
    <row r="5" spans="1:33" ht="18.75" x14ac:dyDescent="0.3">
      <c r="A5" s="71"/>
      <c r="B5" s="71"/>
      <c r="C5" s="71"/>
      <c r="D5" s="71"/>
      <c r="E5" s="71"/>
      <c r="F5" s="71"/>
      <c r="L5" s="71"/>
      <c r="M5" s="71"/>
      <c r="AG5" s="15"/>
    </row>
    <row r="6" spans="1:33" ht="18.75" x14ac:dyDescent="0.25">
      <c r="A6" s="374" t="s">
        <v>9</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4"/>
      <c r="AG6" s="374"/>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row>
    <row r="9" spans="1:33" ht="18.75" customHeight="1" x14ac:dyDescent="0.25">
      <c r="A9" s="371" t="s">
        <v>8</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78" t="str">
        <f>'1. паспорт местоположение'!A12:C12</f>
        <v>F_prj_111001_49220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row>
    <row r="12" spans="1:33" x14ac:dyDescent="0.25">
      <c r="A12" s="371" t="s">
        <v>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78" t="str">
        <f>'1. паспорт местоположение'!A15</f>
        <v>Строительство КТПн 10/0.4 кВ, двух КЛ 10 кВ от РП-XXXIX до КТПн, двух КЛ 1 кВ от КТПн до РЩ по ул.Аксакова в г.Калининграде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row>
    <row r="15" spans="1:33" ht="15.75" customHeight="1" x14ac:dyDescent="0.25">
      <c r="A15" s="371" t="s">
        <v>6</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row>
    <row r="16" spans="1:33"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53" t="s">
        <v>507</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0" t="s">
        <v>191</v>
      </c>
      <c r="B20" s="450" t="s">
        <v>190</v>
      </c>
      <c r="C20" s="436" t="s">
        <v>189</v>
      </c>
      <c r="D20" s="436"/>
      <c r="E20" s="452" t="s">
        <v>188</v>
      </c>
      <c r="F20" s="452"/>
      <c r="G20" s="450" t="s">
        <v>672</v>
      </c>
      <c r="H20" s="446" t="s">
        <v>674</v>
      </c>
      <c r="I20" s="447"/>
      <c r="J20" s="447"/>
      <c r="K20" s="447"/>
      <c r="L20" s="446" t="s">
        <v>675</v>
      </c>
      <c r="M20" s="447"/>
      <c r="N20" s="447"/>
      <c r="O20" s="447"/>
      <c r="P20" s="446" t="s">
        <v>676</v>
      </c>
      <c r="Q20" s="447"/>
      <c r="R20" s="447"/>
      <c r="S20" s="447"/>
      <c r="T20" s="446" t="s">
        <v>677</v>
      </c>
      <c r="U20" s="447"/>
      <c r="V20" s="447"/>
      <c r="W20" s="447"/>
      <c r="X20" s="446" t="s">
        <v>678</v>
      </c>
      <c r="Y20" s="447"/>
      <c r="Z20" s="447"/>
      <c r="AA20" s="447"/>
      <c r="AB20" s="448" t="s">
        <v>544</v>
      </c>
      <c r="AC20" s="448"/>
      <c r="AD20" s="448"/>
      <c r="AE20" s="448"/>
      <c r="AF20" s="454" t="s">
        <v>187</v>
      </c>
      <c r="AG20" s="455"/>
      <c r="AH20" s="92"/>
      <c r="AI20" s="92"/>
      <c r="AJ20" s="92"/>
    </row>
    <row r="21" spans="1:36" ht="99.75" customHeight="1" x14ac:dyDescent="0.25">
      <c r="A21" s="451"/>
      <c r="B21" s="451"/>
      <c r="C21" s="436"/>
      <c r="D21" s="436"/>
      <c r="E21" s="452"/>
      <c r="F21" s="452"/>
      <c r="G21" s="451"/>
      <c r="H21" s="436" t="s">
        <v>2</v>
      </c>
      <c r="I21" s="436"/>
      <c r="J21" s="436" t="s">
        <v>673</v>
      </c>
      <c r="K21" s="436"/>
      <c r="L21" s="436" t="s">
        <v>2</v>
      </c>
      <c r="M21" s="436"/>
      <c r="N21" s="436" t="s">
        <v>673</v>
      </c>
      <c r="O21" s="436"/>
      <c r="P21" s="436" t="s">
        <v>2</v>
      </c>
      <c r="Q21" s="436"/>
      <c r="R21" s="436" t="s">
        <v>673</v>
      </c>
      <c r="S21" s="436"/>
      <c r="T21" s="436" t="s">
        <v>2</v>
      </c>
      <c r="U21" s="436"/>
      <c r="V21" s="436" t="s">
        <v>673</v>
      </c>
      <c r="W21" s="436"/>
      <c r="X21" s="436" t="s">
        <v>2</v>
      </c>
      <c r="Y21" s="436"/>
      <c r="Z21" s="436" t="s">
        <v>673</v>
      </c>
      <c r="AA21" s="436"/>
      <c r="AB21" s="444" t="s">
        <v>2</v>
      </c>
      <c r="AC21" s="445"/>
      <c r="AD21" s="444" t="s">
        <v>186</v>
      </c>
      <c r="AE21" s="445"/>
      <c r="AF21" s="456"/>
      <c r="AG21" s="457"/>
    </row>
    <row r="22" spans="1:36" ht="89.25" customHeight="1" x14ac:dyDescent="0.25">
      <c r="A22" s="443"/>
      <c r="B22" s="443"/>
      <c r="C22" s="89" t="s">
        <v>2</v>
      </c>
      <c r="D22" s="89" t="s">
        <v>184</v>
      </c>
      <c r="E22" s="91" t="s">
        <v>680</v>
      </c>
      <c r="F22" s="91" t="s">
        <v>692</v>
      </c>
      <c r="G22" s="443"/>
      <c r="H22" s="90" t="s">
        <v>488</v>
      </c>
      <c r="I22" s="90" t="s">
        <v>489</v>
      </c>
      <c r="J22" s="90" t="s">
        <v>488</v>
      </c>
      <c r="K22" s="90" t="s">
        <v>489</v>
      </c>
      <c r="L22" s="90" t="s">
        <v>488</v>
      </c>
      <c r="M22" s="90" t="s">
        <v>489</v>
      </c>
      <c r="N22" s="90" t="s">
        <v>488</v>
      </c>
      <c r="O22" s="90" t="s">
        <v>489</v>
      </c>
      <c r="P22" s="90" t="s">
        <v>488</v>
      </c>
      <c r="Q22" s="90" t="s">
        <v>489</v>
      </c>
      <c r="R22" s="90" t="s">
        <v>488</v>
      </c>
      <c r="S22" s="90" t="s">
        <v>489</v>
      </c>
      <c r="T22" s="181" t="s">
        <v>488</v>
      </c>
      <c r="U22" s="181" t="s">
        <v>489</v>
      </c>
      <c r="V22" s="181" t="s">
        <v>488</v>
      </c>
      <c r="W22" s="181" t="s">
        <v>489</v>
      </c>
      <c r="X22" s="181" t="s">
        <v>488</v>
      </c>
      <c r="Y22" s="181" t="s">
        <v>489</v>
      </c>
      <c r="Z22" s="181" t="s">
        <v>488</v>
      </c>
      <c r="AA22" s="181" t="s">
        <v>489</v>
      </c>
      <c r="AB22" s="181" t="s">
        <v>488</v>
      </c>
      <c r="AC22" s="181" t="s">
        <v>489</v>
      </c>
      <c r="AD22" s="181" t="s">
        <v>488</v>
      </c>
      <c r="AE22" s="181" t="s">
        <v>489</v>
      </c>
      <c r="AF22" s="89" t="s">
        <v>185</v>
      </c>
      <c r="AG22" s="347" t="s">
        <v>694</v>
      </c>
    </row>
    <row r="23" spans="1:36" ht="19.5" customHeight="1" x14ac:dyDescent="0.25">
      <c r="A23" s="82">
        <v>1</v>
      </c>
      <c r="B23" s="82">
        <v>2</v>
      </c>
      <c r="C23" s="82">
        <v>3</v>
      </c>
      <c r="D23" s="82">
        <v>4</v>
      </c>
      <c r="E23" s="82">
        <v>5</v>
      </c>
      <c r="F23" s="82">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G23" si="0">T23+1</f>
        <v>21</v>
      </c>
      <c r="V23" s="180">
        <f t="shared" si="0"/>
        <v>22</v>
      </c>
      <c r="W23" s="180">
        <f t="shared" si="0"/>
        <v>23</v>
      </c>
      <c r="X23" s="180">
        <f t="shared" si="0"/>
        <v>24</v>
      </c>
      <c r="Y23" s="180">
        <f t="shared" si="0"/>
        <v>25</v>
      </c>
      <c r="Z23" s="180">
        <f t="shared" si="0"/>
        <v>26</v>
      </c>
      <c r="AA23" s="180">
        <f t="shared" si="0"/>
        <v>27</v>
      </c>
      <c r="AB23" s="180">
        <f t="shared" si="0"/>
        <v>28</v>
      </c>
      <c r="AC23" s="180">
        <f t="shared" si="0"/>
        <v>29</v>
      </c>
      <c r="AD23" s="180">
        <f t="shared" si="0"/>
        <v>30</v>
      </c>
      <c r="AE23" s="180">
        <f t="shared" si="0"/>
        <v>31</v>
      </c>
      <c r="AF23" s="180">
        <f t="shared" si="0"/>
        <v>32</v>
      </c>
      <c r="AG23" s="354">
        <f t="shared" si="0"/>
        <v>33</v>
      </c>
    </row>
    <row r="24" spans="1:36" ht="47.25" customHeight="1" x14ac:dyDescent="0.25">
      <c r="A24" s="87">
        <v>1</v>
      </c>
      <c r="B24" s="86" t="s">
        <v>183</v>
      </c>
      <c r="C24" s="348">
        <f>SUM(C25:C29)</f>
        <v>16.824358223761191</v>
      </c>
      <c r="D24" s="348">
        <f t="shared" ref="D24:AA24" si="1">SUM(D25:D29)</f>
        <v>0</v>
      </c>
      <c r="E24" s="348">
        <f>C24</f>
        <v>16.824358223761191</v>
      </c>
      <c r="F24" s="348">
        <f>E24-G24-J24</f>
        <v>16.824358223761191</v>
      </c>
      <c r="G24" s="348">
        <f t="shared" si="1"/>
        <v>0</v>
      </c>
      <c r="H24" s="348">
        <f t="shared" si="1"/>
        <v>0</v>
      </c>
      <c r="I24" s="348">
        <f t="shared" si="1"/>
        <v>0</v>
      </c>
      <c r="J24" s="348">
        <f t="shared" si="1"/>
        <v>0</v>
      </c>
      <c r="K24" s="348">
        <f t="shared" si="1"/>
        <v>0</v>
      </c>
      <c r="L24" s="348">
        <f t="shared" si="1"/>
        <v>0</v>
      </c>
      <c r="M24" s="348">
        <f t="shared" si="1"/>
        <v>0</v>
      </c>
      <c r="N24" s="348">
        <f t="shared" si="1"/>
        <v>0</v>
      </c>
      <c r="O24" s="348">
        <f t="shared" si="1"/>
        <v>0</v>
      </c>
      <c r="P24" s="348">
        <f t="shared" si="1"/>
        <v>16.824358223761191</v>
      </c>
      <c r="Q24" s="348">
        <f t="shared" si="1"/>
        <v>0</v>
      </c>
      <c r="R24" s="348">
        <f t="shared" si="1"/>
        <v>0</v>
      </c>
      <c r="S24" s="348">
        <f t="shared" si="1"/>
        <v>0</v>
      </c>
      <c r="T24" s="348">
        <f t="shared" si="1"/>
        <v>0</v>
      </c>
      <c r="U24" s="348">
        <f t="shared" si="1"/>
        <v>0</v>
      </c>
      <c r="V24" s="348">
        <f t="shared" si="1"/>
        <v>0</v>
      </c>
      <c r="W24" s="348">
        <f t="shared" si="1"/>
        <v>0</v>
      </c>
      <c r="X24" s="348">
        <f t="shared" si="1"/>
        <v>0</v>
      </c>
      <c r="Y24" s="348">
        <f t="shared" si="1"/>
        <v>0</v>
      </c>
      <c r="Z24" s="348">
        <f t="shared" si="1"/>
        <v>0</v>
      </c>
      <c r="AA24" s="348">
        <f t="shared" si="1"/>
        <v>0</v>
      </c>
      <c r="AB24" s="349">
        <v>0</v>
      </c>
      <c r="AC24" s="349">
        <v>0</v>
      </c>
      <c r="AD24" s="349">
        <v>0</v>
      </c>
      <c r="AE24" s="349">
        <v>0</v>
      </c>
      <c r="AF24" s="348">
        <f>H24+L24+P24+T24+X24</f>
        <v>16.824358223761191</v>
      </c>
      <c r="AG24" s="355">
        <f>J24+N24+R24+V24+Z24</f>
        <v>0</v>
      </c>
    </row>
    <row r="25" spans="1:36" ht="24" customHeight="1" x14ac:dyDescent="0.25">
      <c r="A25" s="84" t="s">
        <v>182</v>
      </c>
      <c r="B25" s="55" t="s">
        <v>181</v>
      </c>
      <c r="C25" s="348">
        <v>0</v>
      </c>
      <c r="D25" s="348">
        <v>0</v>
      </c>
      <c r="E25" s="348">
        <f t="shared" ref="E25:E57" si="2">C25</f>
        <v>0</v>
      </c>
      <c r="F25" s="348">
        <f t="shared" ref="F25:F57" si="3">E25-G25-J25</f>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49">
        <v>0</v>
      </c>
      <c r="AC25" s="349">
        <v>0</v>
      </c>
      <c r="AD25" s="349">
        <v>0</v>
      </c>
      <c r="AE25" s="349">
        <v>0</v>
      </c>
      <c r="AF25" s="348">
        <f t="shared" ref="AF25:AF64" si="4">H25+L25+P25+T25+X25</f>
        <v>0</v>
      </c>
      <c r="AG25" s="355">
        <f t="shared" ref="AG25:AG64" si="5">J25+N25+R25+V25+Z25</f>
        <v>0</v>
      </c>
    </row>
    <row r="26" spans="1:36" x14ac:dyDescent="0.25">
      <c r="A26" s="84" t="s">
        <v>180</v>
      </c>
      <c r="B26" s="55" t="s">
        <v>179</v>
      </c>
      <c r="C26" s="348">
        <v>0</v>
      </c>
      <c r="D26" s="348">
        <v>0</v>
      </c>
      <c r="E26" s="348">
        <f t="shared" si="2"/>
        <v>0</v>
      </c>
      <c r="F26" s="348">
        <f t="shared" si="3"/>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49">
        <v>0</v>
      </c>
      <c r="AC26" s="349">
        <v>0</v>
      </c>
      <c r="AD26" s="349">
        <v>0</v>
      </c>
      <c r="AE26" s="349">
        <v>0</v>
      </c>
      <c r="AF26" s="348">
        <f t="shared" si="4"/>
        <v>0</v>
      </c>
      <c r="AG26" s="355">
        <f t="shared" si="5"/>
        <v>0</v>
      </c>
    </row>
    <row r="27" spans="1:36" ht="31.5" x14ac:dyDescent="0.25">
      <c r="A27" s="84" t="s">
        <v>178</v>
      </c>
      <c r="B27" s="55" t="s">
        <v>444</v>
      </c>
      <c r="C27" s="348">
        <v>0</v>
      </c>
      <c r="D27" s="348">
        <v>0</v>
      </c>
      <c r="E27" s="348">
        <f t="shared" si="2"/>
        <v>0</v>
      </c>
      <c r="F27" s="348">
        <f t="shared" si="3"/>
        <v>0</v>
      </c>
      <c r="G27" s="349">
        <v>0</v>
      </c>
      <c r="H27" s="349">
        <v>0</v>
      </c>
      <c r="I27" s="349">
        <v>0</v>
      </c>
      <c r="J27" s="349">
        <v>0</v>
      </c>
      <c r="K27" s="349">
        <v>0</v>
      </c>
      <c r="L27" s="349">
        <v>0</v>
      </c>
      <c r="M27" s="349">
        <v>0</v>
      </c>
      <c r="N27" s="350">
        <v>0</v>
      </c>
      <c r="O27" s="349">
        <v>0</v>
      </c>
      <c r="P27" s="349">
        <v>0</v>
      </c>
      <c r="Q27" s="349">
        <v>0</v>
      </c>
      <c r="R27" s="349">
        <v>0</v>
      </c>
      <c r="S27" s="349">
        <v>0</v>
      </c>
      <c r="T27" s="349">
        <v>0</v>
      </c>
      <c r="U27" s="349">
        <v>0</v>
      </c>
      <c r="V27" s="349">
        <v>0</v>
      </c>
      <c r="W27" s="349">
        <v>0</v>
      </c>
      <c r="X27" s="349">
        <v>0</v>
      </c>
      <c r="Y27" s="349">
        <v>0</v>
      </c>
      <c r="Z27" s="349">
        <v>0</v>
      </c>
      <c r="AA27" s="349">
        <v>0</v>
      </c>
      <c r="AB27" s="349">
        <v>0</v>
      </c>
      <c r="AC27" s="349">
        <v>0</v>
      </c>
      <c r="AD27" s="349">
        <v>0</v>
      </c>
      <c r="AE27" s="349">
        <v>0</v>
      </c>
      <c r="AF27" s="348">
        <f t="shared" si="4"/>
        <v>0</v>
      </c>
      <c r="AG27" s="355">
        <f t="shared" si="5"/>
        <v>0</v>
      </c>
    </row>
    <row r="28" spans="1:36" x14ac:dyDescent="0.25">
      <c r="A28" s="84" t="s">
        <v>177</v>
      </c>
      <c r="B28" s="55" t="s">
        <v>176</v>
      </c>
      <c r="C28" s="348">
        <v>16.824358223761191</v>
      </c>
      <c r="D28" s="348">
        <v>0</v>
      </c>
      <c r="E28" s="348">
        <f t="shared" si="2"/>
        <v>16.824358223761191</v>
      </c>
      <c r="F28" s="348">
        <f t="shared" si="3"/>
        <v>16.824358223761191</v>
      </c>
      <c r="G28" s="349">
        <v>0</v>
      </c>
      <c r="H28" s="349">
        <v>0</v>
      </c>
      <c r="I28" s="349">
        <v>0</v>
      </c>
      <c r="J28" s="349">
        <v>0</v>
      </c>
      <c r="K28" s="349">
        <v>0</v>
      </c>
      <c r="L28" s="349">
        <v>0</v>
      </c>
      <c r="M28" s="349">
        <v>0</v>
      </c>
      <c r="N28" s="349">
        <v>0</v>
      </c>
      <c r="O28" s="349">
        <v>0</v>
      </c>
      <c r="P28" s="349">
        <f>C28</f>
        <v>16.824358223761191</v>
      </c>
      <c r="Q28" s="349">
        <v>0</v>
      </c>
      <c r="R28" s="349">
        <v>0</v>
      </c>
      <c r="S28" s="349">
        <v>0</v>
      </c>
      <c r="T28" s="349">
        <v>0</v>
      </c>
      <c r="U28" s="349">
        <v>0</v>
      </c>
      <c r="V28" s="349">
        <v>0</v>
      </c>
      <c r="W28" s="349">
        <v>0</v>
      </c>
      <c r="X28" s="349">
        <v>0</v>
      </c>
      <c r="Y28" s="349">
        <v>0</v>
      </c>
      <c r="Z28" s="349">
        <v>0</v>
      </c>
      <c r="AA28" s="349">
        <v>0</v>
      </c>
      <c r="AB28" s="349">
        <v>0</v>
      </c>
      <c r="AC28" s="349">
        <v>0</v>
      </c>
      <c r="AD28" s="349">
        <v>0</v>
      </c>
      <c r="AE28" s="349">
        <v>0</v>
      </c>
      <c r="AF28" s="348">
        <f t="shared" si="4"/>
        <v>16.824358223761191</v>
      </c>
      <c r="AG28" s="355">
        <f t="shared" si="5"/>
        <v>0</v>
      </c>
    </row>
    <row r="29" spans="1:36" x14ac:dyDescent="0.25">
      <c r="A29" s="84" t="s">
        <v>175</v>
      </c>
      <c r="B29" s="88" t="s">
        <v>174</v>
      </c>
      <c r="C29" s="348">
        <v>0</v>
      </c>
      <c r="D29" s="348">
        <v>0</v>
      </c>
      <c r="E29" s="348">
        <f t="shared" si="2"/>
        <v>0</v>
      </c>
      <c r="F29" s="348">
        <f t="shared" si="3"/>
        <v>0</v>
      </c>
      <c r="G29" s="349">
        <v>0</v>
      </c>
      <c r="H29" s="349">
        <v>0</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49">
        <v>0</v>
      </c>
      <c r="AC29" s="349">
        <v>0</v>
      </c>
      <c r="AD29" s="349">
        <v>0</v>
      </c>
      <c r="AE29" s="349">
        <v>0</v>
      </c>
      <c r="AF29" s="348">
        <f t="shared" si="4"/>
        <v>0</v>
      </c>
      <c r="AG29" s="355">
        <f t="shared" si="5"/>
        <v>0</v>
      </c>
    </row>
    <row r="30" spans="1:36" ht="47.25" x14ac:dyDescent="0.25">
      <c r="A30" s="87" t="s">
        <v>63</v>
      </c>
      <c r="B30" s="86" t="s">
        <v>173</v>
      </c>
      <c r="C30" s="348">
        <v>14.257930698102705</v>
      </c>
      <c r="D30" s="348">
        <v>0</v>
      </c>
      <c r="E30" s="348">
        <f t="shared" si="2"/>
        <v>14.257930698102705</v>
      </c>
      <c r="F30" s="348">
        <f t="shared" si="3"/>
        <v>14.257930698102705</v>
      </c>
      <c r="G30" s="348">
        <v>0</v>
      </c>
      <c r="H30" s="348">
        <v>0</v>
      </c>
      <c r="I30" s="348">
        <v>0</v>
      </c>
      <c r="J30" s="348">
        <v>0</v>
      </c>
      <c r="K30" s="348">
        <v>0</v>
      </c>
      <c r="L30" s="348">
        <f>C30</f>
        <v>14.257930698102705</v>
      </c>
      <c r="M30" s="348">
        <v>0</v>
      </c>
      <c r="N30" s="351">
        <v>0</v>
      </c>
      <c r="O30" s="351">
        <v>0</v>
      </c>
      <c r="P30" s="348">
        <v>0</v>
      </c>
      <c r="Q30" s="348">
        <v>0</v>
      </c>
      <c r="R30" s="348">
        <v>0</v>
      </c>
      <c r="S30" s="348">
        <v>0</v>
      </c>
      <c r="T30" s="348">
        <v>0</v>
      </c>
      <c r="U30" s="348">
        <v>0</v>
      </c>
      <c r="V30" s="348">
        <v>0</v>
      </c>
      <c r="W30" s="348">
        <v>0</v>
      </c>
      <c r="X30" s="348">
        <v>0</v>
      </c>
      <c r="Y30" s="348">
        <v>0</v>
      </c>
      <c r="Z30" s="348">
        <v>0</v>
      </c>
      <c r="AA30" s="348">
        <v>0</v>
      </c>
      <c r="AB30" s="349">
        <v>0</v>
      </c>
      <c r="AC30" s="349">
        <v>0</v>
      </c>
      <c r="AD30" s="349">
        <v>0</v>
      </c>
      <c r="AE30" s="349">
        <v>0</v>
      </c>
      <c r="AF30" s="348">
        <f t="shared" si="4"/>
        <v>14.257930698102705</v>
      </c>
      <c r="AG30" s="355">
        <f t="shared" si="5"/>
        <v>0</v>
      </c>
    </row>
    <row r="31" spans="1:36" x14ac:dyDescent="0.25">
      <c r="A31" s="87" t="s">
        <v>172</v>
      </c>
      <c r="B31" s="55" t="s">
        <v>171</v>
      </c>
      <c r="C31" s="348">
        <v>1.4490975157010997</v>
      </c>
      <c r="D31" s="348">
        <v>0</v>
      </c>
      <c r="E31" s="348">
        <f t="shared" si="2"/>
        <v>1.4490975157010997</v>
      </c>
      <c r="F31" s="348">
        <f t="shared" si="3"/>
        <v>1.4490975157010997</v>
      </c>
      <c r="G31" s="349">
        <v>0</v>
      </c>
      <c r="H31" s="349">
        <v>0</v>
      </c>
      <c r="I31" s="349">
        <v>0</v>
      </c>
      <c r="J31" s="349">
        <v>0</v>
      </c>
      <c r="K31" s="349">
        <v>0</v>
      </c>
      <c r="L31" s="349">
        <f t="shared" ref="L31:L57" si="6">C31</f>
        <v>1.4490975157010997</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49">
        <v>0</v>
      </c>
      <c r="AC31" s="349">
        <v>0</v>
      </c>
      <c r="AD31" s="349">
        <v>0</v>
      </c>
      <c r="AE31" s="349">
        <v>0</v>
      </c>
      <c r="AF31" s="348">
        <f t="shared" si="4"/>
        <v>1.4490975157010997</v>
      </c>
      <c r="AG31" s="355">
        <f t="shared" si="5"/>
        <v>0</v>
      </c>
    </row>
    <row r="32" spans="1:36" ht="31.5" x14ac:dyDescent="0.25">
      <c r="A32" s="87" t="s">
        <v>170</v>
      </c>
      <c r="B32" s="55" t="s">
        <v>169</v>
      </c>
      <c r="C32" s="348">
        <v>9.1998674985944131</v>
      </c>
      <c r="D32" s="348">
        <v>0</v>
      </c>
      <c r="E32" s="348">
        <f t="shared" si="2"/>
        <v>9.1998674985944131</v>
      </c>
      <c r="F32" s="348">
        <f t="shared" si="3"/>
        <v>9.1998674985944131</v>
      </c>
      <c r="G32" s="349">
        <v>0</v>
      </c>
      <c r="H32" s="349">
        <v>0</v>
      </c>
      <c r="I32" s="349">
        <v>0</v>
      </c>
      <c r="J32" s="349">
        <v>0</v>
      </c>
      <c r="K32" s="349">
        <v>0</v>
      </c>
      <c r="L32" s="349">
        <f t="shared" si="6"/>
        <v>9.1998674985944131</v>
      </c>
      <c r="M32" s="349">
        <v>0</v>
      </c>
      <c r="N32" s="349">
        <v>0</v>
      </c>
      <c r="O32" s="349">
        <v>0</v>
      </c>
      <c r="P32" s="349">
        <v>0</v>
      </c>
      <c r="Q32" s="349">
        <v>0</v>
      </c>
      <c r="R32" s="349">
        <v>0</v>
      </c>
      <c r="S32" s="349">
        <v>0</v>
      </c>
      <c r="T32" s="349">
        <v>0</v>
      </c>
      <c r="U32" s="349">
        <v>0</v>
      </c>
      <c r="V32" s="349">
        <v>0</v>
      </c>
      <c r="W32" s="349">
        <v>0</v>
      </c>
      <c r="X32" s="349">
        <v>0</v>
      </c>
      <c r="Y32" s="349">
        <v>0</v>
      </c>
      <c r="Z32" s="349">
        <v>0</v>
      </c>
      <c r="AA32" s="349">
        <v>0</v>
      </c>
      <c r="AB32" s="349">
        <v>0</v>
      </c>
      <c r="AC32" s="349">
        <v>0</v>
      </c>
      <c r="AD32" s="349">
        <v>0</v>
      </c>
      <c r="AE32" s="349">
        <v>0</v>
      </c>
      <c r="AF32" s="348">
        <f t="shared" si="4"/>
        <v>9.1998674985944131</v>
      </c>
      <c r="AG32" s="355">
        <f t="shared" si="5"/>
        <v>0</v>
      </c>
    </row>
    <row r="33" spans="1:33" x14ac:dyDescent="0.25">
      <c r="A33" s="87" t="s">
        <v>168</v>
      </c>
      <c r="B33" s="55" t="s">
        <v>167</v>
      </c>
      <c r="C33" s="348">
        <v>3.6089656838071709</v>
      </c>
      <c r="D33" s="348">
        <v>0</v>
      </c>
      <c r="E33" s="348">
        <f t="shared" si="2"/>
        <v>3.6089656838071709</v>
      </c>
      <c r="F33" s="348">
        <f t="shared" si="3"/>
        <v>3.6089656838071709</v>
      </c>
      <c r="G33" s="349">
        <v>0</v>
      </c>
      <c r="H33" s="349">
        <v>0</v>
      </c>
      <c r="I33" s="349">
        <v>0</v>
      </c>
      <c r="J33" s="349">
        <v>0</v>
      </c>
      <c r="K33" s="349">
        <v>0</v>
      </c>
      <c r="L33" s="349">
        <f t="shared" si="6"/>
        <v>3.6089656838071709</v>
      </c>
      <c r="M33" s="349">
        <v>0</v>
      </c>
      <c r="N33" s="349">
        <v>0</v>
      </c>
      <c r="O33" s="349">
        <v>0</v>
      </c>
      <c r="P33" s="349">
        <v>0</v>
      </c>
      <c r="Q33" s="349">
        <v>0</v>
      </c>
      <c r="R33" s="349">
        <v>0</v>
      </c>
      <c r="S33" s="349">
        <v>0</v>
      </c>
      <c r="T33" s="349">
        <v>0</v>
      </c>
      <c r="U33" s="349">
        <v>0</v>
      </c>
      <c r="V33" s="349">
        <v>0</v>
      </c>
      <c r="W33" s="349">
        <v>0</v>
      </c>
      <c r="X33" s="349">
        <v>0</v>
      </c>
      <c r="Y33" s="349">
        <v>0</v>
      </c>
      <c r="Z33" s="349">
        <v>0</v>
      </c>
      <c r="AA33" s="349">
        <v>0</v>
      </c>
      <c r="AB33" s="349">
        <v>0</v>
      </c>
      <c r="AC33" s="349">
        <v>0</v>
      </c>
      <c r="AD33" s="349">
        <v>0</v>
      </c>
      <c r="AE33" s="349">
        <v>0</v>
      </c>
      <c r="AF33" s="348">
        <f t="shared" si="4"/>
        <v>3.6089656838071709</v>
      </c>
      <c r="AG33" s="355">
        <f t="shared" si="5"/>
        <v>0</v>
      </c>
    </row>
    <row r="34" spans="1:33" x14ac:dyDescent="0.25">
      <c r="A34" s="87" t="s">
        <v>166</v>
      </c>
      <c r="B34" s="55" t="s">
        <v>165</v>
      </c>
      <c r="C34" s="348">
        <v>2.0872192862952943E-14</v>
      </c>
      <c r="D34" s="348">
        <v>0</v>
      </c>
      <c r="E34" s="348">
        <f t="shared" si="2"/>
        <v>2.0872192862952943E-14</v>
      </c>
      <c r="F34" s="348">
        <f t="shared" si="3"/>
        <v>2.0872192862952943E-14</v>
      </c>
      <c r="G34" s="349">
        <v>0</v>
      </c>
      <c r="H34" s="349">
        <v>0</v>
      </c>
      <c r="I34" s="349">
        <v>0</v>
      </c>
      <c r="J34" s="349">
        <v>0</v>
      </c>
      <c r="K34" s="349">
        <v>0</v>
      </c>
      <c r="L34" s="349">
        <f t="shared" si="6"/>
        <v>2.0872192862952943E-14</v>
      </c>
      <c r="M34" s="349">
        <v>0</v>
      </c>
      <c r="N34" s="349">
        <v>0</v>
      </c>
      <c r="O34" s="349">
        <v>0</v>
      </c>
      <c r="P34" s="349">
        <v>0</v>
      </c>
      <c r="Q34" s="349">
        <v>0</v>
      </c>
      <c r="R34" s="349">
        <v>0</v>
      </c>
      <c r="S34" s="349">
        <v>0</v>
      </c>
      <c r="T34" s="349">
        <v>0</v>
      </c>
      <c r="U34" s="349">
        <v>0</v>
      </c>
      <c r="V34" s="349">
        <v>0</v>
      </c>
      <c r="W34" s="349">
        <v>0</v>
      </c>
      <c r="X34" s="349">
        <v>0</v>
      </c>
      <c r="Y34" s="349">
        <v>0</v>
      </c>
      <c r="Z34" s="349">
        <v>0</v>
      </c>
      <c r="AA34" s="349">
        <v>0</v>
      </c>
      <c r="AB34" s="349">
        <v>0</v>
      </c>
      <c r="AC34" s="349">
        <v>0</v>
      </c>
      <c r="AD34" s="349">
        <v>0</v>
      </c>
      <c r="AE34" s="349">
        <v>0</v>
      </c>
      <c r="AF34" s="348">
        <f t="shared" si="4"/>
        <v>2.0872192862952943E-14</v>
      </c>
      <c r="AG34" s="355">
        <f t="shared" si="5"/>
        <v>0</v>
      </c>
    </row>
    <row r="35" spans="1:33" ht="31.5" x14ac:dyDescent="0.25">
      <c r="A35" s="87" t="s">
        <v>62</v>
      </c>
      <c r="B35" s="86" t="s">
        <v>164</v>
      </c>
      <c r="C35" s="348">
        <v>0</v>
      </c>
      <c r="D35" s="348">
        <v>0</v>
      </c>
      <c r="E35" s="348">
        <f t="shared" si="2"/>
        <v>0</v>
      </c>
      <c r="F35" s="348">
        <f t="shared" si="3"/>
        <v>0</v>
      </c>
      <c r="G35" s="348">
        <v>0</v>
      </c>
      <c r="H35" s="348">
        <v>0</v>
      </c>
      <c r="I35" s="348">
        <v>0</v>
      </c>
      <c r="J35" s="348">
        <v>0</v>
      </c>
      <c r="K35" s="348">
        <v>0</v>
      </c>
      <c r="L35" s="348">
        <f t="shared" si="6"/>
        <v>0</v>
      </c>
      <c r="M35" s="348">
        <v>0</v>
      </c>
      <c r="N35" s="351">
        <v>0</v>
      </c>
      <c r="O35" s="348">
        <v>0</v>
      </c>
      <c r="P35" s="348">
        <v>0</v>
      </c>
      <c r="Q35" s="348">
        <v>0</v>
      </c>
      <c r="R35" s="348">
        <v>0</v>
      </c>
      <c r="S35" s="348">
        <v>0</v>
      </c>
      <c r="T35" s="348">
        <v>0</v>
      </c>
      <c r="U35" s="348">
        <v>0</v>
      </c>
      <c r="V35" s="348">
        <v>0</v>
      </c>
      <c r="W35" s="348">
        <v>0</v>
      </c>
      <c r="X35" s="348">
        <v>0</v>
      </c>
      <c r="Y35" s="348">
        <v>0</v>
      </c>
      <c r="Z35" s="348">
        <v>0</v>
      </c>
      <c r="AA35" s="348">
        <v>0</v>
      </c>
      <c r="AB35" s="349">
        <v>0</v>
      </c>
      <c r="AC35" s="349">
        <v>0</v>
      </c>
      <c r="AD35" s="349">
        <v>0</v>
      </c>
      <c r="AE35" s="349">
        <v>0</v>
      </c>
      <c r="AF35" s="348">
        <f t="shared" si="4"/>
        <v>0</v>
      </c>
      <c r="AG35" s="355">
        <f t="shared" si="5"/>
        <v>0</v>
      </c>
    </row>
    <row r="36" spans="1:33" ht="31.5" x14ac:dyDescent="0.25">
      <c r="A36" s="84" t="s">
        <v>163</v>
      </c>
      <c r="B36" s="83" t="s">
        <v>162</v>
      </c>
      <c r="C36" s="352">
        <v>0</v>
      </c>
      <c r="D36" s="348">
        <v>0</v>
      </c>
      <c r="E36" s="348">
        <f t="shared" si="2"/>
        <v>0</v>
      </c>
      <c r="F36" s="348">
        <f t="shared" si="3"/>
        <v>0</v>
      </c>
      <c r="G36" s="349">
        <v>0</v>
      </c>
      <c r="H36" s="349">
        <v>0</v>
      </c>
      <c r="I36" s="349">
        <v>0</v>
      </c>
      <c r="J36" s="349">
        <v>0</v>
      </c>
      <c r="K36" s="349">
        <v>0</v>
      </c>
      <c r="L36" s="349">
        <f t="shared" si="6"/>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49">
        <v>0</v>
      </c>
      <c r="AC36" s="349">
        <v>0</v>
      </c>
      <c r="AD36" s="349">
        <v>0</v>
      </c>
      <c r="AE36" s="349">
        <v>0</v>
      </c>
      <c r="AF36" s="348">
        <f t="shared" si="4"/>
        <v>0</v>
      </c>
      <c r="AG36" s="355">
        <f t="shared" si="5"/>
        <v>0</v>
      </c>
    </row>
    <row r="37" spans="1:33" x14ac:dyDescent="0.25">
      <c r="A37" s="84" t="s">
        <v>161</v>
      </c>
      <c r="B37" s="83" t="s">
        <v>151</v>
      </c>
      <c r="C37" s="352">
        <v>0.8</v>
      </c>
      <c r="D37" s="348">
        <v>0</v>
      </c>
      <c r="E37" s="348">
        <f t="shared" si="2"/>
        <v>0.8</v>
      </c>
      <c r="F37" s="348">
        <f t="shared" si="3"/>
        <v>0.8</v>
      </c>
      <c r="G37" s="349">
        <v>0</v>
      </c>
      <c r="H37" s="349">
        <v>0</v>
      </c>
      <c r="I37" s="349">
        <v>0</v>
      </c>
      <c r="J37" s="349">
        <v>0</v>
      </c>
      <c r="K37" s="349">
        <v>0</v>
      </c>
      <c r="L37" s="349">
        <f t="shared" si="6"/>
        <v>0.8</v>
      </c>
      <c r="M37" s="349">
        <v>0</v>
      </c>
      <c r="N37" s="350">
        <v>0</v>
      </c>
      <c r="O37" s="349">
        <v>0</v>
      </c>
      <c r="P37" s="349">
        <v>0</v>
      </c>
      <c r="Q37" s="349">
        <v>0</v>
      </c>
      <c r="R37" s="349">
        <v>0</v>
      </c>
      <c r="S37" s="349">
        <v>0</v>
      </c>
      <c r="T37" s="349">
        <v>0</v>
      </c>
      <c r="U37" s="349">
        <v>0</v>
      </c>
      <c r="V37" s="349">
        <v>0</v>
      </c>
      <c r="W37" s="349">
        <v>0</v>
      </c>
      <c r="X37" s="349">
        <v>0</v>
      </c>
      <c r="Y37" s="349">
        <v>0</v>
      </c>
      <c r="Z37" s="349">
        <v>0</v>
      </c>
      <c r="AA37" s="349">
        <v>0</v>
      </c>
      <c r="AB37" s="349">
        <v>0</v>
      </c>
      <c r="AC37" s="349">
        <v>0</v>
      </c>
      <c r="AD37" s="349">
        <v>0</v>
      </c>
      <c r="AE37" s="349">
        <v>0</v>
      </c>
      <c r="AF37" s="348">
        <f t="shared" si="4"/>
        <v>0.8</v>
      </c>
      <c r="AG37" s="355">
        <f t="shared" si="5"/>
        <v>0</v>
      </c>
    </row>
    <row r="38" spans="1:33" x14ac:dyDescent="0.25">
      <c r="A38" s="84" t="s">
        <v>160</v>
      </c>
      <c r="B38" s="83" t="s">
        <v>149</v>
      </c>
      <c r="C38" s="352">
        <v>0</v>
      </c>
      <c r="D38" s="348">
        <v>0</v>
      </c>
      <c r="E38" s="348">
        <f t="shared" si="2"/>
        <v>0</v>
      </c>
      <c r="F38" s="348">
        <f t="shared" si="3"/>
        <v>0</v>
      </c>
      <c r="G38" s="349">
        <v>0</v>
      </c>
      <c r="H38" s="349">
        <v>0</v>
      </c>
      <c r="I38" s="349">
        <v>0</v>
      </c>
      <c r="J38" s="349">
        <v>0</v>
      </c>
      <c r="K38" s="349">
        <v>0</v>
      </c>
      <c r="L38" s="349">
        <f t="shared" si="6"/>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49">
        <v>0</v>
      </c>
      <c r="AC38" s="349">
        <v>0</v>
      </c>
      <c r="AD38" s="349">
        <v>0</v>
      </c>
      <c r="AE38" s="349">
        <v>0</v>
      </c>
      <c r="AF38" s="348">
        <f t="shared" si="4"/>
        <v>0</v>
      </c>
      <c r="AG38" s="355">
        <f t="shared" si="5"/>
        <v>0</v>
      </c>
    </row>
    <row r="39" spans="1:33" ht="31.5" x14ac:dyDescent="0.25">
      <c r="A39" s="84" t="s">
        <v>159</v>
      </c>
      <c r="B39" s="55" t="s">
        <v>147</v>
      </c>
      <c r="C39" s="348">
        <v>0</v>
      </c>
      <c r="D39" s="348">
        <v>0</v>
      </c>
      <c r="E39" s="348">
        <f t="shared" si="2"/>
        <v>0</v>
      </c>
      <c r="F39" s="348">
        <f t="shared" si="3"/>
        <v>0</v>
      </c>
      <c r="G39" s="349">
        <v>0</v>
      </c>
      <c r="H39" s="349">
        <v>0</v>
      </c>
      <c r="I39" s="349">
        <v>0</v>
      </c>
      <c r="J39" s="349">
        <v>0</v>
      </c>
      <c r="K39" s="349">
        <v>0</v>
      </c>
      <c r="L39" s="349">
        <f t="shared" si="6"/>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49">
        <v>0</v>
      </c>
      <c r="AC39" s="349">
        <v>0</v>
      </c>
      <c r="AD39" s="349">
        <v>0</v>
      </c>
      <c r="AE39" s="349">
        <v>0</v>
      </c>
      <c r="AF39" s="348">
        <f t="shared" si="4"/>
        <v>0</v>
      </c>
      <c r="AG39" s="355">
        <f t="shared" si="5"/>
        <v>0</v>
      </c>
    </row>
    <row r="40" spans="1:33" ht="31.5" x14ac:dyDescent="0.25">
      <c r="A40" s="84" t="s">
        <v>158</v>
      </c>
      <c r="B40" s="55" t="s">
        <v>145</v>
      </c>
      <c r="C40" s="348">
        <v>0</v>
      </c>
      <c r="D40" s="348">
        <v>0</v>
      </c>
      <c r="E40" s="348">
        <f t="shared" si="2"/>
        <v>0</v>
      </c>
      <c r="F40" s="348">
        <f t="shared" si="3"/>
        <v>0</v>
      </c>
      <c r="G40" s="349">
        <v>0</v>
      </c>
      <c r="H40" s="349">
        <v>0</v>
      </c>
      <c r="I40" s="349">
        <v>0</v>
      </c>
      <c r="J40" s="349">
        <v>0</v>
      </c>
      <c r="K40" s="349">
        <v>0</v>
      </c>
      <c r="L40" s="349">
        <f t="shared" si="6"/>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49">
        <v>0</v>
      </c>
      <c r="AC40" s="349">
        <v>0</v>
      </c>
      <c r="AD40" s="349">
        <v>0</v>
      </c>
      <c r="AE40" s="349">
        <v>0</v>
      </c>
      <c r="AF40" s="348">
        <f t="shared" si="4"/>
        <v>0</v>
      </c>
      <c r="AG40" s="355">
        <f t="shared" si="5"/>
        <v>0</v>
      </c>
    </row>
    <row r="41" spans="1:33" x14ac:dyDescent="0.25">
      <c r="A41" s="84" t="s">
        <v>157</v>
      </c>
      <c r="B41" s="55" t="s">
        <v>143</v>
      </c>
      <c r="C41" s="348">
        <v>4.0999999999999996</v>
      </c>
      <c r="D41" s="348">
        <v>0</v>
      </c>
      <c r="E41" s="348">
        <f t="shared" si="2"/>
        <v>4.0999999999999996</v>
      </c>
      <c r="F41" s="348">
        <f t="shared" si="3"/>
        <v>4.0999999999999996</v>
      </c>
      <c r="G41" s="349">
        <v>0</v>
      </c>
      <c r="H41" s="349">
        <v>0</v>
      </c>
      <c r="I41" s="349">
        <v>0</v>
      </c>
      <c r="J41" s="349">
        <v>0</v>
      </c>
      <c r="K41" s="349">
        <v>0</v>
      </c>
      <c r="L41" s="349">
        <f t="shared" si="6"/>
        <v>4.0999999999999996</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49">
        <v>0</v>
      </c>
      <c r="AC41" s="349">
        <v>0</v>
      </c>
      <c r="AD41" s="349">
        <v>0</v>
      </c>
      <c r="AE41" s="349">
        <v>0</v>
      </c>
      <c r="AF41" s="348">
        <f t="shared" si="4"/>
        <v>4.0999999999999996</v>
      </c>
      <c r="AG41" s="355">
        <f t="shared" si="5"/>
        <v>0</v>
      </c>
    </row>
    <row r="42" spans="1:33" ht="18.75" x14ac:dyDescent="0.25">
      <c r="A42" s="84" t="s">
        <v>156</v>
      </c>
      <c r="B42" s="83" t="s">
        <v>141</v>
      </c>
      <c r="C42" s="352">
        <v>0</v>
      </c>
      <c r="D42" s="348">
        <v>0</v>
      </c>
      <c r="E42" s="348">
        <f t="shared" si="2"/>
        <v>0</v>
      </c>
      <c r="F42" s="348">
        <f t="shared" si="3"/>
        <v>0</v>
      </c>
      <c r="G42" s="349">
        <v>0</v>
      </c>
      <c r="H42" s="349">
        <v>0</v>
      </c>
      <c r="I42" s="349">
        <v>0</v>
      </c>
      <c r="J42" s="349">
        <v>0</v>
      </c>
      <c r="K42" s="349">
        <v>0</v>
      </c>
      <c r="L42" s="349">
        <f t="shared" si="6"/>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49">
        <v>0</v>
      </c>
      <c r="AC42" s="349">
        <v>0</v>
      </c>
      <c r="AD42" s="349">
        <v>0</v>
      </c>
      <c r="AE42" s="349">
        <v>0</v>
      </c>
      <c r="AF42" s="348">
        <f t="shared" si="4"/>
        <v>0</v>
      </c>
      <c r="AG42" s="355">
        <f t="shared" si="5"/>
        <v>0</v>
      </c>
    </row>
    <row r="43" spans="1:33" x14ac:dyDescent="0.25">
      <c r="A43" s="87" t="s">
        <v>61</v>
      </c>
      <c r="B43" s="86" t="s">
        <v>155</v>
      </c>
      <c r="C43" s="348">
        <v>0</v>
      </c>
      <c r="D43" s="348">
        <v>0</v>
      </c>
      <c r="E43" s="348">
        <f t="shared" si="2"/>
        <v>0</v>
      </c>
      <c r="F43" s="348">
        <f t="shared" si="3"/>
        <v>0</v>
      </c>
      <c r="G43" s="348">
        <v>0</v>
      </c>
      <c r="H43" s="348">
        <v>0</v>
      </c>
      <c r="I43" s="348">
        <v>0</v>
      </c>
      <c r="J43" s="348">
        <v>0</v>
      </c>
      <c r="K43" s="348">
        <v>0</v>
      </c>
      <c r="L43" s="348">
        <f t="shared" si="6"/>
        <v>0</v>
      </c>
      <c r="M43" s="348">
        <v>0</v>
      </c>
      <c r="N43" s="351">
        <v>0</v>
      </c>
      <c r="O43" s="348">
        <v>0</v>
      </c>
      <c r="P43" s="348">
        <v>0</v>
      </c>
      <c r="Q43" s="348">
        <v>0</v>
      </c>
      <c r="R43" s="348">
        <v>0</v>
      </c>
      <c r="S43" s="348">
        <v>0</v>
      </c>
      <c r="T43" s="348">
        <v>0</v>
      </c>
      <c r="U43" s="348">
        <v>0</v>
      </c>
      <c r="V43" s="348">
        <v>0</v>
      </c>
      <c r="W43" s="348">
        <v>0</v>
      </c>
      <c r="X43" s="348">
        <v>0</v>
      </c>
      <c r="Y43" s="348">
        <v>0</v>
      </c>
      <c r="Z43" s="348">
        <v>0</v>
      </c>
      <c r="AA43" s="348">
        <v>0</v>
      </c>
      <c r="AB43" s="349">
        <v>0</v>
      </c>
      <c r="AC43" s="349">
        <v>0</v>
      </c>
      <c r="AD43" s="349">
        <v>0</v>
      </c>
      <c r="AE43" s="349">
        <v>0</v>
      </c>
      <c r="AF43" s="348">
        <f t="shared" si="4"/>
        <v>0</v>
      </c>
      <c r="AG43" s="355">
        <f t="shared" si="5"/>
        <v>0</v>
      </c>
    </row>
    <row r="44" spans="1:33" x14ac:dyDescent="0.25">
      <c r="A44" s="84" t="s">
        <v>154</v>
      </c>
      <c r="B44" s="55" t="s">
        <v>153</v>
      </c>
      <c r="C44" s="348">
        <v>0</v>
      </c>
      <c r="D44" s="348">
        <v>0</v>
      </c>
      <c r="E44" s="348">
        <f t="shared" si="2"/>
        <v>0</v>
      </c>
      <c r="F44" s="348">
        <f t="shared" si="3"/>
        <v>0</v>
      </c>
      <c r="G44" s="349">
        <v>0</v>
      </c>
      <c r="H44" s="349">
        <v>0</v>
      </c>
      <c r="I44" s="349">
        <v>0</v>
      </c>
      <c r="J44" s="349">
        <v>0</v>
      </c>
      <c r="K44" s="349">
        <v>0</v>
      </c>
      <c r="L44" s="349">
        <f t="shared" si="6"/>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49">
        <v>0</v>
      </c>
      <c r="AC44" s="349">
        <v>0</v>
      </c>
      <c r="AD44" s="349">
        <v>0</v>
      </c>
      <c r="AE44" s="349">
        <v>0</v>
      </c>
      <c r="AF44" s="348">
        <f t="shared" si="4"/>
        <v>0</v>
      </c>
      <c r="AG44" s="355">
        <f t="shared" si="5"/>
        <v>0</v>
      </c>
    </row>
    <row r="45" spans="1:33" x14ac:dyDescent="0.25">
      <c r="A45" s="84" t="s">
        <v>152</v>
      </c>
      <c r="B45" s="55" t="s">
        <v>151</v>
      </c>
      <c r="C45" s="348">
        <f>C37</f>
        <v>0.8</v>
      </c>
      <c r="D45" s="348">
        <v>0</v>
      </c>
      <c r="E45" s="348">
        <f t="shared" si="2"/>
        <v>0.8</v>
      </c>
      <c r="F45" s="348">
        <f t="shared" si="3"/>
        <v>0.8</v>
      </c>
      <c r="G45" s="349">
        <v>0</v>
      </c>
      <c r="H45" s="349">
        <v>0</v>
      </c>
      <c r="I45" s="349">
        <v>0</v>
      </c>
      <c r="J45" s="349">
        <v>0</v>
      </c>
      <c r="K45" s="349">
        <v>0</v>
      </c>
      <c r="L45" s="349">
        <f t="shared" si="6"/>
        <v>0.8</v>
      </c>
      <c r="M45" s="349">
        <v>0</v>
      </c>
      <c r="N45" s="350">
        <v>0</v>
      </c>
      <c r="O45" s="349">
        <v>0</v>
      </c>
      <c r="P45" s="349">
        <v>0</v>
      </c>
      <c r="Q45" s="349">
        <v>0</v>
      </c>
      <c r="R45" s="349">
        <v>0</v>
      </c>
      <c r="S45" s="349">
        <v>0</v>
      </c>
      <c r="T45" s="349">
        <v>0</v>
      </c>
      <c r="U45" s="349">
        <v>0</v>
      </c>
      <c r="V45" s="349">
        <v>0</v>
      </c>
      <c r="W45" s="349">
        <v>0</v>
      </c>
      <c r="X45" s="349">
        <v>0</v>
      </c>
      <c r="Y45" s="349">
        <v>0</v>
      </c>
      <c r="Z45" s="349">
        <v>0</v>
      </c>
      <c r="AA45" s="349">
        <v>0</v>
      </c>
      <c r="AB45" s="349">
        <v>0</v>
      </c>
      <c r="AC45" s="349">
        <v>0</v>
      </c>
      <c r="AD45" s="349">
        <v>0</v>
      </c>
      <c r="AE45" s="349">
        <v>0</v>
      </c>
      <c r="AF45" s="348">
        <f t="shared" si="4"/>
        <v>0.8</v>
      </c>
      <c r="AG45" s="355">
        <f t="shared" si="5"/>
        <v>0</v>
      </c>
    </row>
    <row r="46" spans="1:33" x14ac:dyDescent="0.25">
      <c r="A46" s="84" t="s">
        <v>150</v>
      </c>
      <c r="B46" s="55" t="s">
        <v>149</v>
      </c>
      <c r="C46" s="348">
        <f t="shared" ref="C46:C49" si="7">C38</f>
        <v>0</v>
      </c>
      <c r="D46" s="348">
        <v>0</v>
      </c>
      <c r="E46" s="348">
        <f t="shared" si="2"/>
        <v>0</v>
      </c>
      <c r="F46" s="348">
        <f t="shared" si="3"/>
        <v>0</v>
      </c>
      <c r="G46" s="349">
        <v>0</v>
      </c>
      <c r="H46" s="349">
        <v>0</v>
      </c>
      <c r="I46" s="349">
        <v>0</v>
      </c>
      <c r="J46" s="349">
        <v>0</v>
      </c>
      <c r="K46" s="349">
        <v>0</v>
      </c>
      <c r="L46" s="349">
        <f t="shared" si="6"/>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49">
        <v>0</v>
      </c>
      <c r="AC46" s="349">
        <v>0</v>
      </c>
      <c r="AD46" s="349">
        <v>0</v>
      </c>
      <c r="AE46" s="349">
        <v>0</v>
      </c>
      <c r="AF46" s="348">
        <f t="shared" si="4"/>
        <v>0</v>
      </c>
      <c r="AG46" s="355">
        <f t="shared" si="5"/>
        <v>0</v>
      </c>
    </row>
    <row r="47" spans="1:33" ht="31.5" x14ac:dyDescent="0.25">
      <c r="A47" s="84" t="s">
        <v>148</v>
      </c>
      <c r="B47" s="55" t="s">
        <v>147</v>
      </c>
      <c r="C47" s="348">
        <f t="shared" si="7"/>
        <v>0</v>
      </c>
      <c r="D47" s="348">
        <v>0</v>
      </c>
      <c r="E47" s="348">
        <f t="shared" si="2"/>
        <v>0</v>
      </c>
      <c r="F47" s="348">
        <f t="shared" si="3"/>
        <v>0</v>
      </c>
      <c r="G47" s="349">
        <v>0</v>
      </c>
      <c r="H47" s="349">
        <v>0</v>
      </c>
      <c r="I47" s="349">
        <v>0</v>
      </c>
      <c r="J47" s="349">
        <v>0</v>
      </c>
      <c r="K47" s="349">
        <v>0</v>
      </c>
      <c r="L47" s="349">
        <f t="shared" si="6"/>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49">
        <v>0</v>
      </c>
      <c r="AC47" s="349">
        <v>0</v>
      </c>
      <c r="AD47" s="349">
        <v>0</v>
      </c>
      <c r="AE47" s="349">
        <v>0</v>
      </c>
      <c r="AF47" s="348">
        <f t="shared" si="4"/>
        <v>0</v>
      </c>
      <c r="AG47" s="355">
        <f t="shared" si="5"/>
        <v>0</v>
      </c>
    </row>
    <row r="48" spans="1:33" ht="31.5" x14ac:dyDescent="0.25">
      <c r="A48" s="84" t="s">
        <v>146</v>
      </c>
      <c r="B48" s="55" t="s">
        <v>145</v>
      </c>
      <c r="C48" s="348">
        <f t="shared" si="7"/>
        <v>0</v>
      </c>
      <c r="D48" s="348">
        <v>0</v>
      </c>
      <c r="E48" s="348">
        <f t="shared" si="2"/>
        <v>0</v>
      </c>
      <c r="F48" s="348">
        <f t="shared" si="3"/>
        <v>0</v>
      </c>
      <c r="G48" s="349">
        <v>0</v>
      </c>
      <c r="H48" s="349">
        <v>0</v>
      </c>
      <c r="I48" s="349">
        <v>0</v>
      </c>
      <c r="J48" s="349">
        <v>0</v>
      </c>
      <c r="K48" s="349">
        <v>0</v>
      </c>
      <c r="L48" s="349">
        <f t="shared" si="6"/>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49">
        <v>0</v>
      </c>
      <c r="AC48" s="349">
        <v>0</v>
      </c>
      <c r="AD48" s="349">
        <v>0</v>
      </c>
      <c r="AE48" s="349">
        <v>0</v>
      </c>
      <c r="AF48" s="348">
        <f t="shared" si="4"/>
        <v>0</v>
      </c>
      <c r="AG48" s="355">
        <f t="shared" si="5"/>
        <v>0</v>
      </c>
    </row>
    <row r="49" spans="1:33" x14ac:dyDescent="0.25">
      <c r="A49" s="84" t="s">
        <v>144</v>
      </c>
      <c r="B49" s="55" t="s">
        <v>143</v>
      </c>
      <c r="C49" s="348">
        <f t="shared" si="7"/>
        <v>4.0999999999999996</v>
      </c>
      <c r="D49" s="348">
        <v>0</v>
      </c>
      <c r="E49" s="348">
        <f t="shared" si="2"/>
        <v>4.0999999999999996</v>
      </c>
      <c r="F49" s="348">
        <f t="shared" si="3"/>
        <v>4.0999999999999996</v>
      </c>
      <c r="G49" s="349">
        <v>0</v>
      </c>
      <c r="H49" s="349">
        <v>0</v>
      </c>
      <c r="I49" s="349">
        <v>0</v>
      </c>
      <c r="J49" s="349">
        <v>0</v>
      </c>
      <c r="K49" s="349">
        <v>0</v>
      </c>
      <c r="L49" s="349">
        <f t="shared" si="6"/>
        <v>4.0999999999999996</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49">
        <v>0</v>
      </c>
      <c r="AC49" s="349">
        <v>0</v>
      </c>
      <c r="AD49" s="349">
        <v>0</v>
      </c>
      <c r="AE49" s="349">
        <v>0</v>
      </c>
      <c r="AF49" s="348">
        <f t="shared" si="4"/>
        <v>4.0999999999999996</v>
      </c>
      <c r="AG49" s="355">
        <f t="shared" si="5"/>
        <v>0</v>
      </c>
    </row>
    <row r="50" spans="1:33" ht="18.75" x14ac:dyDescent="0.25">
      <c r="A50" s="84" t="s">
        <v>142</v>
      </c>
      <c r="B50" s="83" t="s">
        <v>141</v>
      </c>
      <c r="C50" s="352">
        <v>0</v>
      </c>
      <c r="D50" s="348">
        <v>0</v>
      </c>
      <c r="E50" s="348">
        <f t="shared" si="2"/>
        <v>0</v>
      </c>
      <c r="F50" s="348">
        <f t="shared" si="3"/>
        <v>0</v>
      </c>
      <c r="G50" s="349">
        <v>0</v>
      </c>
      <c r="H50" s="349">
        <v>0</v>
      </c>
      <c r="I50" s="349">
        <v>0</v>
      </c>
      <c r="J50" s="349">
        <v>0</v>
      </c>
      <c r="K50" s="349">
        <v>0</v>
      </c>
      <c r="L50" s="349">
        <f t="shared" si="6"/>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49">
        <v>0</v>
      </c>
      <c r="AC50" s="349">
        <v>0</v>
      </c>
      <c r="AD50" s="349">
        <v>0</v>
      </c>
      <c r="AE50" s="349">
        <v>0</v>
      </c>
      <c r="AF50" s="348">
        <f t="shared" si="4"/>
        <v>0</v>
      </c>
      <c r="AG50" s="355">
        <f t="shared" si="5"/>
        <v>0</v>
      </c>
    </row>
    <row r="51" spans="1:33" ht="35.25" customHeight="1" x14ac:dyDescent="0.25">
      <c r="A51" s="87" t="s">
        <v>59</v>
      </c>
      <c r="B51" s="86" t="s">
        <v>140</v>
      </c>
      <c r="C51" s="348">
        <v>0</v>
      </c>
      <c r="D51" s="348">
        <v>0</v>
      </c>
      <c r="E51" s="348">
        <f t="shared" si="2"/>
        <v>0</v>
      </c>
      <c r="F51" s="348">
        <f t="shared" si="3"/>
        <v>0</v>
      </c>
      <c r="G51" s="348">
        <v>0</v>
      </c>
      <c r="H51" s="348">
        <v>0</v>
      </c>
      <c r="I51" s="348">
        <v>0</v>
      </c>
      <c r="J51" s="348">
        <v>0</v>
      </c>
      <c r="K51" s="348">
        <v>0</v>
      </c>
      <c r="L51" s="348">
        <f t="shared" si="6"/>
        <v>0</v>
      </c>
      <c r="M51" s="348">
        <v>0</v>
      </c>
      <c r="N51" s="351">
        <v>0</v>
      </c>
      <c r="O51" s="348">
        <v>0</v>
      </c>
      <c r="P51" s="348">
        <v>0</v>
      </c>
      <c r="Q51" s="348">
        <v>0</v>
      </c>
      <c r="R51" s="348">
        <v>0</v>
      </c>
      <c r="S51" s="348">
        <v>0</v>
      </c>
      <c r="T51" s="348">
        <v>0</v>
      </c>
      <c r="U51" s="348">
        <v>0</v>
      </c>
      <c r="V51" s="348">
        <v>0</v>
      </c>
      <c r="W51" s="348">
        <v>0</v>
      </c>
      <c r="X51" s="348">
        <v>0</v>
      </c>
      <c r="Y51" s="348">
        <v>0</v>
      </c>
      <c r="Z51" s="348">
        <v>0</v>
      </c>
      <c r="AA51" s="348">
        <v>0</v>
      </c>
      <c r="AB51" s="349">
        <v>0</v>
      </c>
      <c r="AC51" s="349">
        <v>0</v>
      </c>
      <c r="AD51" s="349">
        <v>0</v>
      </c>
      <c r="AE51" s="349">
        <v>0</v>
      </c>
      <c r="AF51" s="348">
        <f t="shared" si="4"/>
        <v>0</v>
      </c>
      <c r="AG51" s="355">
        <f t="shared" si="5"/>
        <v>0</v>
      </c>
    </row>
    <row r="52" spans="1:33" x14ac:dyDescent="0.25">
      <c r="A52" s="84" t="s">
        <v>139</v>
      </c>
      <c r="B52" s="55" t="s">
        <v>138</v>
      </c>
      <c r="C52" s="348">
        <f>C30</f>
        <v>14.257930698102705</v>
      </c>
      <c r="D52" s="348">
        <v>0</v>
      </c>
      <c r="E52" s="348">
        <f t="shared" si="2"/>
        <v>14.257930698102705</v>
      </c>
      <c r="F52" s="348">
        <f t="shared" si="3"/>
        <v>14.257930698102705</v>
      </c>
      <c r="G52" s="349">
        <v>0</v>
      </c>
      <c r="H52" s="349">
        <v>0</v>
      </c>
      <c r="I52" s="349">
        <v>0</v>
      </c>
      <c r="J52" s="349">
        <v>0</v>
      </c>
      <c r="K52" s="349">
        <v>0</v>
      </c>
      <c r="L52" s="349">
        <f t="shared" si="6"/>
        <v>14.257930698102705</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49">
        <v>0</v>
      </c>
      <c r="AC52" s="349">
        <v>0</v>
      </c>
      <c r="AD52" s="349">
        <v>0</v>
      </c>
      <c r="AE52" s="349">
        <v>0</v>
      </c>
      <c r="AF52" s="348">
        <f t="shared" si="4"/>
        <v>14.257930698102705</v>
      </c>
      <c r="AG52" s="355">
        <f t="shared" si="5"/>
        <v>0</v>
      </c>
    </row>
    <row r="53" spans="1:33" x14ac:dyDescent="0.25">
      <c r="A53" s="84" t="s">
        <v>137</v>
      </c>
      <c r="B53" s="55" t="s">
        <v>131</v>
      </c>
      <c r="C53" s="348">
        <v>0</v>
      </c>
      <c r="D53" s="348">
        <v>0</v>
      </c>
      <c r="E53" s="348">
        <f t="shared" si="2"/>
        <v>0</v>
      </c>
      <c r="F53" s="348">
        <f t="shared" si="3"/>
        <v>0</v>
      </c>
      <c r="G53" s="349">
        <v>0</v>
      </c>
      <c r="H53" s="349">
        <v>0</v>
      </c>
      <c r="I53" s="349">
        <v>0</v>
      </c>
      <c r="J53" s="349">
        <v>0</v>
      </c>
      <c r="K53" s="349">
        <v>0</v>
      </c>
      <c r="L53" s="349">
        <f t="shared" si="6"/>
        <v>0</v>
      </c>
      <c r="M53" s="349">
        <v>0</v>
      </c>
      <c r="N53" s="350">
        <v>0</v>
      </c>
      <c r="O53" s="349">
        <v>0</v>
      </c>
      <c r="P53" s="349">
        <v>0</v>
      </c>
      <c r="Q53" s="349">
        <v>0</v>
      </c>
      <c r="R53" s="349">
        <v>0</v>
      </c>
      <c r="S53" s="349">
        <v>0</v>
      </c>
      <c r="T53" s="349">
        <v>0</v>
      </c>
      <c r="U53" s="349">
        <v>0</v>
      </c>
      <c r="V53" s="349">
        <v>0</v>
      </c>
      <c r="W53" s="349">
        <v>0</v>
      </c>
      <c r="X53" s="349">
        <v>0</v>
      </c>
      <c r="Y53" s="349">
        <v>0</v>
      </c>
      <c r="Z53" s="349">
        <v>0</v>
      </c>
      <c r="AA53" s="349">
        <v>0</v>
      </c>
      <c r="AB53" s="349">
        <v>0</v>
      </c>
      <c r="AC53" s="349">
        <v>0</v>
      </c>
      <c r="AD53" s="349">
        <v>0</v>
      </c>
      <c r="AE53" s="349">
        <v>0</v>
      </c>
      <c r="AF53" s="348">
        <f t="shared" si="4"/>
        <v>0</v>
      </c>
      <c r="AG53" s="355">
        <f t="shared" si="5"/>
        <v>0</v>
      </c>
    </row>
    <row r="54" spans="1:33" x14ac:dyDescent="0.25">
      <c r="A54" s="84" t="s">
        <v>136</v>
      </c>
      <c r="B54" s="83" t="s">
        <v>130</v>
      </c>
      <c r="C54" s="352">
        <f>C45</f>
        <v>0.8</v>
      </c>
      <c r="D54" s="348">
        <v>0</v>
      </c>
      <c r="E54" s="348">
        <f t="shared" si="2"/>
        <v>0.8</v>
      </c>
      <c r="F54" s="348">
        <f t="shared" si="3"/>
        <v>0.8</v>
      </c>
      <c r="G54" s="349">
        <v>0</v>
      </c>
      <c r="H54" s="349">
        <v>0</v>
      </c>
      <c r="I54" s="349">
        <v>0</v>
      </c>
      <c r="J54" s="349">
        <v>0</v>
      </c>
      <c r="K54" s="349">
        <v>0</v>
      </c>
      <c r="L54" s="349">
        <f t="shared" si="6"/>
        <v>0.8</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8">
        <f t="shared" si="4"/>
        <v>0.8</v>
      </c>
      <c r="AG54" s="355">
        <f t="shared" si="5"/>
        <v>0</v>
      </c>
    </row>
    <row r="55" spans="1:33" x14ac:dyDescent="0.25">
      <c r="A55" s="84" t="s">
        <v>135</v>
      </c>
      <c r="B55" s="83" t="s">
        <v>129</v>
      </c>
      <c r="C55" s="352">
        <v>0</v>
      </c>
      <c r="D55" s="348">
        <v>0</v>
      </c>
      <c r="E55" s="348">
        <f t="shared" si="2"/>
        <v>0</v>
      </c>
      <c r="F55" s="348">
        <f t="shared" si="3"/>
        <v>0</v>
      </c>
      <c r="G55" s="349">
        <v>0</v>
      </c>
      <c r="H55" s="349">
        <v>0</v>
      </c>
      <c r="I55" s="349">
        <v>0</v>
      </c>
      <c r="J55" s="349">
        <v>0</v>
      </c>
      <c r="K55" s="349">
        <v>0</v>
      </c>
      <c r="L55" s="349">
        <f t="shared" si="6"/>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49">
        <v>0</v>
      </c>
      <c r="AC55" s="349">
        <v>0</v>
      </c>
      <c r="AD55" s="349">
        <v>0</v>
      </c>
      <c r="AE55" s="349">
        <v>0</v>
      </c>
      <c r="AF55" s="348">
        <f t="shared" si="4"/>
        <v>0</v>
      </c>
      <c r="AG55" s="355">
        <f t="shared" si="5"/>
        <v>0</v>
      </c>
    </row>
    <row r="56" spans="1:33" x14ac:dyDescent="0.25">
      <c r="A56" s="84" t="s">
        <v>134</v>
      </c>
      <c r="B56" s="83" t="s">
        <v>128</v>
      </c>
      <c r="C56" s="352">
        <f>C47+C48+C49</f>
        <v>4.0999999999999996</v>
      </c>
      <c r="D56" s="348">
        <v>0</v>
      </c>
      <c r="E56" s="348">
        <f t="shared" si="2"/>
        <v>4.0999999999999996</v>
      </c>
      <c r="F56" s="348">
        <f t="shared" si="3"/>
        <v>4.0999999999999996</v>
      </c>
      <c r="G56" s="349">
        <v>0</v>
      </c>
      <c r="H56" s="349">
        <v>0</v>
      </c>
      <c r="I56" s="349">
        <v>0</v>
      </c>
      <c r="J56" s="349">
        <v>0</v>
      </c>
      <c r="K56" s="349">
        <v>0</v>
      </c>
      <c r="L56" s="349">
        <f t="shared" si="6"/>
        <v>4.0999999999999996</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49">
        <v>0</v>
      </c>
      <c r="AC56" s="349">
        <v>0</v>
      </c>
      <c r="AD56" s="349">
        <v>0</v>
      </c>
      <c r="AE56" s="349">
        <v>0</v>
      </c>
      <c r="AF56" s="348">
        <f t="shared" si="4"/>
        <v>4.0999999999999996</v>
      </c>
      <c r="AG56" s="355">
        <f t="shared" si="5"/>
        <v>0</v>
      </c>
    </row>
    <row r="57" spans="1:33" ht="18.75" x14ac:dyDescent="0.25">
      <c r="A57" s="84" t="s">
        <v>133</v>
      </c>
      <c r="B57" s="83" t="s">
        <v>127</v>
      </c>
      <c r="C57" s="352">
        <v>0</v>
      </c>
      <c r="D57" s="348">
        <v>0</v>
      </c>
      <c r="E57" s="348">
        <f t="shared" si="2"/>
        <v>0</v>
      </c>
      <c r="F57" s="348">
        <f t="shared" si="3"/>
        <v>0</v>
      </c>
      <c r="G57" s="349">
        <v>0</v>
      </c>
      <c r="H57" s="349">
        <v>0</v>
      </c>
      <c r="I57" s="349">
        <v>0</v>
      </c>
      <c r="J57" s="349">
        <v>0</v>
      </c>
      <c r="K57" s="349">
        <v>0</v>
      </c>
      <c r="L57" s="349">
        <f t="shared" si="6"/>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49">
        <v>0</v>
      </c>
      <c r="AC57" s="349">
        <v>0</v>
      </c>
      <c r="AD57" s="349">
        <v>0</v>
      </c>
      <c r="AE57" s="349">
        <v>0</v>
      </c>
      <c r="AF57" s="348">
        <f t="shared" si="4"/>
        <v>0</v>
      </c>
      <c r="AG57" s="355">
        <f t="shared" si="5"/>
        <v>0</v>
      </c>
    </row>
    <row r="58" spans="1:33" ht="36.75" customHeight="1" x14ac:dyDescent="0.25">
      <c r="A58" s="87" t="s">
        <v>58</v>
      </c>
      <c r="B58" s="107" t="s">
        <v>233</v>
      </c>
      <c r="C58" s="352">
        <v>0</v>
      </c>
      <c r="D58" s="348">
        <v>0</v>
      </c>
      <c r="E58" s="348">
        <f>C58</f>
        <v>0</v>
      </c>
      <c r="F58" s="348">
        <f>E58-G58-J58</f>
        <v>0</v>
      </c>
      <c r="G58" s="348">
        <v>0</v>
      </c>
      <c r="H58" s="348">
        <v>0</v>
      </c>
      <c r="I58" s="348">
        <v>0</v>
      </c>
      <c r="J58" s="348">
        <v>0</v>
      </c>
      <c r="K58" s="348">
        <v>0</v>
      </c>
      <c r="L58" s="348">
        <v>0</v>
      </c>
      <c r="M58" s="348">
        <v>0</v>
      </c>
      <c r="N58" s="351">
        <v>0</v>
      </c>
      <c r="O58" s="348">
        <v>0</v>
      </c>
      <c r="P58" s="348">
        <v>0</v>
      </c>
      <c r="Q58" s="348">
        <v>0</v>
      </c>
      <c r="R58" s="348">
        <v>0</v>
      </c>
      <c r="S58" s="348">
        <v>0</v>
      </c>
      <c r="T58" s="348">
        <v>0</v>
      </c>
      <c r="U58" s="348">
        <v>0</v>
      </c>
      <c r="V58" s="348">
        <v>0</v>
      </c>
      <c r="W58" s="348">
        <v>0</v>
      </c>
      <c r="X58" s="348">
        <v>0</v>
      </c>
      <c r="Y58" s="348">
        <v>0</v>
      </c>
      <c r="Z58" s="348">
        <v>0</v>
      </c>
      <c r="AA58" s="348">
        <v>0</v>
      </c>
      <c r="AB58" s="349">
        <v>0</v>
      </c>
      <c r="AC58" s="349">
        <v>0</v>
      </c>
      <c r="AD58" s="349">
        <v>0</v>
      </c>
      <c r="AE58" s="349">
        <v>0</v>
      </c>
      <c r="AF58" s="348">
        <f t="shared" si="4"/>
        <v>0</v>
      </c>
      <c r="AG58" s="355">
        <f t="shared" si="5"/>
        <v>0</v>
      </c>
    </row>
    <row r="59" spans="1:33" x14ac:dyDescent="0.25">
      <c r="A59" s="87" t="s">
        <v>56</v>
      </c>
      <c r="B59" s="86" t="s">
        <v>132</v>
      </c>
      <c r="C59" s="348">
        <v>0</v>
      </c>
      <c r="D59" s="348">
        <v>0</v>
      </c>
      <c r="E59" s="348">
        <f t="shared" ref="E59:E64" si="8">C59</f>
        <v>0</v>
      </c>
      <c r="F59" s="348">
        <f t="shared" ref="F59:F64" si="9">E59-G59-J59</f>
        <v>0</v>
      </c>
      <c r="G59" s="348">
        <v>0</v>
      </c>
      <c r="H59" s="348">
        <v>0</v>
      </c>
      <c r="I59" s="348">
        <v>0</v>
      </c>
      <c r="J59" s="348">
        <v>0</v>
      </c>
      <c r="K59" s="348">
        <v>0</v>
      </c>
      <c r="L59" s="348">
        <v>0</v>
      </c>
      <c r="M59" s="348">
        <v>0</v>
      </c>
      <c r="N59" s="351">
        <v>0</v>
      </c>
      <c r="O59" s="348">
        <v>0</v>
      </c>
      <c r="P59" s="348">
        <v>0</v>
      </c>
      <c r="Q59" s="348">
        <v>0</v>
      </c>
      <c r="R59" s="348">
        <v>0</v>
      </c>
      <c r="S59" s="348">
        <v>0</v>
      </c>
      <c r="T59" s="348">
        <v>0</v>
      </c>
      <c r="U59" s="348">
        <v>0</v>
      </c>
      <c r="V59" s="348">
        <v>0</v>
      </c>
      <c r="W59" s="348">
        <v>0</v>
      </c>
      <c r="X59" s="348">
        <v>0</v>
      </c>
      <c r="Y59" s="348">
        <v>0</v>
      </c>
      <c r="Z59" s="348">
        <v>0</v>
      </c>
      <c r="AA59" s="348">
        <v>0</v>
      </c>
      <c r="AB59" s="349">
        <v>0</v>
      </c>
      <c r="AC59" s="349">
        <v>0</v>
      </c>
      <c r="AD59" s="349">
        <v>0</v>
      </c>
      <c r="AE59" s="349">
        <v>0</v>
      </c>
      <c r="AF59" s="348">
        <f t="shared" si="4"/>
        <v>0</v>
      </c>
      <c r="AG59" s="355">
        <f t="shared" si="5"/>
        <v>0</v>
      </c>
    </row>
    <row r="60" spans="1:33" x14ac:dyDescent="0.25">
      <c r="A60" s="84" t="s">
        <v>227</v>
      </c>
      <c r="B60" s="85" t="s">
        <v>153</v>
      </c>
      <c r="C60" s="353">
        <v>0</v>
      </c>
      <c r="D60" s="348">
        <v>0</v>
      </c>
      <c r="E60" s="348">
        <f t="shared" si="8"/>
        <v>0</v>
      </c>
      <c r="F60" s="348">
        <f t="shared" si="9"/>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49">
        <v>0</v>
      </c>
      <c r="AC60" s="349">
        <v>0</v>
      </c>
      <c r="AD60" s="349">
        <v>0</v>
      </c>
      <c r="AE60" s="349">
        <v>0</v>
      </c>
      <c r="AF60" s="348">
        <f t="shared" si="4"/>
        <v>0</v>
      </c>
      <c r="AG60" s="355">
        <f t="shared" si="5"/>
        <v>0</v>
      </c>
    </row>
    <row r="61" spans="1:33" x14ac:dyDescent="0.25">
      <c r="A61" s="84" t="s">
        <v>228</v>
      </c>
      <c r="B61" s="85" t="s">
        <v>151</v>
      </c>
      <c r="C61" s="353">
        <v>0</v>
      </c>
      <c r="D61" s="348">
        <v>0</v>
      </c>
      <c r="E61" s="348">
        <f t="shared" si="8"/>
        <v>0</v>
      </c>
      <c r="F61" s="348">
        <f t="shared" si="9"/>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49">
        <v>0</v>
      </c>
      <c r="AC61" s="349">
        <v>0</v>
      </c>
      <c r="AD61" s="349">
        <v>0</v>
      </c>
      <c r="AE61" s="349">
        <v>0</v>
      </c>
      <c r="AF61" s="348">
        <f t="shared" si="4"/>
        <v>0</v>
      </c>
      <c r="AG61" s="355">
        <f t="shared" si="5"/>
        <v>0</v>
      </c>
    </row>
    <row r="62" spans="1:33" x14ac:dyDescent="0.25">
      <c r="A62" s="84" t="s">
        <v>229</v>
      </c>
      <c r="B62" s="85" t="s">
        <v>149</v>
      </c>
      <c r="C62" s="353">
        <v>0</v>
      </c>
      <c r="D62" s="348">
        <v>0</v>
      </c>
      <c r="E62" s="348">
        <f t="shared" si="8"/>
        <v>0</v>
      </c>
      <c r="F62" s="348">
        <f t="shared" si="9"/>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49">
        <v>0</v>
      </c>
      <c r="AC62" s="349">
        <v>0</v>
      </c>
      <c r="AD62" s="349">
        <v>0</v>
      </c>
      <c r="AE62" s="349">
        <v>0</v>
      </c>
      <c r="AF62" s="348">
        <f t="shared" si="4"/>
        <v>0</v>
      </c>
      <c r="AG62" s="355">
        <f t="shared" si="5"/>
        <v>0</v>
      </c>
    </row>
    <row r="63" spans="1:33" x14ac:dyDescent="0.25">
      <c r="A63" s="84" t="s">
        <v>230</v>
      </c>
      <c r="B63" s="85" t="s">
        <v>232</v>
      </c>
      <c r="C63" s="353">
        <v>0</v>
      </c>
      <c r="D63" s="348">
        <v>0</v>
      </c>
      <c r="E63" s="348">
        <f t="shared" si="8"/>
        <v>0</v>
      </c>
      <c r="F63" s="348">
        <f t="shared" si="9"/>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49">
        <v>0</v>
      </c>
      <c r="AC63" s="349">
        <v>0</v>
      </c>
      <c r="AD63" s="349">
        <v>0</v>
      </c>
      <c r="AE63" s="349">
        <v>0</v>
      </c>
      <c r="AF63" s="348">
        <f t="shared" si="4"/>
        <v>0</v>
      </c>
      <c r="AG63" s="355">
        <f t="shared" si="5"/>
        <v>0</v>
      </c>
    </row>
    <row r="64" spans="1:33" ht="18.75" x14ac:dyDescent="0.25">
      <c r="A64" s="84" t="s">
        <v>231</v>
      </c>
      <c r="B64" s="83" t="s">
        <v>127</v>
      </c>
      <c r="C64" s="352">
        <v>0</v>
      </c>
      <c r="D64" s="348">
        <v>0</v>
      </c>
      <c r="E64" s="348">
        <f t="shared" si="8"/>
        <v>0</v>
      </c>
      <c r="F64" s="348">
        <f t="shared" si="9"/>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49">
        <v>0</v>
      </c>
      <c r="AC64" s="349">
        <v>0</v>
      </c>
      <c r="AD64" s="349">
        <v>0</v>
      </c>
      <c r="AE64" s="349">
        <v>0</v>
      </c>
      <c r="AF64" s="348">
        <f t="shared" si="4"/>
        <v>0</v>
      </c>
      <c r="AG64" s="355">
        <f t="shared" si="5"/>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60"/>
      <c r="C66" s="460"/>
      <c r="D66" s="460"/>
      <c r="E66" s="460"/>
      <c r="F66" s="460"/>
      <c r="G66" s="460"/>
      <c r="H66" s="460"/>
      <c r="I66" s="460"/>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61"/>
      <c r="C68" s="461"/>
      <c r="D68" s="461"/>
      <c r="E68" s="461"/>
      <c r="F68" s="461"/>
      <c r="G68" s="461"/>
      <c r="H68" s="461"/>
      <c r="I68" s="461"/>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60"/>
      <c r="C70" s="460"/>
      <c r="D70" s="460"/>
      <c r="E70" s="460"/>
      <c r="F70" s="460"/>
      <c r="G70" s="460"/>
      <c r="H70" s="460"/>
      <c r="I70" s="460"/>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60"/>
      <c r="C72" s="460"/>
      <c r="D72" s="460"/>
      <c r="E72" s="460"/>
      <c r="F72" s="460"/>
      <c r="G72" s="460"/>
      <c r="H72" s="460"/>
      <c r="I72" s="460"/>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61"/>
      <c r="C73" s="461"/>
      <c r="D73" s="461"/>
      <c r="E73" s="461"/>
      <c r="F73" s="461"/>
      <c r="G73" s="461"/>
      <c r="H73" s="461"/>
      <c r="I73" s="461"/>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60"/>
      <c r="C74" s="460"/>
      <c r="D74" s="460"/>
      <c r="E74" s="460"/>
      <c r="F74" s="460"/>
      <c r="G74" s="460"/>
      <c r="H74" s="460"/>
      <c r="I74" s="460"/>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8"/>
      <c r="C75" s="458"/>
      <c r="D75" s="458"/>
      <c r="E75" s="458"/>
      <c r="F75" s="458"/>
      <c r="G75" s="458"/>
      <c r="H75" s="458"/>
      <c r="I75" s="458"/>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9"/>
      <c r="C77" s="459"/>
      <c r="D77" s="459"/>
      <c r="E77" s="459"/>
      <c r="F77" s="459"/>
      <c r="G77" s="459"/>
      <c r="H77" s="459"/>
      <c r="I77" s="459"/>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8" priority="2" operator="notEqual">
      <formula>0</formula>
    </cfRule>
  </conditionalFormatting>
  <conditionalFormatting sqref="AG24:AG64">
    <cfRule type="cellIs" dxfId="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9</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1" t="s">
        <v>8</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x14ac:dyDescent="0.25">
      <c r="A12" s="378" t="str">
        <f>'1. паспорт местоположение'!A12:C12</f>
        <v>F_prj_111001_49220</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1" t="s">
        <v>7</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x14ac:dyDescent="0.25">
      <c r="A15" s="378" t="str">
        <f>'1. паспорт местоположение'!A15</f>
        <v>Строительство КТПн 10/0.4 кВ, двух КЛ 10 кВ от РП-XXXIX до КТПн, двух КЛ 1 кВ от КТПн до РЩ по ул.Аксакова в г.Калининграде</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71" t="s">
        <v>6</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26" customFormat="1" x14ac:dyDescent="0.25">
      <c r="A21" s="462" t="s">
        <v>520</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52</v>
      </c>
      <c r="B22" s="466" t="s">
        <v>24</v>
      </c>
      <c r="C22" s="463" t="s">
        <v>51</v>
      </c>
      <c r="D22" s="463" t="s">
        <v>50</v>
      </c>
      <c r="E22" s="469" t="s">
        <v>531</v>
      </c>
      <c r="F22" s="470"/>
      <c r="G22" s="470"/>
      <c r="H22" s="470"/>
      <c r="I22" s="470"/>
      <c r="J22" s="470"/>
      <c r="K22" s="470"/>
      <c r="L22" s="471"/>
      <c r="M22" s="463" t="s">
        <v>49</v>
      </c>
      <c r="N22" s="463" t="s">
        <v>48</v>
      </c>
      <c r="O22" s="463" t="s">
        <v>47</v>
      </c>
      <c r="P22" s="472" t="s">
        <v>263</v>
      </c>
      <c r="Q22" s="472" t="s">
        <v>46</v>
      </c>
      <c r="R22" s="472" t="s">
        <v>45</v>
      </c>
      <c r="S22" s="472" t="s">
        <v>44</v>
      </c>
      <c r="T22" s="472"/>
      <c r="U22" s="473" t="s">
        <v>43</v>
      </c>
      <c r="V22" s="473" t="s">
        <v>42</v>
      </c>
      <c r="W22" s="472" t="s">
        <v>41</v>
      </c>
      <c r="X22" s="472" t="s">
        <v>40</v>
      </c>
      <c r="Y22" s="472" t="s">
        <v>39</v>
      </c>
      <c r="Z22" s="486" t="s">
        <v>38</v>
      </c>
      <c r="AA22" s="472" t="s">
        <v>37</v>
      </c>
      <c r="AB22" s="472" t="s">
        <v>36</v>
      </c>
      <c r="AC22" s="472" t="s">
        <v>35</v>
      </c>
      <c r="AD22" s="472" t="s">
        <v>34</v>
      </c>
      <c r="AE22" s="472" t="s">
        <v>33</v>
      </c>
      <c r="AF22" s="472" t="s">
        <v>32</v>
      </c>
      <c r="AG22" s="472"/>
      <c r="AH22" s="472"/>
      <c r="AI22" s="472"/>
      <c r="AJ22" s="472"/>
      <c r="AK22" s="472"/>
      <c r="AL22" s="472" t="s">
        <v>31</v>
      </c>
      <c r="AM22" s="472"/>
      <c r="AN22" s="472"/>
      <c r="AO22" s="472"/>
      <c r="AP22" s="472" t="s">
        <v>30</v>
      </c>
      <c r="AQ22" s="472"/>
      <c r="AR22" s="472" t="s">
        <v>29</v>
      </c>
      <c r="AS22" s="472" t="s">
        <v>28</v>
      </c>
      <c r="AT22" s="472" t="s">
        <v>27</v>
      </c>
      <c r="AU22" s="472" t="s">
        <v>26</v>
      </c>
      <c r="AV22" s="476" t="s">
        <v>25</v>
      </c>
    </row>
    <row r="23" spans="1:48" s="26" customFormat="1" ht="64.5" customHeight="1" x14ac:dyDescent="0.25">
      <c r="A23" s="464"/>
      <c r="B23" s="467"/>
      <c r="C23" s="464"/>
      <c r="D23" s="464"/>
      <c r="E23" s="478" t="s">
        <v>23</v>
      </c>
      <c r="F23" s="480" t="s">
        <v>131</v>
      </c>
      <c r="G23" s="480" t="s">
        <v>130</v>
      </c>
      <c r="H23" s="480" t="s">
        <v>129</v>
      </c>
      <c r="I23" s="484" t="s">
        <v>441</v>
      </c>
      <c r="J23" s="484" t="s">
        <v>442</v>
      </c>
      <c r="K23" s="484" t="s">
        <v>443</v>
      </c>
      <c r="L23" s="480" t="s">
        <v>79</v>
      </c>
      <c r="M23" s="464"/>
      <c r="N23" s="464"/>
      <c r="O23" s="464"/>
      <c r="P23" s="472"/>
      <c r="Q23" s="472"/>
      <c r="R23" s="472"/>
      <c r="S23" s="482" t="s">
        <v>2</v>
      </c>
      <c r="T23" s="482" t="s">
        <v>11</v>
      </c>
      <c r="U23" s="473"/>
      <c r="V23" s="473"/>
      <c r="W23" s="472"/>
      <c r="X23" s="472"/>
      <c r="Y23" s="472"/>
      <c r="Z23" s="472"/>
      <c r="AA23" s="472"/>
      <c r="AB23" s="472"/>
      <c r="AC23" s="472"/>
      <c r="AD23" s="472"/>
      <c r="AE23" s="472"/>
      <c r="AF23" s="472" t="s">
        <v>22</v>
      </c>
      <c r="AG23" s="472"/>
      <c r="AH23" s="472" t="s">
        <v>21</v>
      </c>
      <c r="AI23" s="472"/>
      <c r="AJ23" s="463" t="s">
        <v>20</v>
      </c>
      <c r="AK23" s="463" t="s">
        <v>19</v>
      </c>
      <c r="AL23" s="463" t="s">
        <v>18</v>
      </c>
      <c r="AM23" s="463" t="s">
        <v>17</v>
      </c>
      <c r="AN23" s="463" t="s">
        <v>16</v>
      </c>
      <c r="AO23" s="463" t="s">
        <v>15</v>
      </c>
      <c r="AP23" s="463" t="s">
        <v>14</v>
      </c>
      <c r="AQ23" s="474" t="s">
        <v>11</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59" t="s">
        <v>13</v>
      </c>
      <c r="AG24" s="159" t="s">
        <v>12</v>
      </c>
      <c r="AH24" s="160" t="s">
        <v>2</v>
      </c>
      <c r="AI24" s="160" t="s">
        <v>11</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v>2017</v>
      </c>
      <c r="E26" s="366"/>
      <c r="F26" s="366"/>
      <c r="G26" s="366">
        <v>0.8</v>
      </c>
      <c r="H26" s="366"/>
      <c r="I26" s="366"/>
      <c r="J26" s="366"/>
      <c r="K26" s="366">
        <f>'6.2. Паспорт фин осв ввод'!C41</f>
        <v>4.0999999999999996</v>
      </c>
      <c r="L26" s="366"/>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3" sqref="B63"/>
    </sheetView>
  </sheetViews>
  <sheetFormatPr defaultRowHeight="15.75" x14ac:dyDescent="0.25"/>
  <cols>
    <col min="1" max="2" width="66.140625" style="130" customWidth="1"/>
    <col min="3" max="3" width="9.140625"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68</v>
      </c>
    </row>
    <row r="2" spans="1:8" ht="18.75" x14ac:dyDescent="0.3">
      <c r="B2" s="15" t="s">
        <v>10</v>
      </c>
    </row>
    <row r="3" spans="1:8" ht="18.75" x14ac:dyDescent="0.3">
      <c r="B3" s="15" t="s">
        <v>539</v>
      </c>
    </row>
    <row r="4" spans="1:8" x14ac:dyDescent="0.25">
      <c r="B4" s="48"/>
    </row>
    <row r="5" spans="1:8" ht="18.75" x14ac:dyDescent="0.3">
      <c r="A5" s="487" t="str">
        <f>'7. Паспорт отчет о закупке'!A5:AV5</f>
        <v>Год раскрытия информации: 2017 год</v>
      </c>
      <c r="B5" s="487"/>
      <c r="C5" s="95"/>
      <c r="D5" s="95"/>
      <c r="E5" s="95"/>
      <c r="F5" s="95"/>
      <c r="G5" s="95"/>
      <c r="H5" s="95"/>
    </row>
    <row r="6" spans="1:8" ht="18.75" x14ac:dyDescent="0.3">
      <c r="A6" s="332"/>
      <c r="B6" s="332"/>
      <c r="C6" s="332"/>
      <c r="D6" s="332"/>
      <c r="E6" s="332"/>
      <c r="F6" s="332"/>
      <c r="G6" s="332"/>
      <c r="H6" s="332"/>
    </row>
    <row r="7" spans="1:8" ht="18.75" x14ac:dyDescent="0.25">
      <c r="A7" s="374" t="s">
        <v>9</v>
      </c>
      <c r="B7" s="374"/>
      <c r="C7" s="165"/>
      <c r="D7" s="165"/>
      <c r="E7" s="165"/>
      <c r="F7" s="165"/>
      <c r="G7" s="165"/>
      <c r="H7" s="165"/>
    </row>
    <row r="8" spans="1:8" ht="18.75" x14ac:dyDescent="0.25">
      <c r="A8" s="165"/>
      <c r="B8" s="165"/>
      <c r="C8" s="165"/>
      <c r="D8" s="165"/>
      <c r="E8" s="165"/>
      <c r="F8" s="165"/>
      <c r="G8" s="165"/>
      <c r="H8" s="165"/>
    </row>
    <row r="9" spans="1:8" x14ac:dyDescent="0.25">
      <c r="A9" s="378" t="str">
        <f>'1. паспорт местоположение'!A9:C9</f>
        <v>Акционерное общество "Янтарьэнерго" ДЗО  ПАО "Россети"</v>
      </c>
      <c r="B9" s="378"/>
      <c r="C9" s="182"/>
      <c r="D9" s="182"/>
      <c r="E9" s="182"/>
      <c r="F9" s="182"/>
      <c r="G9" s="182"/>
      <c r="H9" s="182"/>
    </row>
    <row r="10" spans="1:8" x14ac:dyDescent="0.25">
      <c r="A10" s="371" t="s">
        <v>8</v>
      </c>
      <c r="B10" s="371"/>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78" t="str">
        <f>'1. паспорт местоположение'!A12:C12</f>
        <v>F_prj_111001_49220</v>
      </c>
      <c r="B12" s="378"/>
      <c r="C12" s="182"/>
      <c r="D12" s="182"/>
      <c r="E12" s="182"/>
      <c r="F12" s="182"/>
      <c r="G12" s="182"/>
      <c r="H12" s="182"/>
    </row>
    <row r="13" spans="1:8" x14ac:dyDescent="0.25">
      <c r="A13" s="371" t="s">
        <v>7</v>
      </c>
      <c r="B13" s="371"/>
      <c r="C13" s="167"/>
      <c r="D13" s="167"/>
      <c r="E13" s="167"/>
      <c r="F13" s="167"/>
      <c r="G13" s="167"/>
      <c r="H13" s="167"/>
    </row>
    <row r="14" spans="1:8" ht="18.75" x14ac:dyDescent="0.25">
      <c r="A14" s="11"/>
      <c r="B14" s="11"/>
      <c r="C14" s="11"/>
      <c r="D14" s="11"/>
      <c r="E14" s="11"/>
      <c r="F14" s="11"/>
      <c r="G14" s="11"/>
      <c r="H14" s="11"/>
    </row>
    <row r="15" spans="1:8" ht="39" customHeight="1" x14ac:dyDescent="0.25">
      <c r="A15" s="488" t="str">
        <f>'1. паспорт местоположение'!A15:C15</f>
        <v>Строительство КТПн 10/0.4 кВ, двух КЛ 10 кВ от РП-XXXIX до КТПн, двух КЛ 1 кВ от КТПн до РЩ по ул.Аксакова в г.Калининграде</v>
      </c>
      <c r="B15" s="378"/>
      <c r="C15" s="182"/>
      <c r="D15" s="182"/>
      <c r="E15" s="182"/>
      <c r="F15" s="182"/>
      <c r="G15" s="182"/>
      <c r="H15" s="182"/>
    </row>
    <row r="16" spans="1:8" x14ac:dyDescent="0.25">
      <c r="A16" s="371" t="s">
        <v>6</v>
      </c>
      <c r="B16" s="371"/>
      <c r="C16" s="167"/>
      <c r="D16" s="167"/>
      <c r="E16" s="167"/>
      <c r="F16" s="167"/>
      <c r="G16" s="167"/>
      <c r="H16" s="167"/>
    </row>
    <row r="17" spans="1:2" x14ac:dyDescent="0.25">
      <c r="B17" s="132"/>
    </row>
    <row r="18" spans="1:2" ht="33.75" customHeight="1" x14ac:dyDescent="0.25">
      <c r="A18" s="489" t="s">
        <v>521</v>
      </c>
      <c r="B18" s="490"/>
    </row>
    <row r="19" spans="1:2" x14ac:dyDescent="0.25">
      <c r="B19" s="48"/>
    </row>
    <row r="20" spans="1:2" ht="16.5" thickBot="1" x14ac:dyDescent="0.3">
      <c r="B20" s="133"/>
    </row>
    <row r="21" spans="1:2" ht="55.5" customHeight="1" thickBot="1" x14ac:dyDescent="0.3">
      <c r="A21" s="134" t="s">
        <v>388</v>
      </c>
      <c r="B21" s="329" t="str">
        <f>A15</f>
        <v>Строительство КТПн 10/0.4 кВ, двух КЛ 10 кВ от РП-XXXIX до КТПн, двух КЛ 1 кВ от КТПн до РЩ по ул.Аксакова в г.Калининграде</v>
      </c>
    </row>
    <row r="22" spans="1:2" ht="16.5" thickBot="1" x14ac:dyDescent="0.3">
      <c r="A22" s="134" t="s">
        <v>389</v>
      </c>
      <c r="B22" s="135" t="str">
        <f>'1. паспорт местоположение'!C27</f>
        <v>город Калининград</v>
      </c>
    </row>
    <row r="23" spans="1:2" ht="16.5" thickBot="1" x14ac:dyDescent="0.3">
      <c r="A23" s="134" t="s">
        <v>354</v>
      </c>
      <c r="B23" s="136" t="s">
        <v>695</v>
      </c>
    </row>
    <row r="24" spans="1:2" ht="16.5" thickBot="1" x14ac:dyDescent="0.3">
      <c r="A24" s="134" t="s">
        <v>390</v>
      </c>
      <c r="B24" s="136" t="s">
        <v>709</v>
      </c>
    </row>
    <row r="25" spans="1:2" ht="16.5" thickBot="1" x14ac:dyDescent="0.3">
      <c r="A25" s="137" t="s">
        <v>391</v>
      </c>
      <c r="B25" s="135">
        <v>2017</v>
      </c>
    </row>
    <row r="26" spans="1:2" ht="16.5" thickBot="1" x14ac:dyDescent="0.3">
      <c r="A26" s="138" t="s">
        <v>392</v>
      </c>
      <c r="B26" s="139" t="s">
        <v>686</v>
      </c>
    </row>
    <row r="27" spans="1:2" ht="29.25" thickBot="1" x14ac:dyDescent="0.3">
      <c r="A27" s="146" t="s">
        <v>711</v>
      </c>
      <c r="B27" s="330">
        <v>16.824358223761191</v>
      </c>
    </row>
    <row r="28" spans="1:2" ht="16.5" thickBot="1" x14ac:dyDescent="0.3">
      <c r="A28" s="141" t="s">
        <v>393</v>
      </c>
      <c r="B28" s="141" t="s">
        <v>710</v>
      </c>
    </row>
    <row r="29" spans="1:2" ht="29.25" thickBot="1" x14ac:dyDescent="0.3">
      <c r="A29" s="147" t="s">
        <v>394</v>
      </c>
      <c r="B29" s="141"/>
    </row>
    <row r="30" spans="1:2" ht="29.25" thickBot="1" x14ac:dyDescent="0.3">
      <c r="A30" s="147" t="s">
        <v>395</v>
      </c>
      <c r="B30" s="340">
        <f>B32+B41+B58</f>
        <v>0</v>
      </c>
    </row>
    <row r="31" spans="1:2" ht="16.5" thickBot="1" x14ac:dyDescent="0.3">
      <c r="A31" s="141" t="s">
        <v>396</v>
      </c>
      <c r="B31" s="340"/>
    </row>
    <row r="32" spans="1:2" ht="29.25" thickBot="1" x14ac:dyDescent="0.3">
      <c r="A32" s="147" t="s">
        <v>397</v>
      </c>
      <c r="B32" s="340">
        <f>B33+B37</f>
        <v>0</v>
      </c>
    </row>
    <row r="33" spans="1:3" s="343" customFormat="1" ht="16.5" thickBot="1" x14ac:dyDescent="0.3">
      <c r="A33" s="358" t="s">
        <v>398</v>
      </c>
      <c r="B33" s="359">
        <v>0</v>
      </c>
    </row>
    <row r="34" spans="1:3" ht="16.5" thickBot="1" x14ac:dyDescent="0.3">
      <c r="A34" s="141" t="s">
        <v>399</v>
      </c>
      <c r="B34" s="344">
        <f>B33/$B$27</f>
        <v>0</v>
      </c>
    </row>
    <row r="35" spans="1:3" ht="16.5" thickBot="1" x14ac:dyDescent="0.3">
      <c r="A35" s="141" t="s">
        <v>400</v>
      </c>
      <c r="B35" s="340">
        <v>0</v>
      </c>
      <c r="C35" s="131">
        <v>1</v>
      </c>
    </row>
    <row r="36" spans="1:3" ht="16.5" thickBot="1" x14ac:dyDescent="0.3">
      <c r="A36" s="141" t="s">
        <v>401</v>
      </c>
      <c r="B36" s="340">
        <v>0</v>
      </c>
      <c r="C36" s="131">
        <v>2</v>
      </c>
    </row>
    <row r="37" spans="1:3" s="343" customFormat="1" ht="16.5" thickBot="1" x14ac:dyDescent="0.3">
      <c r="A37" s="358" t="s">
        <v>398</v>
      </c>
      <c r="B37" s="359">
        <v>0</v>
      </c>
    </row>
    <row r="38" spans="1:3" ht="16.5" thickBot="1" x14ac:dyDescent="0.3">
      <c r="A38" s="141" t="s">
        <v>399</v>
      </c>
      <c r="B38" s="344">
        <f>B37/$B$27</f>
        <v>0</v>
      </c>
    </row>
    <row r="39" spans="1:3" ht="16.5" thickBot="1" x14ac:dyDescent="0.3">
      <c r="A39" s="141" t="s">
        <v>400</v>
      </c>
      <c r="B39" s="340">
        <v>0</v>
      </c>
      <c r="C39" s="131">
        <v>1</v>
      </c>
    </row>
    <row r="40" spans="1:3" ht="16.5" thickBot="1" x14ac:dyDescent="0.3">
      <c r="A40" s="141" t="s">
        <v>401</v>
      </c>
      <c r="B40" s="340">
        <v>0</v>
      </c>
      <c r="C40" s="131">
        <v>2</v>
      </c>
    </row>
    <row r="41" spans="1:3" ht="29.25" thickBot="1" x14ac:dyDescent="0.3">
      <c r="A41" s="147" t="s">
        <v>402</v>
      </c>
      <c r="B41" s="340">
        <f>B42+B46+B50+B54</f>
        <v>0</v>
      </c>
    </row>
    <row r="42" spans="1:3" s="343" customFormat="1" ht="16.5" thickBot="1" x14ac:dyDescent="0.3">
      <c r="A42" s="358" t="s">
        <v>398</v>
      </c>
      <c r="B42" s="359">
        <v>0</v>
      </c>
    </row>
    <row r="43" spans="1:3" ht="16.5" thickBot="1" x14ac:dyDescent="0.3">
      <c r="A43" s="141" t="s">
        <v>399</v>
      </c>
      <c r="B43" s="344">
        <f>B42/$B$27</f>
        <v>0</v>
      </c>
    </row>
    <row r="44" spans="1:3" ht="16.5" thickBot="1" x14ac:dyDescent="0.3">
      <c r="A44" s="141" t="s">
        <v>400</v>
      </c>
      <c r="B44" s="340">
        <v>0</v>
      </c>
      <c r="C44" s="131">
        <v>1</v>
      </c>
    </row>
    <row r="45" spans="1:3" ht="16.5" thickBot="1" x14ac:dyDescent="0.3">
      <c r="A45" s="141" t="s">
        <v>401</v>
      </c>
      <c r="B45" s="340">
        <v>0</v>
      </c>
      <c r="C45" s="131">
        <v>2</v>
      </c>
    </row>
    <row r="46" spans="1:3" s="343" customFormat="1" ht="16.5" thickBot="1" x14ac:dyDescent="0.3">
      <c r="A46" s="358" t="s">
        <v>398</v>
      </c>
      <c r="B46" s="359">
        <v>0</v>
      </c>
    </row>
    <row r="47" spans="1:3" ht="16.5" thickBot="1" x14ac:dyDescent="0.3">
      <c r="A47" s="141" t="s">
        <v>399</v>
      </c>
      <c r="B47" s="344">
        <f>B46/$B$27</f>
        <v>0</v>
      </c>
    </row>
    <row r="48" spans="1:3" ht="16.5" thickBot="1" x14ac:dyDescent="0.3">
      <c r="A48" s="141" t="s">
        <v>400</v>
      </c>
      <c r="B48" s="340">
        <v>0</v>
      </c>
      <c r="C48" s="131">
        <v>1</v>
      </c>
    </row>
    <row r="49" spans="1:3" ht="16.5" thickBot="1" x14ac:dyDescent="0.3">
      <c r="A49" s="141" t="s">
        <v>401</v>
      </c>
      <c r="B49" s="340">
        <v>0</v>
      </c>
      <c r="C49" s="131">
        <v>2</v>
      </c>
    </row>
    <row r="50" spans="1:3" s="343" customFormat="1" ht="16.5" thickBot="1" x14ac:dyDescent="0.3">
      <c r="A50" s="341" t="s">
        <v>398</v>
      </c>
      <c r="B50" s="342">
        <v>0</v>
      </c>
    </row>
    <row r="51" spans="1:3" ht="16.5" thickBot="1" x14ac:dyDescent="0.3">
      <c r="A51" s="141" t="s">
        <v>399</v>
      </c>
      <c r="B51" s="344">
        <f>B50/$B$27</f>
        <v>0</v>
      </c>
    </row>
    <row r="52" spans="1:3" ht="16.5" thickBot="1" x14ac:dyDescent="0.3">
      <c r="A52" s="141" t="s">
        <v>400</v>
      </c>
      <c r="B52" s="340">
        <v>0</v>
      </c>
      <c r="C52" s="131">
        <v>1</v>
      </c>
    </row>
    <row r="53" spans="1:3" ht="16.5" thickBot="1" x14ac:dyDescent="0.3">
      <c r="A53" s="141" t="s">
        <v>401</v>
      </c>
      <c r="B53" s="340">
        <v>0</v>
      </c>
      <c r="C53" s="131">
        <v>2</v>
      </c>
    </row>
    <row r="54" spans="1:3" s="343" customFormat="1" ht="16.5" thickBot="1" x14ac:dyDescent="0.3">
      <c r="A54" s="341" t="s">
        <v>398</v>
      </c>
      <c r="B54" s="342">
        <v>0</v>
      </c>
    </row>
    <row r="55" spans="1:3" ht="16.5" thickBot="1" x14ac:dyDescent="0.3">
      <c r="A55" s="141" t="s">
        <v>399</v>
      </c>
      <c r="B55" s="344">
        <f>B54/$B$27</f>
        <v>0</v>
      </c>
    </row>
    <row r="56" spans="1:3" ht="16.5" thickBot="1" x14ac:dyDescent="0.3">
      <c r="A56" s="141" t="s">
        <v>400</v>
      </c>
      <c r="B56" s="340">
        <v>0</v>
      </c>
      <c r="C56" s="131">
        <v>1</v>
      </c>
    </row>
    <row r="57" spans="1:3" ht="16.5" thickBot="1" x14ac:dyDescent="0.3">
      <c r="A57" s="141" t="s">
        <v>401</v>
      </c>
      <c r="B57" s="340">
        <v>0</v>
      </c>
      <c r="C57" s="131">
        <v>2</v>
      </c>
    </row>
    <row r="58" spans="1:3" ht="29.25" thickBot="1" x14ac:dyDescent="0.3">
      <c r="A58" s="147" t="s">
        <v>403</v>
      </c>
      <c r="B58" s="340">
        <f>B59+B63+B67+B71</f>
        <v>0</v>
      </c>
    </row>
    <row r="59" spans="1:3" s="343" customFormat="1" ht="16.5" thickBot="1" x14ac:dyDescent="0.3">
      <c r="A59" s="358" t="s">
        <v>398</v>
      </c>
      <c r="B59" s="359">
        <v>0</v>
      </c>
    </row>
    <row r="60" spans="1:3" ht="16.5" thickBot="1" x14ac:dyDescent="0.3">
      <c r="A60" s="141" t="s">
        <v>399</v>
      </c>
      <c r="B60" s="344">
        <f>B59/$B$27</f>
        <v>0</v>
      </c>
    </row>
    <row r="61" spans="1:3" ht="16.5" thickBot="1" x14ac:dyDescent="0.3">
      <c r="A61" s="141" t="s">
        <v>400</v>
      </c>
      <c r="B61" s="340">
        <v>0</v>
      </c>
      <c r="C61" s="131">
        <v>1</v>
      </c>
    </row>
    <row r="62" spans="1:3" ht="16.5" thickBot="1" x14ac:dyDescent="0.3">
      <c r="A62" s="141" t="s">
        <v>401</v>
      </c>
      <c r="B62" s="340">
        <v>0</v>
      </c>
      <c r="C62" s="131">
        <v>2</v>
      </c>
    </row>
    <row r="63" spans="1:3" s="343" customFormat="1" ht="16.5" thickBot="1" x14ac:dyDescent="0.3">
      <c r="A63" s="341" t="s">
        <v>398</v>
      </c>
      <c r="B63" s="342">
        <v>0</v>
      </c>
    </row>
    <row r="64" spans="1:3" ht="16.5" thickBot="1" x14ac:dyDescent="0.3">
      <c r="A64" s="141" t="s">
        <v>399</v>
      </c>
      <c r="B64" s="344">
        <f>B63/$B$27</f>
        <v>0</v>
      </c>
    </row>
    <row r="65" spans="1:3" ht="16.5" thickBot="1" x14ac:dyDescent="0.3">
      <c r="A65" s="141" t="s">
        <v>400</v>
      </c>
      <c r="B65" s="340">
        <v>0</v>
      </c>
      <c r="C65" s="131">
        <v>1</v>
      </c>
    </row>
    <row r="66" spans="1:3" ht="16.5" thickBot="1" x14ac:dyDescent="0.3">
      <c r="A66" s="141" t="s">
        <v>401</v>
      </c>
      <c r="B66" s="340">
        <v>0</v>
      </c>
      <c r="C66" s="131">
        <v>2</v>
      </c>
    </row>
    <row r="67" spans="1:3" s="343" customFormat="1" ht="16.5" thickBot="1" x14ac:dyDescent="0.3">
      <c r="A67" s="341" t="s">
        <v>398</v>
      </c>
      <c r="B67" s="342">
        <v>0</v>
      </c>
    </row>
    <row r="68" spans="1:3" ht="16.5" thickBot="1" x14ac:dyDescent="0.3">
      <c r="A68" s="141" t="s">
        <v>399</v>
      </c>
      <c r="B68" s="344">
        <f>B67/$B$27</f>
        <v>0</v>
      </c>
    </row>
    <row r="69" spans="1:3" ht="16.5" thickBot="1" x14ac:dyDescent="0.3">
      <c r="A69" s="141" t="s">
        <v>400</v>
      </c>
      <c r="B69" s="340">
        <v>0</v>
      </c>
      <c r="C69" s="131">
        <v>1</v>
      </c>
    </row>
    <row r="70" spans="1:3" ht="16.5" thickBot="1" x14ac:dyDescent="0.3">
      <c r="A70" s="141" t="s">
        <v>401</v>
      </c>
      <c r="B70" s="340">
        <v>0</v>
      </c>
      <c r="C70" s="131">
        <v>2</v>
      </c>
    </row>
    <row r="71" spans="1:3" s="343" customFormat="1" ht="16.5" thickBot="1" x14ac:dyDescent="0.3">
      <c r="A71" s="341" t="s">
        <v>398</v>
      </c>
      <c r="B71" s="342">
        <v>0</v>
      </c>
    </row>
    <row r="72" spans="1:3" ht="16.5" thickBot="1" x14ac:dyDescent="0.3">
      <c r="A72" s="141" t="s">
        <v>399</v>
      </c>
      <c r="B72" s="344">
        <f>B71/$B$27</f>
        <v>0</v>
      </c>
    </row>
    <row r="73" spans="1:3" ht="16.5" thickBot="1" x14ac:dyDescent="0.3">
      <c r="A73" s="141" t="s">
        <v>400</v>
      </c>
      <c r="B73" s="340">
        <v>0</v>
      </c>
      <c r="C73" s="131">
        <v>1</v>
      </c>
    </row>
    <row r="74" spans="1:3" ht="16.5" thickBot="1" x14ac:dyDescent="0.3">
      <c r="A74" s="141" t="s">
        <v>401</v>
      </c>
      <c r="B74" s="340">
        <v>0</v>
      </c>
      <c r="C74" s="131">
        <v>2</v>
      </c>
    </row>
    <row r="75" spans="1:3" ht="29.25" thickBot="1" x14ac:dyDescent="0.3">
      <c r="A75" s="140" t="s">
        <v>404</v>
      </c>
      <c r="B75" s="148"/>
    </row>
    <row r="76" spans="1:3" ht="16.5" thickBot="1" x14ac:dyDescent="0.3">
      <c r="A76" s="142" t="s">
        <v>396</v>
      </c>
      <c r="B76" s="148"/>
    </row>
    <row r="77" spans="1:3" ht="16.5" thickBot="1" x14ac:dyDescent="0.3">
      <c r="A77" s="142" t="s">
        <v>405</v>
      </c>
      <c r="B77" s="148"/>
    </row>
    <row r="78" spans="1:3" ht="16.5" thickBot="1" x14ac:dyDescent="0.3">
      <c r="A78" s="142" t="s">
        <v>406</v>
      </c>
      <c r="B78" s="148"/>
    </row>
    <row r="79" spans="1:3" ht="16.5" thickBot="1" x14ac:dyDescent="0.3">
      <c r="A79" s="142" t="s">
        <v>407</v>
      </c>
      <c r="B79" s="148"/>
    </row>
    <row r="80" spans="1:3" ht="16.5" thickBot="1" x14ac:dyDescent="0.3">
      <c r="A80" s="137" t="s">
        <v>408</v>
      </c>
      <c r="B80" s="345">
        <f>B81/$B$27</f>
        <v>0</v>
      </c>
    </row>
    <row r="81" spans="1:2" ht="16.5" thickBot="1" x14ac:dyDescent="0.3">
      <c r="A81" s="137" t="s">
        <v>409</v>
      </c>
      <c r="B81" s="346">
        <f xml:space="preserve"> SUMIF(C33:C74, 1,B33:B74)</f>
        <v>0</v>
      </c>
    </row>
    <row r="82" spans="1:2" ht="16.5" thickBot="1" x14ac:dyDescent="0.3">
      <c r="A82" s="137" t="s">
        <v>410</v>
      </c>
      <c r="B82" s="345">
        <f>B83/$B$27</f>
        <v>0</v>
      </c>
    </row>
    <row r="83" spans="1:2" ht="16.5" thickBot="1" x14ac:dyDescent="0.3">
      <c r="A83" s="138" t="s">
        <v>411</v>
      </c>
      <c r="B83" s="346">
        <f xml:space="preserve"> SUMIF(C35:C76, 2,B35:B76)</f>
        <v>0</v>
      </c>
    </row>
    <row r="84" spans="1:2" ht="15.6" customHeight="1" x14ac:dyDescent="0.25">
      <c r="A84" s="140" t="s">
        <v>412</v>
      </c>
      <c r="B84" s="491" t="s">
        <v>413</v>
      </c>
    </row>
    <row r="85" spans="1:2" x14ac:dyDescent="0.25">
      <c r="A85" s="144" t="s">
        <v>414</v>
      </c>
      <c r="B85" s="492"/>
    </row>
    <row r="86" spans="1:2" x14ac:dyDescent="0.25">
      <c r="A86" s="144" t="s">
        <v>415</v>
      </c>
      <c r="B86" s="492"/>
    </row>
    <row r="87" spans="1:2" x14ac:dyDescent="0.25">
      <c r="A87" s="144" t="s">
        <v>416</v>
      </c>
      <c r="B87" s="492"/>
    </row>
    <row r="88" spans="1:2" x14ac:dyDescent="0.25">
      <c r="A88" s="144" t="s">
        <v>417</v>
      </c>
      <c r="B88" s="492"/>
    </row>
    <row r="89" spans="1:2" ht="16.5" thickBot="1" x14ac:dyDescent="0.3">
      <c r="A89" s="145" t="s">
        <v>418</v>
      </c>
      <c r="B89" s="493"/>
    </row>
    <row r="90" spans="1:2" ht="30.75" thickBot="1" x14ac:dyDescent="0.3">
      <c r="A90" s="142" t="s">
        <v>419</v>
      </c>
      <c r="B90" s="143"/>
    </row>
    <row r="91" spans="1:2" ht="29.25" thickBot="1" x14ac:dyDescent="0.3">
      <c r="A91" s="137" t="s">
        <v>420</v>
      </c>
      <c r="B91" s="143"/>
    </row>
    <row r="92" spans="1:2" ht="16.5" thickBot="1" x14ac:dyDescent="0.3">
      <c r="A92" s="142" t="s">
        <v>396</v>
      </c>
      <c r="B92" s="150"/>
    </row>
    <row r="93" spans="1:2" ht="16.5" thickBot="1" x14ac:dyDescent="0.3">
      <c r="A93" s="142" t="s">
        <v>421</v>
      </c>
      <c r="B93" s="143"/>
    </row>
    <row r="94" spans="1:2" ht="16.5" thickBot="1" x14ac:dyDescent="0.3">
      <c r="A94" s="142" t="s">
        <v>422</v>
      </c>
      <c r="B94" s="150"/>
    </row>
    <row r="95" spans="1:2" ht="30.75" thickBot="1" x14ac:dyDescent="0.3">
      <c r="A95" s="151" t="s">
        <v>423</v>
      </c>
      <c r="B95" s="331" t="s">
        <v>424</v>
      </c>
    </row>
    <row r="96" spans="1:2" ht="16.5" thickBot="1" x14ac:dyDescent="0.3">
      <c r="A96" s="137" t="s">
        <v>425</v>
      </c>
      <c r="B96" s="149"/>
    </row>
    <row r="97" spans="1:2" ht="16.5" thickBot="1" x14ac:dyDescent="0.3">
      <c r="A97" s="144" t="s">
        <v>426</v>
      </c>
      <c r="B97" s="152"/>
    </row>
    <row r="98" spans="1:2" ht="16.5" thickBot="1" x14ac:dyDescent="0.3">
      <c r="A98" s="144" t="s">
        <v>427</v>
      </c>
      <c r="B98" s="152"/>
    </row>
    <row r="99" spans="1:2" ht="16.5" thickBot="1" x14ac:dyDescent="0.3">
      <c r="A99" s="144" t="s">
        <v>428</v>
      </c>
      <c r="B99" s="152"/>
    </row>
    <row r="100" spans="1:2" ht="45.75" thickBot="1" x14ac:dyDescent="0.3">
      <c r="A100" s="153" t="s">
        <v>429</v>
      </c>
      <c r="B100" s="150" t="s">
        <v>430</v>
      </c>
    </row>
    <row r="101" spans="1:2" ht="28.5" x14ac:dyDescent="0.25">
      <c r="A101" s="140" t="s">
        <v>431</v>
      </c>
      <c r="B101" s="491" t="s">
        <v>432</v>
      </c>
    </row>
    <row r="102" spans="1:2" x14ac:dyDescent="0.25">
      <c r="A102" s="144" t="s">
        <v>433</v>
      </c>
      <c r="B102" s="492"/>
    </row>
    <row r="103" spans="1:2" x14ac:dyDescent="0.25">
      <c r="A103" s="144" t="s">
        <v>434</v>
      </c>
      <c r="B103" s="492"/>
    </row>
    <row r="104" spans="1:2" x14ac:dyDescent="0.25">
      <c r="A104" s="144" t="s">
        <v>435</v>
      </c>
      <c r="B104" s="492"/>
    </row>
    <row r="105" spans="1:2" x14ac:dyDescent="0.25">
      <c r="A105" s="144" t="s">
        <v>436</v>
      </c>
      <c r="B105" s="492"/>
    </row>
    <row r="106" spans="1:2" ht="16.5" thickBot="1" x14ac:dyDescent="0.3">
      <c r="A106" s="154" t="s">
        <v>437</v>
      </c>
      <c r="B106" s="493"/>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4" t="s">
        <v>590</v>
      </c>
    </row>
    <row r="2" spans="1:1" ht="25.5" customHeight="1" x14ac:dyDescent="0.25">
      <c r="A2" s="494"/>
    </row>
    <row r="3" spans="1:1" ht="25.5" customHeight="1" x14ac:dyDescent="0.25">
      <c r="A3" s="494"/>
    </row>
    <row r="4" spans="1:1" ht="25.5" customHeight="1" x14ac:dyDescent="0.25">
      <c r="A4" s="494"/>
    </row>
    <row r="5" spans="1:1" ht="25.5" customHeight="1" x14ac:dyDescent="0.25">
      <c r="A5" s="494"/>
    </row>
    <row r="6" spans="1:1" ht="23.25" customHeight="1" x14ac:dyDescent="0.25">
      <c r="A6" s="274">
        <v>2</v>
      </c>
    </row>
    <row r="7" spans="1:1" s="123" customFormat="1" ht="23.25" customHeight="1" x14ac:dyDescent="0.25">
      <c r="A7" s="278" t="s">
        <v>591</v>
      </c>
    </row>
    <row r="8" spans="1:1" ht="31.5" customHeight="1" x14ac:dyDescent="0.25">
      <c r="A8" s="275" t="s">
        <v>600</v>
      </c>
    </row>
    <row r="9" spans="1:1" ht="45.75" customHeight="1" x14ac:dyDescent="0.25">
      <c r="A9" s="275" t="s">
        <v>601</v>
      </c>
    </row>
    <row r="10" spans="1:1" ht="33.75" customHeight="1" x14ac:dyDescent="0.25">
      <c r="A10" s="275" t="s">
        <v>602</v>
      </c>
    </row>
    <row r="11" spans="1:1" ht="23.25" customHeight="1" x14ac:dyDescent="0.25">
      <c r="A11" s="275" t="s">
        <v>603</v>
      </c>
    </row>
    <row r="12" spans="1:1" ht="23.25" customHeight="1" x14ac:dyDescent="0.25">
      <c r="A12" s="275" t="s">
        <v>604</v>
      </c>
    </row>
    <row r="13" spans="1:1" ht="33" customHeight="1" x14ac:dyDescent="0.25">
      <c r="A13" s="275" t="s">
        <v>605</v>
      </c>
    </row>
    <row r="14" spans="1:1" ht="23.25" customHeight="1" x14ac:dyDescent="0.25">
      <c r="A14" s="275" t="s">
        <v>606</v>
      </c>
    </row>
    <row r="15" spans="1:1" ht="23.25" customHeight="1" x14ac:dyDescent="0.25">
      <c r="A15" s="276" t="s">
        <v>607</v>
      </c>
    </row>
    <row r="16" spans="1:1" ht="34.5" customHeight="1" x14ac:dyDescent="0.25">
      <c r="A16" s="276" t="s">
        <v>608</v>
      </c>
    </row>
    <row r="17" spans="1:1" ht="39.75" customHeight="1" x14ac:dyDescent="0.25">
      <c r="A17" s="276" t="s">
        <v>609</v>
      </c>
    </row>
    <row r="18" spans="1:1" ht="40.5" customHeight="1" x14ac:dyDescent="0.25">
      <c r="A18" s="276" t="s">
        <v>610</v>
      </c>
    </row>
    <row r="19" spans="1:1" ht="48.75" customHeight="1" x14ac:dyDescent="0.25">
      <c r="A19" s="276" t="s">
        <v>608</v>
      </c>
    </row>
    <row r="20" spans="1:1" ht="39" customHeight="1" x14ac:dyDescent="0.25">
      <c r="A20" s="275" t="s">
        <v>609</v>
      </c>
    </row>
    <row r="21" spans="1:1" ht="39.75" customHeight="1" x14ac:dyDescent="0.25">
      <c r="A21" s="275" t="s">
        <v>611</v>
      </c>
    </row>
    <row r="22" spans="1:1" ht="35.25" customHeight="1" x14ac:dyDescent="0.25">
      <c r="A22" s="275" t="s">
        <v>612</v>
      </c>
    </row>
    <row r="23" spans="1:1" ht="35.25" customHeight="1" x14ac:dyDescent="0.25">
      <c r="A23" s="275" t="s">
        <v>613</v>
      </c>
    </row>
    <row r="24" spans="1:1" ht="57.75" customHeight="1" x14ac:dyDescent="0.25">
      <c r="A24" s="275" t="s">
        <v>614</v>
      </c>
    </row>
    <row r="25" spans="1:1" s="123" customFormat="1" ht="23.25" customHeight="1" x14ac:dyDescent="0.25">
      <c r="A25" s="278" t="s">
        <v>615</v>
      </c>
    </row>
    <row r="26" spans="1:1" ht="36.75" customHeight="1" x14ac:dyDescent="0.25">
      <c r="A26" s="275" t="s">
        <v>616</v>
      </c>
    </row>
    <row r="27" spans="1:1" ht="23.25" customHeight="1" x14ac:dyDescent="0.25">
      <c r="A27" s="275" t="s">
        <v>617</v>
      </c>
    </row>
    <row r="28" spans="1:1" ht="30.75" customHeight="1" x14ac:dyDescent="0.25">
      <c r="A28" s="275" t="s">
        <v>618</v>
      </c>
    </row>
    <row r="29" spans="1:1" s="277" customFormat="1" ht="23.25" customHeight="1" x14ac:dyDescent="0.25">
      <c r="A29" s="275" t="s">
        <v>619</v>
      </c>
    </row>
    <row r="30" spans="1:1" s="277" customFormat="1" ht="23.25" customHeight="1" x14ac:dyDescent="0.25">
      <c r="A30" s="275" t="s">
        <v>620</v>
      </c>
    </row>
    <row r="31" spans="1:1" ht="23.25" customHeight="1" x14ac:dyDescent="0.25">
      <c r="A31" s="275" t="s">
        <v>621</v>
      </c>
    </row>
    <row r="32" spans="1:1" ht="23.25" customHeight="1" x14ac:dyDescent="0.25">
      <c r="A32" s="275" t="s">
        <v>622</v>
      </c>
    </row>
    <row r="33" spans="1:1" ht="23.25" customHeight="1" x14ac:dyDescent="0.25">
      <c r="A33" s="275" t="s">
        <v>623</v>
      </c>
    </row>
    <row r="34" spans="1:1" ht="23.25" customHeight="1" x14ac:dyDescent="0.25">
      <c r="A34" s="275" t="s">
        <v>624</v>
      </c>
    </row>
    <row r="35" spans="1:1" ht="23.25" customHeight="1" x14ac:dyDescent="0.25">
      <c r="A35" s="275" t="s">
        <v>625</v>
      </c>
    </row>
    <row r="36" spans="1:1" ht="23.25" customHeight="1" x14ac:dyDescent="0.25">
      <c r="A36" s="275" t="s">
        <v>626</v>
      </c>
    </row>
    <row r="37" spans="1:1" ht="23.25" customHeight="1" x14ac:dyDescent="0.25">
      <c r="A37" s="275" t="s">
        <v>627</v>
      </c>
    </row>
    <row r="38" spans="1:1" ht="23.25" customHeight="1" x14ac:dyDescent="0.25">
      <c r="A38" s="275" t="s">
        <v>628</v>
      </c>
    </row>
    <row r="39" spans="1:1" ht="23.25" customHeight="1" x14ac:dyDescent="0.25">
      <c r="A39" s="275" t="s">
        <v>629</v>
      </c>
    </row>
    <row r="40" spans="1:1" ht="23.25" customHeight="1" x14ac:dyDescent="0.25">
      <c r="A40" s="275" t="s">
        <v>630</v>
      </c>
    </row>
    <row r="41" spans="1:1" ht="23.25" customHeight="1" x14ac:dyDescent="0.25">
      <c r="A41" s="275" t="s">
        <v>631</v>
      </c>
    </row>
    <row r="42" spans="1:1" ht="23.25" customHeight="1" x14ac:dyDescent="0.25">
      <c r="A42" s="275" t="s">
        <v>632</v>
      </c>
    </row>
    <row r="43" spans="1:1" ht="23.25" customHeight="1" x14ac:dyDescent="0.25">
      <c r="A43" s="275" t="s">
        <v>633</v>
      </c>
    </row>
    <row r="44" spans="1:1" s="123" customFormat="1" ht="36" customHeight="1" x14ac:dyDescent="0.25">
      <c r="A44" s="278" t="s">
        <v>634</v>
      </c>
    </row>
    <row r="45" spans="1:1" ht="36" customHeight="1" x14ac:dyDescent="0.25">
      <c r="A45" s="275" t="s">
        <v>635</v>
      </c>
    </row>
    <row r="46" spans="1:1" ht="36" customHeight="1" x14ac:dyDescent="0.25">
      <c r="A46" s="275" t="s">
        <v>636</v>
      </c>
    </row>
    <row r="47" spans="1:1" s="123" customFormat="1" ht="23.25" customHeight="1" x14ac:dyDescent="0.25">
      <c r="A47" s="278" t="s">
        <v>637</v>
      </c>
    </row>
    <row r="48" spans="1:1" s="123" customFormat="1" ht="23.25" customHeight="1" x14ac:dyDescent="0.25">
      <c r="A48" s="279" t="s">
        <v>638</v>
      </c>
    </row>
    <row r="49" spans="1:1" s="123" customFormat="1" ht="23.25" customHeight="1" x14ac:dyDescent="0.25">
      <c r="A49" s="279" t="s">
        <v>639</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9</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1" t="s">
        <v>8</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8" t="str">
        <f>'1. паспорт местоположение'!A12:C12</f>
        <v>F_prj_111001_49220</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1" t="s">
        <v>7</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2" x14ac:dyDescent="0.2">
      <c r="A14" s="378" t="str">
        <f>'1. паспорт местоположение'!A9:C9</f>
        <v>Акционерное общество "Янтарьэнерго" ДЗО  ПАО "Россети"</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79" t="str">
        <f>'1. паспорт местоположение'!A15:C15</f>
        <v>Строительство КТПн 10/0.4 кВ, двух КЛ 10 кВ от РП-XXXIX до КТПн, двух КЛ 1 кВ от КТПн до РЩ по ул.Аксакова в г.Калининграде</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2" t="s">
        <v>496</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83" t="s">
        <v>5</v>
      </c>
      <c r="B19" s="383" t="s">
        <v>99</v>
      </c>
      <c r="C19" s="384" t="s">
        <v>387</v>
      </c>
      <c r="D19" s="383" t="s">
        <v>386</v>
      </c>
      <c r="E19" s="383" t="s">
        <v>98</v>
      </c>
      <c r="F19" s="383" t="s">
        <v>97</v>
      </c>
      <c r="G19" s="383" t="s">
        <v>382</v>
      </c>
      <c r="H19" s="383" t="s">
        <v>96</v>
      </c>
      <c r="I19" s="383" t="s">
        <v>95</v>
      </c>
      <c r="J19" s="383" t="s">
        <v>94</v>
      </c>
      <c r="K19" s="383" t="s">
        <v>93</v>
      </c>
      <c r="L19" s="383" t="s">
        <v>92</v>
      </c>
      <c r="M19" s="383" t="s">
        <v>91</v>
      </c>
      <c r="N19" s="383" t="s">
        <v>90</v>
      </c>
      <c r="O19" s="383" t="s">
        <v>89</v>
      </c>
      <c r="P19" s="383" t="s">
        <v>88</v>
      </c>
      <c r="Q19" s="383" t="s">
        <v>385</v>
      </c>
      <c r="R19" s="383"/>
      <c r="S19" s="386" t="s">
        <v>490</v>
      </c>
      <c r="T19" s="4"/>
      <c r="U19" s="4"/>
      <c r="V19" s="4"/>
      <c r="W19" s="4"/>
      <c r="X19" s="4"/>
      <c r="Y19" s="4"/>
    </row>
    <row r="20" spans="1:28" s="3" customFormat="1" ht="180.75" customHeight="1" x14ac:dyDescent="0.2">
      <c r="A20" s="383"/>
      <c r="B20" s="383"/>
      <c r="C20" s="385"/>
      <c r="D20" s="383"/>
      <c r="E20" s="383"/>
      <c r="F20" s="383"/>
      <c r="G20" s="383"/>
      <c r="H20" s="383"/>
      <c r="I20" s="383"/>
      <c r="J20" s="383"/>
      <c r="K20" s="383"/>
      <c r="L20" s="383"/>
      <c r="M20" s="383"/>
      <c r="N20" s="383"/>
      <c r="O20" s="383"/>
      <c r="P20" s="383"/>
      <c r="Q20" s="46" t="s">
        <v>383</v>
      </c>
      <c r="R20" s="47" t="s">
        <v>384</v>
      </c>
      <c r="S20" s="386"/>
      <c r="T20" s="32"/>
      <c r="U20" s="32"/>
      <c r="V20" s="32"/>
      <c r="W20" s="32"/>
      <c r="X20" s="32"/>
      <c r="Y20" s="32"/>
      <c r="Z20" s="31"/>
      <c r="AA20" s="31"/>
      <c r="AB20" s="31"/>
    </row>
    <row r="21" spans="1:28" s="3" customFormat="1" ht="18.75" x14ac:dyDescent="0.2">
      <c r="A21" s="46">
        <v>1</v>
      </c>
      <c r="B21" s="51">
        <v>2</v>
      </c>
      <c r="C21" s="46">
        <v>3</v>
      </c>
      <c r="D21" s="51">
        <v>4</v>
      </c>
      <c r="E21" s="46">
        <v>5</v>
      </c>
      <c r="F21" s="51">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283" customFormat="1" ht="345" x14ac:dyDescent="0.25">
      <c r="A22" s="335">
        <v>1</v>
      </c>
      <c r="B22" s="336" t="s">
        <v>698</v>
      </c>
      <c r="C22" s="336"/>
      <c r="D22" s="336" t="s">
        <v>699</v>
      </c>
      <c r="E22" s="336" t="s">
        <v>700</v>
      </c>
      <c r="F22" s="336" t="s">
        <v>701</v>
      </c>
      <c r="G22" s="336" t="s">
        <v>702</v>
      </c>
      <c r="H22" s="336">
        <v>0.16800000000000001</v>
      </c>
      <c r="I22" s="336"/>
      <c r="J22" s="336">
        <v>0.16800000000000001</v>
      </c>
      <c r="K22" s="338" t="s">
        <v>687</v>
      </c>
      <c r="L22" s="495">
        <v>2</v>
      </c>
      <c r="M22" s="336"/>
      <c r="N22" s="337"/>
      <c r="O22" s="338"/>
      <c r="P22" s="338"/>
      <c r="Q22" s="496" t="s">
        <v>703</v>
      </c>
      <c r="R22" s="496"/>
      <c r="S22" s="339">
        <v>14.9187958</v>
      </c>
      <c r="AA22" s="333"/>
      <c r="AB22" s="333"/>
    </row>
    <row r="23" spans="1:28" ht="20.25" customHeight="1" x14ac:dyDescent="0.25">
      <c r="A23" s="128"/>
      <c r="B23" s="51" t="s">
        <v>380</v>
      </c>
      <c r="C23" s="51"/>
      <c r="D23" s="51"/>
      <c r="E23" s="128" t="s">
        <v>381</v>
      </c>
      <c r="F23" s="128" t="s">
        <v>381</v>
      </c>
      <c r="G23" s="128" t="s">
        <v>381</v>
      </c>
      <c r="H23" s="334">
        <f>SUM(H22:H22)</f>
        <v>0.16800000000000001</v>
      </c>
      <c r="I23" s="128"/>
      <c r="J23" s="334">
        <f>SUM(J22:J22)</f>
        <v>0.16800000000000001</v>
      </c>
      <c r="K23" s="128"/>
      <c r="L23" s="128"/>
      <c r="M23" s="128"/>
      <c r="N23" s="128"/>
      <c r="O23" s="128"/>
      <c r="P23" s="128"/>
      <c r="Q23" s="129"/>
      <c r="R23" s="2"/>
      <c r="S23" s="334">
        <f>SUM(S22:S22)</f>
        <v>14.9187958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70" zoomScaleNormal="60" zoomScaleSheetLayoutView="70" workbookViewId="0">
      <selection activeCell="K26" sqref="K26"/>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2017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9</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8" t="str">
        <f>'1. паспорт местоположение'!A9:C9</f>
        <v>Акционерное общество "Янтарьэнерго" ДЗО  ПАО "Россети"</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1" t="s">
        <v>8</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8" t="str">
        <f>'1. паспорт местоположение'!A12:C12</f>
        <v>F_prj_111001_49220</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1" t="s">
        <v>7</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ht="12" x14ac:dyDescent="0.2">
      <c r="A16" s="378" t="str">
        <f>'1. паспорт местоположение'!A15</f>
        <v>Строительство КТПн 10/0.4 кВ, двух КЛ 10 кВ от РП-XXXIX до КТПн, двух КЛ 1 кВ от КТПн до РЩ по ул.Аксакова в г.Калининграде</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71" t="s">
        <v>6</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3" t="s">
        <v>501</v>
      </c>
      <c r="B19" s="373"/>
      <c r="C19" s="373"/>
      <c r="D19" s="373"/>
      <c r="E19" s="373"/>
      <c r="F19" s="373"/>
      <c r="G19" s="373"/>
      <c r="H19" s="373"/>
      <c r="I19" s="373"/>
      <c r="J19" s="373"/>
      <c r="K19" s="373"/>
      <c r="L19" s="373"/>
      <c r="M19" s="373"/>
      <c r="N19" s="373"/>
      <c r="O19" s="373"/>
      <c r="P19" s="373"/>
      <c r="Q19" s="373"/>
      <c r="R19" s="373"/>
      <c r="S19" s="373"/>
      <c r="T19" s="373"/>
    </row>
    <row r="20" spans="1:113" s="6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91" t="s">
        <v>5</v>
      </c>
      <c r="B21" s="394" t="s">
        <v>226</v>
      </c>
      <c r="C21" s="395"/>
      <c r="D21" s="398" t="s">
        <v>121</v>
      </c>
      <c r="E21" s="394" t="s">
        <v>530</v>
      </c>
      <c r="F21" s="395"/>
      <c r="G21" s="394" t="s">
        <v>277</v>
      </c>
      <c r="H21" s="395"/>
      <c r="I21" s="394" t="s">
        <v>120</v>
      </c>
      <c r="J21" s="395"/>
      <c r="K21" s="398" t="s">
        <v>119</v>
      </c>
      <c r="L21" s="394" t="s">
        <v>118</v>
      </c>
      <c r="M21" s="395"/>
      <c r="N21" s="394" t="s">
        <v>526</v>
      </c>
      <c r="O21" s="395"/>
      <c r="P21" s="398" t="s">
        <v>117</v>
      </c>
      <c r="Q21" s="387" t="s">
        <v>116</v>
      </c>
      <c r="R21" s="388"/>
      <c r="S21" s="387" t="s">
        <v>115</v>
      </c>
      <c r="T21" s="389"/>
    </row>
    <row r="22" spans="1:113" ht="204.75" customHeight="1" x14ac:dyDescent="0.25">
      <c r="A22" s="392"/>
      <c r="B22" s="396"/>
      <c r="C22" s="397"/>
      <c r="D22" s="401"/>
      <c r="E22" s="396"/>
      <c r="F22" s="397"/>
      <c r="G22" s="396"/>
      <c r="H22" s="397"/>
      <c r="I22" s="396"/>
      <c r="J22" s="397"/>
      <c r="K22" s="399"/>
      <c r="L22" s="396"/>
      <c r="M22" s="397"/>
      <c r="N22" s="396"/>
      <c r="O22" s="397"/>
      <c r="P22" s="399"/>
      <c r="Q22" s="119" t="s">
        <v>114</v>
      </c>
      <c r="R22" s="119" t="s">
        <v>500</v>
      </c>
      <c r="S22" s="119" t="s">
        <v>113</v>
      </c>
      <c r="T22" s="119" t="s">
        <v>112</v>
      </c>
    </row>
    <row r="23" spans="1:113" ht="51.75" customHeight="1" x14ac:dyDescent="0.25">
      <c r="A23" s="393"/>
      <c r="B23" s="170" t="s">
        <v>110</v>
      </c>
      <c r="C23" s="170" t="s">
        <v>111</v>
      </c>
      <c r="D23" s="399"/>
      <c r="E23" s="170" t="s">
        <v>110</v>
      </c>
      <c r="F23" s="170" t="s">
        <v>111</v>
      </c>
      <c r="G23" s="170" t="s">
        <v>110</v>
      </c>
      <c r="H23" s="170" t="s">
        <v>111</v>
      </c>
      <c r="I23" s="170" t="s">
        <v>110</v>
      </c>
      <c r="J23" s="170" t="s">
        <v>111</v>
      </c>
      <c r="K23" s="170" t="s">
        <v>110</v>
      </c>
      <c r="L23" s="170" t="s">
        <v>110</v>
      </c>
      <c r="M23" s="170" t="s">
        <v>111</v>
      </c>
      <c r="N23" s="170" t="s">
        <v>110</v>
      </c>
      <c r="O23" s="170" t="s">
        <v>111</v>
      </c>
      <c r="P23" s="171" t="s">
        <v>110</v>
      </c>
      <c r="Q23" s="119" t="s">
        <v>110</v>
      </c>
      <c r="R23" s="119" t="s">
        <v>110</v>
      </c>
      <c r="S23" s="119" t="s">
        <v>110</v>
      </c>
      <c r="T23" s="119"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381</v>
      </c>
      <c r="C25" s="66" t="s">
        <v>689</v>
      </c>
      <c r="D25" s="66" t="s">
        <v>106</v>
      </c>
      <c r="E25" s="66" t="s">
        <v>381</v>
      </c>
      <c r="F25" s="66" t="s">
        <v>683</v>
      </c>
      <c r="G25" s="66" t="s">
        <v>381</v>
      </c>
      <c r="H25" s="66" t="s">
        <v>684</v>
      </c>
      <c r="I25" s="65" t="s">
        <v>381</v>
      </c>
      <c r="J25" s="65" t="s">
        <v>688</v>
      </c>
      <c r="K25" s="65" t="s">
        <v>381</v>
      </c>
      <c r="L25" s="65" t="s">
        <v>381</v>
      </c>
      <c r="M25" s="67">
        <v>10</v>
      </c>
      <c r="N25" s="67" t="s">
        <v>381</v>
      </c>
      <c r="O25" s="67">
        <v>0.8</v>
      </c>
      <c r="P25" s="65" t="s">
        <v>381</v>
      </c>
      <c r="Q25" s="173" t="s">
        <v>381</v>
      </c>
      <c r="R25" s="66" t="s">
        <v>381</v>
      </c>
      <c r="S25" s="173" t="s">
        <v>381</v>
      </c>
      <c r="T25" s="66" t="s">
        <v>381</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00" t="s">
        <v>536</v>
      </c>
      <c r="C29" s="400"/>
      <c r="D29" s="400"/>
      <c r="E29" s="400"/>
      <c r="F29" s="400"/>
      <c r="G29" s="400"/>
      <c r="H29" s="400"/>
      <c r="I29" s="400"/>
      <c r="J29" s="400"/>
      <c r="K29" s="400"/>
      <c r="L29" s="400"/>
      <c r="M29" s="400"/>
      <c r="N29" s="400"/>
      <c r="O29" s="400"/>
      <c r="P29" s="400"/>
      <c r="Q29" s="400"/>
      <c r="R29" s="40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0" zoomScale="80" zoomScaleSheetLayoutView="80" workbookViewId="0">
      <selection activeCell="P34" sqref="P34"/>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74" t="s">
        <v>9</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Акционерное общество "Янтарьэнерго" ДЗО  ПАО "Россети"</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1" t="s">
        <v>8</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F_prj_111001_49220</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1" t="s">
        <v>7</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8" t="str">
        <f>'1. паспорт местоположение'!A15</f>
        <v>Строительство КТПн 10/0.4 кВ, двух КЛ 10 кВ от РП-XXXIX до КТПн, двух КЛ 1 кВ от КТПн до РЩ по ул.Аксакова в г.Калининграде</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71" t="s">
        <v>6</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503</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4" customFormat="1" ht="21" customHeight="1" x14ac:dyDescent="0.25"/>
    <row r="21" spans="1:27" ht="15.75" customHeight="1" x14ac:dyDescent="0.25">
      <c r="A21" s="402" t="s">
        <v>5</v>
      </c>
      <c r="B21" s="404" t="s">
        <v>510</v>
      </c>
      <c r="C21" s="405"/>
      <c r="D21" s="404" t="s">
        <v>512</v>
      </c>
      <c r="E21" s="405"/>
      <c r="F21" s="387" t="s">
        <v>93</v>
      </c>
      <c r="G21" s="389"/>
      <c r="H21" s="389"/>
      <c r="I21" s="388"/>
      <c r="J21" s="402" t="s">
        <v>513</v>
      </c>
      <c r="K21" s="404" t="s">
        <v>514</v>
      </c>
      <c r="L21" s="405"/>
      <c r="M21" s="404" t="s">
        <v>515</v>
      </c>
      <c r="N21" s="405"/>
      <c r="O21" s="404" t="s">
        <v>502</v>
      </c>
      <c r="P21" s="405"/>
      <c r="Q21" s="404" t="s">
        <v>126</v>
      </c>
      <c r="R21" s="405"/>
      <c r="S21" s="402" t="s">
        <v>125</v>
      </c>
      <c r="T21" s="402" t="s">
        <v>516</v>
      </c>
      <c r="U21" s="402" t="s">
        <v>511</v>
      </c>
      <c r="V21" s="404" t="s">
        <v>124</v>
      </c>
      <c r="W21" s="405"/>
      <c r="X21" s="387" t="s">
        <v>116</v>
      </c>
      <c r="Y21" s="389"/>
      <c r="Z21" s="387" t="s">
        <v>115</v>
      </c>
      <c r="AA21" s="389"/>
    </row>
    <row r="22" spans="1:27" ht="216" customHeight="1" x14ac:dyDescent="0.25">
      <c r="A22" s="408"/>
      <c r="B22" s="406"/>
      <c r="C22" s="407"/>
      <c r="D22" s="406"/>
      <c r="E22" s="407"/>
      <c r="F22" s="387" t="s">
        <v>123</v>
      </c>
      <c r="G22" s="388"/>
      <c r="H22" s="387" t="s">
        <v>122</v>
      </c>
      <c r="I22" s="388"/>
      <c r="J22" s="403"/>
      <c r="K22" s="406"/>
      <c r="L22" s="407"/>
      <c r="M22" s="406"/>
      <c r="N22" s="407"/>
      <c r="O22" s="406"/>
      <c r="P22" s="407"/>
      <c r="Q22" s="406"/>
      <c r="R22" s="407"/>
      <c r="S22" s="403"/>
      <c r="T22" s="403"/>
      <c r="U22" s="403"/>
      <c r="V22" s="406"/>
      <c r="W22" s="407"/>
      <c r="X22" s="119" t="s">
        <v>114</v>
      </c>
      <c r="Y22" s="119" t="s">
        <v>500</v>
      </c>
      <c r="Z22" s="119" t="s">
        <v>113</v>
      </c>
      <c r="AA22" s="119" t="s">
        <v>112</v>
      </c>
    </row>
    <row r="23" spans="1:27" ht="60" customHeight="1" x14ac:dyDescent="0.25">
      <c r="A23" s="403"/>
      <c r="B23" s="168" t="s">
        <v>110</v>
      </c>
      <c r="C23" s="168"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119" t="s">
        <v>110</v>
      </c>
      <c r="AA23" s="119" t="s">
        <v>110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63" x14ac:dyDescent="0.25">
      <c r="A25" s="68">
        <v>1</v>
      </c>
      <c r="B25" s="68" t="s">
        <v>381</v>
      </c>
      <c r="C25" s="66" t="s">
        <v>705</v>
      </c>
      <c r="D25" s="68" t="s">
        <v>381</v>
      </c>
      <c r="E25" s="66" t="str">
        <f>C25</f>
        <v>2 КЛ 10 кВ от РП-XXXIX до КТПн</v>
      </c>
      <c r="F25" s="67" t="s">
        <v>381</v>
      </c>
      <c r="G25" s="67">
        <v>10</v>
      </c>
      <c r="H25" s="67" t="s">
        <v>381</v>
      </c>
      <c r="I25" s="67">
        <v>10</v>
      </c>
      <c r="J25" s="67" t="s">
        <v>381</v>
      </c>
      <c r="K25" s="67" t="s">
        <v>381</v>
      </c>
      <c r="L25" s="67">
        <v>2</v>
      </c>
      <c r="M25" s="67" t="s">
        <v>381</v>
      </c>
      <c r="N25" s="67">
        <v>120</v>
      </c>
      <c r="O25" s="67" t="s">
        <v>381</v>
      </c>
      <c r="P25" s="67" t="s">
        <v>682</v>
      </c>
      <c r="Q25" s="67" t="s">
        <v>381</v>
      </c>
      <c r="R25" s="67">
        <v>4</v>
      </c>
      <c r="S25" s="67" t="s">
        <v>381</v>
      </c>
      <c r="T25" s="67" t="s">
        <v>381</v>
      </c>
      <c r="U25" s="67" t="s">
        <v>381</v>
      </c>
      <c r="V25" s="67" t="s">
        <v>381</v>
      </c>
      <c r="W25" s="67" t="s">
        <v>681</v>
      </c>
      <c r="X25" s="67" t="s">
        <v>381</v>
      </c>
      <c r="Y25" s="67" t="s">
        <v>381</v>
      </c>
      <c r="Z25" s="67" t="s">
        <v>381</v>
      </c>
      <c r="AA25" s="67" t="s">
        <v>381</v>
      </c>
    </row>
    <row r="26" spans="1:27" s="64" customFormat="1" ht="78.75" x14ac:dyDescent="0.25">
      <c r="A26" s="68">
        <v>2</v>
      </c>
      <c r="B26" s="68" t="s">
        <v>381</v>
      </c>
      <c r="C26" s="66" t="s">
        <v>706</v>
      </c>
      <c r="D26" s="68" t="s">
        <v>381</v>
      </c>
      <c r="E26" s="66" t="str">
        <f>C26</f>
        <v>2 КЛ 1 кВ от КТПн до РЩ по ул.Аксакова</v>
      </c>
      <c r="F26" s="360" t="s">
        <v>381</v>
      </c>
      <c r="G26" s="360">
        <v>0.4</v>
      </c>
      <c r="H26" s="360" t="s">
        <v>381</v>
      </c>
      <c r="I26" s="360">
        <v>0.4</v>
      </c>
      <c r="J26" s="360" t="s">
        <v>381</v>
      </c>
      <c r="K26" s="360" t="s">
        <v>381</v>
      </c>
      <c r="L26" s="360">
        <v>2</v>
      </c>
      <c r="M26" s="360" t="s">
        <v>381</v>
      </c>
      <c r="N26" s="360">
        <v>120</v>
      </c>
      <c r="O26" s="360" t="s">
        <v>381</v>
      </c>
      <c r="P26" s="360" t="s">
        <v>682</v>
      </c>
      <c r="Q26" s="360" t="s">
        <v>381</v>
      </c>
      <c r="R26" s="360">
        <v>0.1</v>
      </c>
      <c r="S26" s="360" t="s">
        <v>381</v>
      </c>
      <c r="T26" s="360" t="s">
        <v>381</v>
      </c>
      <c r="U26" s="360" t="s">
        <v>381</v>
      </c>
      <c r="V26" s="360" t="s">
        <v>381</v>
      </c>
      <c r="W26" s="360" t="s">
        <v>681</v>
      </c>
      <c r="X26" s="360" t="s">
        <v>381</v>
      </c>
      <c r="Y26" s="360" t="s">
        <v>381</v>
      </c>
      <c r="Z26" s="360" t="s">
        <v>381</v>
      </c>
      <c r="AA26" s="360" t="s">
        <v>381</v>
      </c>
    </row>
    <row r="27" spans="1:27" s="62" customFormat="1" ht="12.75" customHeight="1" x14ac:dyDescent="0.2">
      <c r="A27" s="63"/>
      <c r="B27" s="63"/>
      <c r="C27" s="63"/>
      <c r="E27" s="63"/>
      <c r="S27" s="361"/>
      <c r="T27" s="361"/>
      <c r="U27" s="361"/>
      <c r="V27" s="361"/>
      <c r="W27" s="361"/>
      <c r="X27" s="361"/>
      <c r="Y27" s="361"/>
      <c r="Z27" s="361"/>
      <c r="AA27" s="361"/>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2017 год</v>
      </c>
      <c r="B5" s="370"/>
      <c r="C5" s="370"/>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74" t="s">
        <v>9</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Акционерное общество "Янтарьэнерго" ДЗО  ПАО "Россети"</v>
      </c>
      <c r="B9" s="378"/>
      <c r="C9" s="378"/>
      <c r="D9" s="8"/>
      <c r="E9" s="8"/>
      <c r="F9" s="8"/>
      <c r="G9" s="8"/>
      <c r="H9" s="13"/>
      <c r="I9" s="13"/>
      <c r="J9" s="13"/>
      <c r="K9" s="13"/>
      <c r="L9" s="13"/>
      <c r="M9" s="13"/>
      <c r="N9" s="13"/>
      <c r="O9" s="13"/>
      <c r="P9" s="13"/>
      <c r="Q9" s="13"/>
      <c r="R9" s="13"/>
      <c r="S9" s="13"/>
      <c r="T9" s="13"/>
      <c r="U9" s="13"/>
    </row>
    <row r="10" spans="1:29" s="12" customFormat="1" ht="18.75" x14ac:dyDescent="0.2">
      <c r="A10" s="371" t="s">
        <v>8</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F_prj_111001_49220</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1" t="s">
        <v>7</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12" x14ac:dyDescent="0.2">
      <c r="A15" s="378" t="str">
        <f>'1. паспорт местоположение'!A15</f>
        <v>Строительство КТПн 10/0.4 кВ, двух КЛ 10 кВ от РП-XXXIX до КТПн, двух КЛ 1 кВ от КТПн до РЩ по ул.Аксакова в г.Калининграде</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71" t="s">
        <v>6</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2" t="s">
        <v>495</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57" t="s">
        <v>685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679</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29" t="s">
        <v>707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497">
        <v>16.824358223761191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691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9</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65"/>
      <c r="AB6" s="165"/>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65"/>
      <c r="AB7" s="165"/>
    </row>
    <row r="8" spans="1:28" x14ac:dyDescent="0.25">
      <c r="A8" s="378" t="str">
        <f>'1. паспорт местоположение'!A9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66"/>
      <c r="AB8" s="166"/>
    </row>
    <row r="9" spans="1:28" ht="15.75" x14ac:dyDescent="0.25">
      <c r="A9" s="371" t="s">
        <v>8</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67"/>
      <c r="AB9" s="167"/>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65"/>
      <c r="AB10" s="165"/>
    </row>
    <row r="11" spans="1:28" x14ac:dyDescent="0.25">
      <c r="A11" s="378" t="str">
        <f>'1. паспорт местоположение'!A12:C12</f>
        <v>F_prj_111001_49220</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66"/>
      <c r="AB11" s="166"/>
    </row>
    <row r="12" spans="1:28" ht="15.75" x14ac:dyDescent="0.25">
      <c r="A12" s="371" t="s">
        <v>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67"/>
      <c r="AB12" s="167"/>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x14ac:dyDescent="0.25">
      <c r="A14" s="378" t="str">
        <f>'1. паспорт местоположение'!A15</f>
        <v>Строительство КТПн 10/0.4 кВ, двух КЛ 10 кВ от РП-XXXIX до КТПн, двух КЛ 1 кВ от КТПн до РЩ по ул.Аксакова в г.Калининграде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66"/>
      <c r="AB14" s="166"/>
    </row>
    <row r="15" spans="1:28" ht="15.75" x14ac:dyDescent="0.25">
      <c r="A15" s="371" t="s">
        <v>6</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67"/>
      <c r="AB15" s="167"/>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76"/>
      <c r="AB16" s="176"/>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76"/>
      <c r="AB17" s="176"/>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76"/>
      <c r="AB18" s="176"/>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76"/>
      <c r="AB19" s="176"/>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77"/>
      <c r="AB20" s="177"/>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77"/>
      <c r="AB21" s="177"/>
    </row>
    <row r="22" spans="1:28" x14ac:dyDescent="0.25">
      <c r="A22" s="411" t="s">
        <v>527</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78"/>
      <c r="AB22" s="178"/>
    </row>
    <row r="23" spans="1:28" ht="32.25" customHeight="1" x14ac:dyDescent="0.25">
      <c r="A23" s="413" t="s">
        <v>378</v>
      </c>
      <c r="B23" s="414"/>
      <c r="C23" s="414"/>
      <c r="D23" s="414"/>
      <c r="E23" s="414"/>
      <c r="F23" s="414"/>
      <c r="G23" s="414"/>
      <c r="H23" s="414"/>
      <c r="I23" s="414"/>
      <c r="J23" s="414"/>
      <c r="K23" s="414"/>
      <c r="L23" s="415"/>
      <c r="M23" s="412" t="s">
        <v>379</v>
      </c>
      <c r="N23" s="412"/>
      <c r="O23" s="412"/>
      <c r="P23" s="412"/>
      <c r="Q23" s="412"/>
      <c r="R23" s="412"/>
      <c r="S23" s="412"/>
      <c r="T23" s="412"/>
      <c r="U23" s="412"/>
      <c r="V23" s="412"/>
      <c r="W23" s="412"/>
      <c r="X23" s="412"/>
      <c r="Y23" s="412"/>
      <c r="Z23" s="412"/>
    </row>
    <row r="24" spans="1:28" ht="151.5" customHeight="1" x14ac:dyDescent="0.25">
      <c r="A24" s="116" t="s">
        <v>237</v>
      </c>
      <c r="B24" s="117" t="s">
        <v>266</v>
      </c>
      <c r="C24" s="116" t="s">
        <v>372</v>
      </c>
      <c r="D24" s="116" t="s">
        <v>238</v>
      </c>
      <c r="E24" s="116" t="s">
        <v>373</v>
      </c>
      <c r="F24" s="116" t="s">
        <v>375</v>
      </c>
      <c r="G24" s="116" t="s">
        <v>374</v>
      </c>
      <c r="H24" s="116" t="s">
        <v>239</v>
      </c>
      <c r="I24" s="116" t="s">
        <v>376</v>
      </c>
      <c r="J24" s="116" t="s">
        <v>271</v>
      </c>
      <c r="K24" s="117" t="s">
        <v>265</v>
      </c>
      <c r="L24" s="117" t="s">
        <v>240</v>
      </c>
      <c r="M24" s="118" t="s">
        <v>285</v>
      </c>
      <c r="N24" s="117" t="s">
        <v>538</v>
      </c>
      <c r="O24" s="116" t="s">
        <v>282</v>
      </c>
      <c r="P24" s="116" t="s">
        <v>283</v>
      </c>
      <c r="Q24" s="116" t="s">
        <v>281</v>
      </c>
      <c r="R24" s="116" t="s">
        <v>239</v>
      </c>
      <c r="S24" s="116" t="s">
        <v>280</v>
      </c>
      <c r="T24" s="116" t="s">
        <v>279</v>
      </c>
      <c r="U24" s="116" t="s">
        <v>371</v>
      </c>
      <c r="V24" s="116" t="s">
        <v>281</v>
      </c>
      <c r="W24" s="122" t="s">
        <v>264</v>
      </c>
      <c r="X24" s="122" t="s">
        <v>296</v>
      </c>
      <c r="Y24" s="122" t="s">
        <v>297</v>
      </c>
      <c r="Z24" s="124" t="s">
        <v>294</v>
      </c>
    </row>
    <row r="25" spans="1:28" ht="16.5" customHeight="1" x14ac:dyDescent="0.25">
      <c r="A25" s="116">
        <v>1</v>
      </c>
      <c r="B25" s="117">
        <v>2</v>
      </c>
      <c r="C25" s="116">
        <v>3</v>
      </c>
      <c r="D25" s="117">
        <v>4</v>
      </c>
      <c r="E25" s="116">
        <v>5</v>
      </c>
      <c r="F25" s="117">
        <v>6</v>
      </c>
      <c r="G25" s="116">
        <v>7</v>
      </c>
      <c r="H25" s="117">
        <v>8</v>
      </c>
      <c r="I25" s="116">
        <v>9</v>
      </c>
      <c r="J25" s="117">
        <v>10</v>
      </c>
      <c r="K25" s="179">
        <v>11</v>
      </c>
      <c r="L25" s="117">
        <v>12</v>
      </c>
      <c r="M25" s="179">
        <v>13</v>
      </c>
      <c r="N25" s="117">
        <v>14</v>
      </c>
      <c r="O25" s="179">
        <v>15</v>
      </c>
      <c r="P25" s="117">
        <v>16</v>
      </c>
      <c r="Q25" s="179">
        <v>17</v>
      </c>
      <c r="R25" s="117">
        <v>18</v>
      </c>
      <c r="S25" s="179">
        <v>19</v>
      </c>
      <c r="T25" s="117">
        <v>20</v>
      </c>
      <c r="U25" s="179">
        <v>21</v>
      </c>
      <c r="V25" s="117">
        <v>22</v>
      </c>
      <c r="W25" s="179">
        <v>23</v>
      </c>
      <c r="X25" s="117">
        <v>24</v>
      </c>
      <c r="Y25" s="179">
        <v>25</v>
      </c>
      <c r="Z25" s="117">
        <v>26</v>
      </c>
    </row>
    <row r="26" spans="1:28" ht="45.75" customHeight="1" x14ac:dyDescent="0.25">
      <c r="A26" s="109" t="s">
        <v>356</v>
      </c>
      <c r="B26" s="115"/>
      <c r="C26" s="111" t="s">
        <v>358</v>
      </c>
      <c r="D26" s="111" t="s">
        <v>359</v>
      </c>
      <c r="E26" s="111" t="s">
        <v>360</v>
      </c>
      <c r="F26" s="111" t="s">
        <v>276</v>
      </c>
      <c r="G26" s="111" t="s">
        <v>361</v>
      </c>
      <c r="H26" s="111" t="s">
        <v>239</v>
      </c>
      <c r="I26" s="111" t="s">
        <v>362</v>
      </c>
      <c r="J26" s="111" t="s">
        <v>363</v>
      </c>
      <c r="K26" s="108"/>
      <c r="L26" s="112" t="s">
        <v>262</v>
      </c>
      <c r="M26" s="114" t="s">
        <v>278</v>
      </c>
      <c r="N26" s="108"/>
      <c r="O26" s="108"/>
      <c r="P26" s="108"/>
      <c r="Q26" s="108"/>
      <c r="R26" s="108"/>
      <c r="S26" s="108"/>
      <c r="T26" s="108"/>
      <c r="U26" s="108"/>
      <c r="V26" s="108"/>
      <c r="W26" s="108"/>
      <c r="X26" s="108"/>
      <c r="Y26" s="108"/>
      <c r="Z26" s="110" t="s">
        <v>295</v>
      </c>
    </row>
    <row r="27" spans="1:28" x14ac:dyDescent="0.25">
      <c r="A27" s="108" t="s">
        <v>241</v>
      </c>
      <c r="B27" s="108" t="s">
        <v>267</v>
      </c>
      <c r="C27" s="108" t="s">
        <v>246</v>
      </c>
      <c r="D27" s="108" t="s">
        <v>247</v>
      </c>
      <c r="E27" s="108" t="s">
        <v>286</v>
      </c>
      <c r="F27" s="111" t="s">
        <v>242</v>
      </c>
      <c r="G27" s="111" t="s">
        <v>290</v>
      </c>
      <c r="H27" s="108" t="s">
        <v>239</v>
      </c>
      <c r="I27" s="111" t="s">
        <v>272</v>
      </c>
      <c r="J27" s="111" t="s">
        <v>254</v>
      </c>
      <c r="K27" s="112" t="s">
        <v>258</v>
      </c>
      <c r="L27" s="108"/>
      <c r="M27" s="112" t="s">
        <v>284</v>
      </c>
      <c r="N27" s="108"/>
      <c r="O27" s="108"/>
      <c r="P27" s="108"/>
      <c r="Q27" s="108"/>
      <c r="R27" s="108"/>
      <c r="S27" s="108"/>
      <c r="T27" s="108"/>
      <c r="U27" s="108"/>
      <c r="V27" s="108"/>
      <c r="W27" s="108"/>
      <c r="X27" s="108"/>
      <c r="Y27" s="108"/>
      <c r="Z27" s="108"/>
    </row>
    <row r="28" spans="1:28" x14ac:dyDescent="0.25">
      <c r="A28" s="108" t="s">
        <v>241</v>
      </c>
      <c r="B28" s="108" t="s">
        <v>268</v>
      </c>
      <c r="C28" s="108" t="s">
        <v>248</v>
      </c>
      <c r="D28" s="108" t="s">
        <v>249</v>
      </c>
      <c r="E28" s="108" t="s">
        <v>287</v>
      </c>
      <c r="F28" s="111" t="s">
        <v>243</v>
      </c>
      <c r="G28" s="111" t="s">
        <v>291</v>
      </c>
      <c r="H28" s="108" t="s">
        <v>239</v>
      </c>
      <c r="I28" s="111" t="s">
        <v>273</v>
      </c>
      <c r="J28" s="111" t="s">
        <v>255</v>
      </c>
      <c r="K28" s="112" t="s">
        <v>259</v>
      </c>
      <c r="L28" s="113"/>
      <c r="M28" s="112" t="s">
        <v>0</v>
      </c>
      <c r="N28" s="112"/>
      <c r="O28" s="112"/>
      <c r="P28" s="112"/>
      <c r="Q28" s="112"/>
      <c r="R28" s="112"/>
      <c r="S28" s="112"/>
      <c r="T28" s="112"/>
      <c r="U28" s="112"/>
      <c r="V28" s="112"/>
      <c r="W28" s="112"/>
      <c r="X28" s="112"/>
      <c r="Y28" s="112"/>
      <c r="Z28" s="112"/>
    </row>
    <row r="29" spans="1:28" x14ac:dyDescent="0.25">
      <c r="A29" s="108" t="s">
        <v>241</v>
      </c>
      <c r="B29" s="108" t="s">
        <v>269</v>
      </c>
      <c r="C29" s="108" t="s">
        <v>250</v>
      </c>
      <c r="D29" s="108" t="s">
        <v>251</v>
      </c>
      <c r="E29" s="108" t="s">
        <v>288</v>
      </c>
      <c r="F29" s="111" t="s">
        <v>244</v>
      </c>
      <c r="G29" s="111" t="s">
        <v>292</v>
      </c>
      <c r="H29" s="108" t="s">
        <v>239</v>
      </c>
      <c r="I29" s="111" t="s">
        <v>274</v>
      </c>
      <c r="J29" s="111" t="s">
        <v>256</v>
      </c>
      <c r="K29" s="112" t="s">
        <v>260</v>
      </c>
      <c r="L29" s="113"/>
      <c r="M29" s="108"/>
      <c r="N29" s="108"/>
      <c r="O29" s="108"/>
      <c r="P29" s="108"/>
      <c r="Q29" s="108"/>
      <c r="R29" s="108"/>
      <c r="S29" s="108"/>
      <c r="T29" s="108"/>
      <c r="U29" s="108"/>
      <c r="V29" s="108"/>
      <c r="W29" s="108"/>
      <c r="X29" s="108"/>
      <c r="Y29" s="108"/>
      <c r="Z29" s="108"/>
    </row>
    <row r="30" spans="1:28" x14ac:dyDescent="0.25">
      <c r="A30" s="108" t="s">
        <v>241</v>
      </c>
      <c r="B30" s="108" t="s">
        <v>270</v>
      </c>
      <c r="C30" s="108" t="s">
        <v>252</v>
      </c>
      <c r="D30" s="108" t="s">
        <v>253</v>
      </c>
      <c r="E30" s="108" t="s">
        <v>289</v>
      </c>
      <c r="F30" s="111" t="s">
        <v>245</v>
      </c>
      <c r="G30" s="111" t="s">
        <v>293</v>
      </c>
      <c r="H30" s="108" t="s">
        <v>239</v>
      </c>
      <c r="I30" s="111" t="s">
        <v>275</v>
      </c>
      <c r="J30" s="111" t="s">
        <v>257</v>
      </c>
      <c r="K30" s="112" t="s">
        <v>261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357</v>
      </c>
      <c r="B32" s="115"/>
      <c r="C32" s="111" t="s">
        <v>364</v>
      </c>
      <c r="D32" s="111" t="s">
        <v>365</v>
      </c>
      <c r="E32" s="111" t="s">
        <v>366</v>
      </c>
      <c r="F32" s="111" t="s">
        <v>367</v>
      </c>
      <c r="G32" s="111" t="s">
        <v>368</v>
      </c>
      <c r="H32" s="111" t="s">
        <v>239</v>
      </c>
      <c r="I32" s="111" t="s">
        <v>369</v>
      </c>
      <c r="J32" s="111" t="s">
        <v>370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74" t="s">
        <v>9</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1" t="s">
        <v>8</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8" t="str">
        <f>'1. паспорт местоположение'!A12:C12</f>
        <v>F_prj_111001_49220</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1" t="s">
        <v>7</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2" x14ac:dyDescent="0.2">
      <c r="A15" s="378" t="str">
        <f>'1. паспорт местоположение'!A15</f>
        <v>Строительство КТПн 10/0.4 кВ, двух КЛ 10 кВ от РП-XXXIX до КТПн, двух КЛ 1 кВ от КТПн до РЩ по ул.Аксакова в г.Калининграде</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1" t="s">
        <v>6</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6" t="s">
        <v>504</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83" t="s">
        <v>5</v>
      </c>
      <c r="B19" s="383" t="s">
        <v>87</v>
      </c>
      <c r="C19" s="383" t="s">
        <v>86</v>
      </c>
      <c r="D19" s="383" t="s">
        <v>75</v>
      </c>
      <c r="E19" s="417" t="s">
        <v>85</v>
      </c>
      <c r="F19" s="418"/>
      <c r="G19" s="418"/>
      <c r="H19" s="418"/>
      <c r="I19" s="419"/>
      <c r="J19" s="383" t="s">
        <v>84</v>
      </c>
      <c r="K19" s="383"/>
      <c r="L19" s="383"/>
      <c r="M19" s="383"/>
      <c r="N19" s="383"/>
      <c r="O19" s="383"/>
      <c r="P19" s="4"/>
      <c r="Q19" s="4"/>
      <c r="R19" s="4"/>
      <c r="S19" s="4"/>
      <c r="T19" s="4"/>
      <c r="U19" s="4"/>
      <c r="V19" s="4"/>
      <c r="W19" s="4"/>
    </row>
    <row r="20" spans="1:26" s="3" customFormat="1" ht="51" customHeight="1" x14ac:dyDescent="0.2">
      <c r="A20" s="383"/>
      <c r="B20" s="383"/>
      <c r="C20" s="383"/>
      <c r="D20" s="383"/>
      <c r="E20" s="46" t="s">
        <v>83</v>
      </c>
      <c r="F20" s="46" t="s">
        <v>82</v>
      </c>
      <c r="G20" s="46" t="s">
        <v>81</v>
      </c>
      <c r="H20" s="46" t="s">
        <v>80</v>
      </c>
      <c r="I20" s="46" t="s">
        <v>79</v>
      </c>
      <c r="J20" s="46" t="s">
        <v>78</v>
      </c>
      <c r="K20" s="46" t="s">
        <v>4</v>
      </c>
      <c r="L20" s="54" t="s">
        <v>3</v>
      </c>
      <c r="M20" s="53" t="s">
        <v>235</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20" t="str">
        <f>'4. паспортбюджет'!A5:O5</f>
        <v>Год раскрытия информации: 2017 год</v>
      </c>
      <c r="B5" s="420"/>
      <c r="C5" s="420"/>
      <c r="D5" s="420"/>
      <c r="E5" s="420"/>
      <c r="F5" s="420"/>
      <c r="G5" s="420"/>
      <c r="H5" s="420"/>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4" t="str">
        <f>'[2]1. паспорт местоположение'!A7:C7</f>
        <v xml:space="preserve">Паспорт инвестиционного проекта </v>
      </c>
      <c r="B7" s="374"/>
      <c r="C7" s="374"/>
      <c r="D7" s="374"/>
      <c r="E7" s="374"/>
      <c r="F7" s="374"/>
      <c r="G7" s="374"/>
      <c r="H7" s="374"/>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280"/>
      <c r="B8" s="280"/>
      <c r="C8" s="280"/>
      <c r="D8" s="280"/>
      <c r="E8" s="280"/>
      <c r="F8" s="280"/>
      <c r="G8" s="280"/>
      <c r="H8" s="280"/>
      <c r="I8" s="280"/>
      <c r="J8" s="280"/>
      <c r="K8" s="280"/>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7"/>
      <c r="AR8" s="187"/>
    </row>
    <row r="9" spans="1:44" ht="18.75" x14ac:dyDescent="0.2">
      <c r="A9" s="373" t="str">
        <f>'[2]1. паспорт местоположение'!A9:C9</f>
        <v xml:space="preserve">                         АО "Янтарьэнерго"                         </v>
      </c>
      <c r="B9" s="373"/>
      <c r="C9" s="373"/>
      <c r="D9" s="373"/>
      <c r="E9" s="373"/>
      <c r="F9" s="373"/>
      <c r="G9" s="373"/>
      <c r="H9" s="373"/>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71" t="s">
        <v>8</v>
      </c>
      <c r="B10" s="371"/>
      <c r="C10" s="371"/>
      <c r="D10" s="371"/>
      <c r="E10" s="371"/>
      <c r="F10" s="371"/>
      <c r="G10" s="371"/>
      <c r="H10" s="371"/>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280"/>
      <c r="B11" s="280"/>
      <c r="C11" s="280"/>
      <c r="D11" s="280"/>
      <c r="E11" s="280"/>
      <c r="F11" s="280"/>
      <c r="G11" s="280"/>
      <c r="H11" s="280"/>
      <c r="I11" s="280"/>
      <c r="J11" s="280"/>
      <c r="K11" s="280"/>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3" t="str">
        <f>'1. паспорт местоположение'!A12:C12</f>
        <v>F_prj_111001_49220</v>
      </c>
      <c r="B12" s="373"/>
      <c r="C12" s="373"/>
      <c r="D12" s="373"/>
      <c r="E12" s="373"/>
      <c r="F12" s="373"/>
      <c r="G12" s="373"/>
      <c r="H12" s="373"/>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71" t="s">
        <v>7</v>
      </c>
      <c r="B13" s="371"/>
      <c r="C13" s="371"/>
      <c r="D13" s="371"/>
      <c r="E13" s="371"/>
      <c r="F13" s="371"/>
      <c r="G13" s="371"/>
      <c r="H13" s="371"/>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23" t="str">
        <f>'1. паспорт местоположение'!A15:C15</f>
        <v>Строительство КТПн 10/0.4 кВ, двух КЛ 10 кВ от РП-XXXIX до КТПн, двух КЛ 1 кВ от КТПн до РЩ по ул.Аксакова в г.Калининграде</v>
      </c>
      <c r="B15" s="372"/>
      <c r="C15" s="372"/>
      <c r="D15" s="372"/>
      <c r="E15" s="372"/>
      <c r="F15" s="372"/>
      <c r="G15" s="372"/>
      <c r="H15" s="37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71" t="s">
        <v>6</v>
      </c>
      <c r="B16" s="371"/>
      <c r="C16" s="371"/>
      <c r="D16" s="371"/>
      <c r="E16" s="371"/>
      <c r="F16" s="371"/>
      <c r="G16" s="371"/>
      <c r="H16" s="371"/>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3" t="s">
        <v>505</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352</v>
      </c>
      <c r="B24" s="201" t="s">
        <v>1</v>
      </c>
      <c r="D24" s="202"/>
      <c r="E24" s="203"/>
      <c r="F24" s="203"/>
      <c r="G24" s="203"/>
      <c r="H24" s="203"/>
    </row>
    <row r="25" spans="1:44" x14ac:dyDescent="0.2">
      <c r="A25" s="204" t="s">
        <v>545</v>
      </c>
      <c r="B25" s="205">
        <f>$B$126/1.18</f>
        <v>14257930.698102707</v>
      </c>
    </row>
    <row r="26" spans="1:44" x14ac:dyDescent="0.2">
      <c r="A26" s="206" t="s">
        <v>350</v>
      </c>
      <c r="B26" s="207">
        <v>0</v>
      </c>
    </row>
    <row r="27" spans="1:44" x14ac:dyDescent="0.2">
      <c r="A27" s="206" t="s">
        <v>348</v>
      </c>
      <c r="B27" s="207">
        <f>$B$123</f>
        <v>25</v>
      </c>
      <c r="D27" s="199" t="s">
        <v>351</v>
      </c>
    </row>
    <row r="28" spans="1:44" ht="16.149999999999999" customHeight="1" thickBot="1" x14ac:dyDescent="0.25">
      <c r="A28" s="208" t="s">
        <v>346</v>
      </c>
      <c r="B28" s="209">
        <v>1</v>
      </c>
      <c r="D28" s="424" t="s">
        <v>349</v>
      </c>
      <c r="E28" s="425"/>
      <c r="F28" s="426"/>
      <c r="G28" s="427">
        <f>IF(SUM(B89:L89)=0,"не окупается",SUM(B89:L89))</f>
        <v>2.8902615913960661</v>
      </c>
      <c r="H28" s="428"/>
    </row>
    <row r="29" spans="1:44" ht="15.6" customHeight="1" x14ac:dyDescent="0.2">
      <c r="A29" s="204" t="s">
        <v>344</v>
      </c>
      <c r="B29" s="205">
        <f>$B$126*$B$127</f>
        <v>168243.58223761193</v>
      </c>
      <c r="D29" s="424" t="s">
        <v>347</v>
      </c>
      <c r="E29" s="425"/>
      <c r="F29" s="426"/>
      <c r="G29" s="427">
        <f>IF(SUM(B90:L90)=0,"не окупается",SUM(B90:L90))</f>
        <v>3.3081285204677311</v>
      </c>
      <c r="H29" s="428"/>
    </row>
    <row r="30" spans="1:44" ht="27.6" customHeight="1" x14ac:dyDescent="0.2">
      <c r="A30" s="206" t="s">
        <v>546</v>
      </c>
      <c r="B30" s="207">
        <v>1</v>
      </c>
      <c r="D30" s="424" t="s">
        <v>345</v>
      </c>
      <c r="E30" s="425"/>
      <c r="F30" s="426"/>
      <c r="G30" s="429">
        <f>L87</f>
        <v>8417462.3716283422</v>
      </c>
      <c r="H30" s="430"/>
    </row>
    <row r="31" spans="1:44" x14ac:dyDescent="0.2">
      <c r="A31" s="206" t="s">
        <v>343</v>
      </c>
      <c r="B31" s="207">
        <v>1</v>
      </c>
      <c r="D31" s="431"/>
      <c r="E31" s="432"/>
      <c r="F31" s="433"/>
      <c r="G31" s="431"/>
      <c r="H31" s="433"/>
    </row>
    <row r="32" spans="1:44" x14ac:dyDescent="0.2">
      <c r="A32" s="206" t="s">
        <v>321</v>
      </c>
      <c r="B32" s="207"/>
    </row>
    <row r="33" spans="1:42" x14ac:dyDescent="0.2">
      <c r="A33" s="206" t="s">
        <v>342</v>
      </c>
      <c r="B33" s="207"/>
    </row>
    <row r="34" spans="1:42" x14ac:dyDescent="0.2">
      <c r="A34" s="206" t="s">
        <v>341</v>
      </c>
      <c r="B34" s="207"/>
    </row>
    <row r="35" spans="1:42" x14ac:dyDescent="0.2">
      <c r="A35" s="210"/>
      <c r="B35" s="207"/>
    </row>
    <row r="36" spans="1:42" ht="16.5" thickBot="1" x14ac:dyDescent="0.25">
      <c r="A36" s="208" t="s">
        <v>313</v>
      </c>
      <c r="B36" s="211">
        <v>0.2</v>
      </c>
    </row>
    <row r="37" spans="1:42" x14ac:dyDescent="0.2">
      <c r="A37" s="204" t="s">
        <v>547</v>
      </c>
      <c r="B37" s="205">
        <v>0</v>
      </c>
    </row>
    <row r="38" spans="1:42" x14ac:dyDescent="0.2">
      <c r="A38" s="206" t="s">
        <v>340</v>
      </c>
      <c r="B38" s="207"/>
    </row>
    <row r="39" spans="1:42" ht="16.5" thickBot="1" x14ac:dyDescent="0.25">
      <c r="A39" s="212" t="s">
        <v>339</v>
      </c>
      <c r="B39" s="213"/>
    </row>
    <row r="40" spans="1:42" x14ac:dyDescent="0.2">
      <c r="A40" s="214" t="s">
        <v>548</v>
      </c>
      <c r="B40" s="215">
        <v>1</v>
      </c>
    </row>
    <row r="41" spans="1:42" x14ac:dyDescent="0.2">
      <c r="A41" s="216" t="s">
        <v>338</v>
      </c>
      <c r="B41" s="217"/>
    </row>
    <row r="42" spans="1:42" x14ac:dyDescent="0.2">
      <c r="A42" s="216" t="s">
        <v>337</v>
      </c>
      <c r="B42" s="218"/>
    </row>
    <row r="43" spans="1:42" x14ac:dyDescent="0.2">
      <c r="A43" s="216" t="s">
        <v>336</v>
      </c>
      <c r="B43" s="218">
        <v>0</v>
      </c>
    </row>
    <row r="44" spans="1:42" x14ac:dyDescent="0.2">
      <c r="A44" s="216" t="s">
        <v>335</v>
      </c>
      <c r="B44" s="218">
        <f>B129</f>
        <v>0.20499999999999999</v>
      </c>
    </row>
    <row r="45" spans="1:42" x14ac:dyDescent="0.2">
      <c r="A45" s="216" t="s">
        <v>334</v>
      </c>
      <c r="B45" s="218">
        <f>1-B43</f>
        <v>1</v>
      </c>
    </row>
    <row r="46" spans="1:42" ht="16.5" thickBot="1" x14ac:dyDescent="0.25">
      <c r="A46" s="219" t="s">
        <v>333</v>
      </c>
      <c r="B46" s="220">
        <f>B45*B44+B43*B42*(1-B36)</f>
        <v>0.20499999999999999</v>
      </c>
      <c r="C46" s="221"/>
    </row>
    <row r="47" spans="1:42" s="224" customFormat="1" x14ac:dyDescent="0.2">
      <c r="A47" s="222" t="s">
        <v>332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331</v>
      </c>
      <c r="B48" s="285">
        <f>C136</f>
        <v>5.8000000000000003E-2</v>
      </c>
      <c r="C48" s="285">
        <f t="shared" ref="C48:AP49" si="1">D136</f>
        <v>5.5E-2</v>
      </c>
      <c r="D48" s="285">
        <f t="shared" si="1"/>
        <v>5.5E-2</v>
      </c>
      <c r="E48" s="285">
        <f t="shared" si="1"/>
        <v>5.5E-2</v>
      </c>
      <c r="F48" s="285">
        <f t="shared" si="1"/>
        <v>5.5E-2</v>
      </c>
      <c r="G48" s="285">
        <f t="shared" si="1"/>
        <v>5.5E-2</v>
      </c>
      <c r="H48" s="285">
        <f t="shared" si="1"/>
        <v>5.5E-2</v>
      </c>
      <c r="I48" s="285">
        <f t="shared" si="1"/>
        <v>5.5E-2</v>
      </c>
      <c r="J48" s="285">
        <f t="shared" si="1"/>
        <v>5.5E-2</v>
      </c>
      <c r="K48" s="285">
        <f t="shared" si="1"/>
        <v>5.5E-2</v>
      </c>
      <c r="L48" s="285">
        <f t="shared" si="1"/>
        <v>5.5E-2</v>
      </c>
      <c r="M48" s="285">
        <f t="shared" si="1"/>
        <v>5.5E-2</v>
      </c>
      <c r="N48" s="285">
        <f t="shared" si="1"/>
        <v>5.5E-2</v>
      </c>
      <c r="O48" s="285">
        <f t="shared" si="1"/>
        <v>5.5E-2</v>
      </c>
      <c r="P48" s="285">
        <f t="shared" si="1"/>
        <v>5.5E-2</v>
      </c>
      <c r="Q48" s="285">
        <f t="shared" si="1"/>
        <v>5.5E-2</v>
      </c>
      <c r="R48" s="285">
        <f t="shared" si="1"/>
        <v>5.5E-2</v>
      </c>
      <c r="S48" s="285">
        <f t="shared" si="1"/>
        <v>5.5E-2</v>
      </c>
      <c r="T48" s="285">
        <f t="shared" si="1"/>
        <v>5.5E-2</v>
      </c>
      <c r="U48" s="285">
        <f t="shared" si="1"/>
        <v>5.5E-2</v>
      </c>
      <c r="V48" s="285">
        <f t="shared" si="1"/>
        <v>5.5E-2</v>
      </c>
      <c r="W48" s="285">
        <f t="shared" si="1"/>
        <v>5.5E-2</v>
      </c>
      <c r="X48" s="285">
        <f t="shared" si="1"/>
        <v>5.5E-2</v>
      </c>
      <c r="Y48" s="285">
        <f t="shared" si="1"/>
        <v>5.5E-2</v>
      </c>
      <c r="Z48" s="285">
        <f t="shared" si="1"/>
        <v>5.5E-2</v>
      </c>
      <c r="AA48" s="285">
        <f t="shared" si="1"/>
        <v>5.5E-2</v>
      </c>
      <c r="AB48" s="285">
        <f t="shared" si="1"/>
        <v>5.5E-2</v>
      </c>
      <c r="AC48" s="285">
        <f t="shared" si="1"/>
        <v>5.5E-2</v>
      </c>
      <c r="AD48" s="285">
        <f t="shared" si="1"/>
        <v>5.5E-2</v>
      </c>
      <c r="AE48" s="285">
        <f t="shared" si="1"/>
        <v>5.5E-2</v>
      </c>
      <c r="AF48" s="285">
        <f t="shared" si="1"/>
        <v>5.5E-2</v>
      </c>
      <c r="AG48" s="285">
        <f t="shared" si="1"/>
        <v>5.5E-2</v>
      </c>
      <c r="AH48" s="285">
        <f t="shared" si="1"/>
        <v>5.5E-2</v>
      </c>
      <c r="AI48" s="285">
        <f t="shared" si="1"/>
        <v>5.5E-2</v>
      </c>
      <c r="AJ48" s="285">
        <f t="shared" si="1"/>
        <v>5.5E-2</v>
      </c>
      <c r="AK48" s="285">
        <f t="shared" si="1"/>
        <v>5.5E-2</v>
      </c>
      <c r="AL48" s="285">
        <f t="shared" si="1"/>
        <v>5.5E-2</v>
      </c>
      <c r="AM48" s="285">
        <f t="shared" si="1"/>
        <v>5.5E-2</v>
      </c>
      <c r="AN48" s="285">
        <f t="shared" si="1"/>
        <v>5.5E-2</v>
      </c>
      <c r="AO48" s="285">
        <f t="shared" si="1"/>
        <v>5.5E-2</v>
      </c>
      <c r="AP48" s="285">
        <f t="shared" si="1"/>
        <v>5.5E-2</v>
      </c>
    </row>
    <row r="49" spans="1:45" s="224" customFormat="1" x14ac:dyDescent="0.2">
      <c r="A49" s="225" t="s">
        <v>330</v>
      </c>
      <c r="B49" s="285">
        <f>C137</f>
        <v>5.8000000000000052E-2</v>
      </c>
      <c r="C49" s="285">
        <f t="shared" si="1"/>
        <v>0.11619000000000002</v>
      </c>
      <c r="D49" s="285">
        <f t="shared" si="1"/>
        <v>0.17758045</v>
      </c>
      <c r="E49" s="285">
        <f t="shared" si="1"/>
        <v>0.24234737475000001</v>
      </c>
      <c r="F49" s="285">
        <f t="shared" si="1"/>
        <v>0.31067648036124984</v>
      </c>
      <c r="G49" s="285">
        <f t="shared" si="1"/>
        <v>0.38276368678111861</v>
      </c>
      <c r="H49" s="285">
        <f t="shared" si="1"/>
        <v>0.45881568955408003</v>
      </c>
      <c r="I49" s="285">
        <f t="shared" si="1"/>
        <v>0.53905055247955436</v>
      </c>
      <c r="J49" s="285">
        <f t="shared" si="1"/>
        <v>0.62369833286592979</v>
      </c>
      <c r="K49" s="285">
        <f t="shared" si="1"/>
        <v>0.71300174117355586</v>
      </c>
      <c r="L49" s="285">
        <f t="shared" si="1"/>
        <v>0.80721683693810142</v>
      </c>
      <c r="M49" s="285">
        <f t="shared" si="1"/>
        <v>0.90661376296969687</v>
      </c>
      <c r="N49" s="285">
        <f t="shared" si="1"/>
        <v>1.0114775199330301</v>
      </c>
      <c r="O49" s="285">
        <f t="shared" si="1"/>
        <v>1.1221087835293466</v>
      </c>
      <c r="P49" s="285">
        <f t="shared" si="1"/>
        <v>1.2388247666234604</v>
      </c>
      <c r="Q49" s="285">
        <f t="shared" si="1"/>
        <v>1.3619601287877505</v>
      </c>
      <c r="R49" s="285">
        <f t="shared" si="1"/>
        <v>1.4918679358710767</v>
      </c>
      <c r="S49" s="285">
        <f t="shared" si="1"/>
        <v>1.6289206723439857</v>
      </c>
      <c r="T49" s="285">
        <f t="shared" si="1"/>
        <v>1.7735113093229047</v>
      </c>
      <c r="U49" s="285">
        <f t="shared" si="1"/>
        <v>1.9260544313356642</v>
      </c>
      <c r="V49" s="285">
        <f t="shared" si="1"/>
        <v>2.0869874250591254</v>
      </c>
      <c r="W49" s="285">
        <f t="shared" si="1"/>
        <v>2.2567717334373771</v>
      </c>
      <c r="X49" s="285">
        <f t="shared" si="1"/>
        <v>2.4358941787764326</v>
      </c>
      <c r="Y49" s="285">
        <f t="shared" si="1"/>
        <v>2.6248683586091359</v>
      </c>
      <c r="Z49" s="285">
        <f t="shared" si="1"/>
        <v>2.8242361183326383</v>
      </c>
      <c r="AA49" s="285">
        <f t="shared" si="1"/>
        <v>3.0345691048409336</v>
      </c>
      <c r="AB49" s="285">
        <f t="shared" si="1"/>
        <v>3.2564704056071845</v>
      </c>
      <c r="AC49" s="285">
        <f t="shared" si="1"/>
        <v>3.4905762779155793</v>
      </c>
      <c r="AD49" s="285">
        <f t="shared" si="1"/>
        <v>3.7375579732009356</v>
      </c>
      <c r="AE49" s="285">
        <f t="shared" si="1"/>
        <v>3.9981236617269866</v>
      </c>
      <c r="AF49" s="285">
        <f t="shared" si="1"/>
        <v>4.2730204631219708</v>
      </c>
      <c r="AG49" s="285">
        <f t="shared" si="1"/>
        <v>4.563036588593679</v>
      </c>
      <c r="AH49" s="285">
        <f t="shared" si="1"/>
        <v>4.8690036009663311</v>
      </c>
      <c r="AI49" s="285">
        <f t="shared" si="1"/>
        <v>5.1917987990194794</v>
      </c>
      <c r="AJ49" s="285">
        <f t="shared" si="1"/>
        <v>5.5323477329655502</v>
      </c>
      <c r="AK49" s="285">
        <f t="shared" si="1"/>
        <v>5.8916268582786548</v>
      </c>
      <c r="AL49" s="285">
        <f t="shared" si="1"/>
        <v>6.2706663354839804</v>
      </c>
      <c r="AM49" s="285">
        <f t="shared" si="1"/>
        <v>6.6705529839355986</v>
      </c>
      <c r="AN49" s="285">
        <f t="shared" si="1"/>
        <v>7.0924333980520569</v>
      </c>
      <c r="AO49" s="285">
        <f t="shared" si="1"/>
        <v>7.5375172349449198</v>
      </c>
      <c r="AP49" s="285">
        <f t="shared" si="1"/>
        <v>8.0070806828668903</v>
      </c>
    </row>
    <row r="50" spans="1:45" s="224" customFormat="1" ht="16.5" thickBot="1" x14ac:dyDescent="0.25">
      <c r="A50" s="226" t="s">
        <v>549</v>
      </c>
      <c r="B50" s="227">
        <f>IF($B$124="да",($B$126-0.05),0)</f>
        <v>16824358.173761193</v>
      </c>
      <c r="C50" s="227">
        <f>C108*(1+C49)</f>
        <v>1477264.8742339278</v>
      </c>
      <c r="D50" s="227">
        <f t="shared" ref="D50:AP50" si="2">D108*(1+D49)</f>
        <v>3117028.8846335877</v>
      </c>
      <c r="E50" s="227">
        <f t="shared" si="2"/>
        <v>4982523.4443764174</v>
      </c>
      <c r="F50" s="227">
        <f t="shared" si="2"/>
        <v>5256562.2338171201</v>
      </c>
      <c r="G50" s="227">
        <f t="shared" si="2"/>
        <v>5545673.1566770617</v>
      </c>
      <c r="H50" s="227">
        <f t="shared" si="2"/>
        <v>5850685.1802942995</v>
      </c>
      <c r="I50" s="227">
        <f t="shared" si="2"/>
        <v>6172472.8652104856</v>
      </c>
      <c r="J50" s="227">
        <f t="shared" si="2"/>
        <v>6511958.8727970626</v>
      </c>
      <c r="K50" s="227">
        <f t="shared" si="2"/>
        <v>6870116.6108009005</v>
      </c>
      <c r="L50" s="227">
        <f t="shared" si="2"/>
        <v>7247973.0243949499</v>
      </c>
      <c r="M50" s="227">
        <f t="shared" si="2"/>
        <v>7646611.5407366715</v>
      </c>
      <c r="N50" s="227">
        <f t="shared" si="2"/>
        <v>8067175.175477189</v>
      </c>
      <c r="O50" s="227">
        <f t="shared" si="2"/>
        <v>8510869.8101284336</v>
      </c>
      <c r="P50" s="227">
        <f t="shared" si="2"/>
        <v>8978967.6496854965</v>
      </c>
      <c r="Q50" s="227">
        <f t="shared" si="2"/>
        <v>9472810.8704181965</v>
      </c>
      <c r="R50" s="227">
        <f t="shared" si="2"/>
        <v>9993815.468291197</v>
      </c>
      <c r="S50" s="227">
        <f t="shared" si="2"/>
        <v>10543475.319047213</v>
      </c>
      <c r="T50" s="227">
        <f t="shared" si="2"/>
        <v>11123366.461594809</v>
      </c>
      <c r="U50" s="227">
        <f t="shared" si="2"/>
        <v>11735151.616982521</v>
      </c>
      <c r="V50" s="227">
        <f t="shared" si="2"/>
        <v>12380584.955916559</v>
      </c>
      <c r="W50" s="227">
        <f t="shared" si="2"/>
        <v>13061517.12849197</v>
      </c>
      <c r="X50" s="227">
        <f t="shared" si="2"/>
        <v>13779900.570559027</v>
      </c>
      <c r="Y50" s="227">
        <f t="shared" si="2"/>
        <v>14537795.101939771</v>
      </c>
      <c r="Z50" s="227">
        <f t="shared" si="2"/>
        <v>15337373.83254646</v>
      </c>
      <c r="AA50" s="227">
        <f t="shared" si="2"/>
        <v>16180929.393336514</v>
      </c>
      <c r="AB50" s="227">
        <f t="shared" si="2"/>
        <v>17070880.509970021</v>
      </c>
      <c r="AC50" s="227">
        <f t="shared" si="2"/>
        <v>18009778.93801837</v>
      </c>
      <c r="AD50" s="227">
        <f t="shared" si="2"/>
        <v>19000316.779609378</v>
      </c>
      <c r="AE50" s="227">
        <f t="shared" si="2"/>
        <v>20045334.202487893</v>
      </c>
      <c r="AF50" s="227">
        <f t="shared" si="2"/>
        <v>21147827.583624728</v>
      </c>
      <c r="AG50" s="227">
        <f t="shared" si="2"/>
        <v>22310958.100724086</v>
      </c>
      <c r="AH50" s="227">
        <f t="shared" si="2"/>
        <v>23538060.796263911</v>
      </c>
      <c r="AI50" s="227">
        <f t="shared" si="2"/>
        <v>24832654.140058424</v>
      </c>
      <c r="AJ50" s="227">
        <f t="shared" si="2"/>
        <v>26198450.117761634</v>
      </c>
      <c r="AK50" s="227">
        <f t="shared" si="2"/>
        <v>27639364.874238525</v>
      </c>
      <c r="AL50" s="227">
        <f t="shared" si="2"/>
        <v>29159529.94232164</v>
      </c>
      <c r="AM50" s="227">
        <f t="shared" si="2"/>
        <v>30763304.089149326</v>
      </c>
      <c r="AN50" s="227">
        <f t="shared" si="2"/>
        <v>32455285.814052541</v>
      </c>
      <c r="AO50" s="227">
        <f t="shared" si="2"/>
        <v>34240326.533825435</v>
      </c>
      <c r="AP50" s="227">
        <f t="shared" si="2"/>
        <v>36123544.493185833</v>
      </c>
    </row>
    <row r="51" spans="1:45" ht="16.5" thickBot="1" x14ac:dyDescent="0.25"/>
    <row r="52" spans="1:45" x14ac:dyDescent="0.2">
      <c r="A52" s="228" t="s">
        <v>329</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328</v>
      </c>
      <c r="B53" s="286">
        <v>0</v>
      </c>
      <c r="C53" s="286">
        <f t="shared" ref="C53:AP53" si="4">B53+B54-B55</f>
        <v>0</v>
      </c>
      <c r="D53" s="286">
        <f t="shared" si="4"/>
        <v>0</v>
      </c>
      <c r="E53" s="286">
        <f t="shared" si="4"/>
        <v>0</v>
      </c>
      <c r="F53" s="286">
        <f t="shared" si="4"/>
        <v>0</v>
      </c>
      <c r="G53" s="286">
        <f t="shared" si="4"/>
        <v>0</v>
      </c>
      <c r="H53" s="286">
        <f t="shared" si="4"/>
        <v>0</v>
      </c>
      <c r="I53" s="286">
        <f t="shared" si="4"/>
        <v>0</v>
      </c>
      <c r="J53" s="286">
        <f t="shared" si="4"/>
        <v>0</v>
      </c>
      <c r="K53" s="286">
        <f t="shared" si="4"/>
        <v>0</v>
      </c>
      <c r="L53" s="286">
        <f t="shared" si="4"/>
        <v>0</v>
      </c>
      <c r="M53" s="286">
        <f t="shared" si="4"/>
        <v>0</v>
      </c>
      <c r="N53" s="286">
        <f t="shared" si="4"/>
        <v>0</v>
      </c>
      <c r="O53" s="286">
        <f t="shared" si="4"/>
        <v>0</v>
      </c>
      <c r="P53" s="286">
        <f t="shared" si="4"/>
        <v>0</v>
      </c>
      <c r="Q53" s="286">
        <f t="shared" si="4"/>
        <v>0</v>
      </c>
      <c r="R53" s="286">
        <f t="shared" si="4"/>
        <v>0</v>
      </c>
      <c r="S53" s="286">
        <f t="shared" si="4"/>
        <v>0</v>
      </c>
      <c r="T53" s="286">
        <f t="shared" si="4"/>
        <v>0</v>
      </c>
      <c r="U53" s="286">
        <f t="shared" si="4"/>
        <v>0</v>
      </c>
      <c r="V53" s="286">
        <f t="shared" si="4"/>
        <v>0</v>
      </c>
      <c r="W53" s="286">
        <f t="shared" si="4"/>
        <v>0</v>
      </c>
      <c r="X53" s="286">
        <f t="shared" si="4"/>
        <v>0</v>
      </c>
      <c r="Y53" s="286">
        <f t="shared" si="4"/>
        <v>0</v>
      </c>
      <c r="Z53" s="286">
        <f t="shared" si="4"/>
        <v>0</v>
      </c>
      <c r="AA53" s="286">
        <f t="shared" si="4"/>
        <v>0</v>
      </c>
      <c r="AB53" s="286">
        <f t="shared" si="4"/>
        <v>0</v>
      </c>
      <c r="AC53" s="286">
        <f t="shared" si="4"/>
        <v>0</v>
      </c>
      <c r="AD53" s="286">
        <f t="shared" si="4"/>
        <v>0</v>
      </c>
      <c r="AE53" s="286">
        <f t="shared" si="4"/>
        <v>0</v>
      </c>
      <c r="AF53" s="286">
        <f t="shared" si="4"/>
        <v>0</v>
      </c>
      <c r="AG53" s="286">
        <f t="shared" si="4"/>
        <v>0</v>
      </c>
      <c r="AH53" s="286">
        <f t="shared" si="4"/>
        <v>0</v>
      </c>
      <c r="AI53" s="286">
        <f t="shared" si="4"/>
        <v>0</v>
      </c>
      <c r="AJ53" s="286">
        <f t="shared" si="4"/>
        <v>0</v>
      </c>
      <c r="AK53" s="286">
        <f t="shared" si="4"/>
        <v>0</v>
      </c>
      <c r="AL53" s="286">
        <f t="shared" si="4"/>
        <v>0</v>
      </c>
      <c r="AM53" s="286">
        <f t="shared" si="4"/>
        <v>0</v>
      </c>
      <c r="AN53" s="286">
        <f t="shared" si="4"/>
        <v>0</v>
      </c>
      <c r="AO53" s="286">
        <f t="shared" si="4"/>
        <v>0</v>
      </c>
      <c r="AP53" s="286">
        <f t="shared" si="4"/>
        <v>0</v>
      </c>
    </row>
    <row r="54" spans="1:45" x14ac:dyDescent="0.2">
      <c r="A54" s="230" t="s">
        <v>327</v>
      </c>
      <c r="B54" s="286">
        <f>B25*B28*B43*1.18</f>
        <v>0</v>
      </c>
      <c r="C54" s="286">
        <v>0</v>
      </c>
      <c r="D54" s="286">
        <v>0</v>
      </c>
      <c r="E54" s="286">
        <v>0</v>
      </c>
      <c r="F54" s="286">
        <v>0</v>
      </c>
      <c r="G54" s="286">
        <v>0</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6">
        <v>0</v>
      </c>
      <c r="AC54" s="286">
        <v>0</v>
      </c>
      <c r="AD54" s="286">
        <v>0</v>
      </c>
      <c r="AE54" s="286">
        <v>0</v>
      </c>
      <c r="AF54" s="286">
        <v>0</v>
      </c>
      <c r="AG54" s="286">
        <v>0</v>
      </c>
      <c r="AH54" s="286">
        <v>0</v>
      </c>
      <c r="AI54" s="286">
        <v>0</v>
      </c>
      <c r="AJ54" s="286">
        <v>0</v>
      </c>
      <c r="AK54" s="286">
        <v>0</v>
      </c>
      <c r="AL54" s="286">
        <v>0</v>
      </c>
      <c r="AM54" s="286">
        <v>0</v>
      </c>
      <c r="AN54" s="286">
        <v>0</v>
      </c>
      <c r="AO54" s="286">
        <v>0</v>
      </c>
      <c r="AP54" s="286">
        <v>0</v>
      </c>
    </row>
    <row r="55" spans="1:45" x14ac:dyDescent="0.2">
      <c r="A55" s="230" t="s">
        <v>326</v>
      </c>
      <c r="B55" s="286">
        <f>$B$54/$B$40</f>
        <v>0</v>
      </c>
      <c r="C55" s="286">
        <f t="shared" ref="C55:AP55" si="5">IF(ROUND(C53,1)=0,0,B55+C54/$B$40)</f>
        <v>0</v>
      </c>
      <c r="D55" s="286">
        <f t="shared" si="5"/>
        <v>0</v>
      </c>
      <c r="E55" s="286">
        <f t="shared" si="5"/>
        <v>0</v>
      </c>
      <c r="F55" s="286">
        <f t="shared" si="5"/>
        <v>0</v>
      </c>
      <c r="G55" s="286">
        <f t="shared" si="5"/>
        <v>0</v>
      </c>
      <c r="H55" s="286">
        <f t="shared" si="5"/>
        <v>0</v>
      </c>
      <c r="I55" s="286">
        <f t="shared" si="5"/>
        <v>0</v>
      </c>
      <c r="J55" s="286">
        <f t="shared" si="5"/>
        <v>0</v>
      </c>
      <c r="K55" s="286">
        <f t="shared" si="5"/>
        <v>0</v>
      </c>
      <c r="L55" s="286">
        <f t="shared" si="5"/>
        <v>0</v>
      </c>
      <c r="M55" s="286">
        <f t="shared" si="5"/>
        <v>0</v>
      </c>
      <c r="N55" s="286">
        <f t="shared" si="5"/>
        <v>0</v>
      </c>
      <c r="O55" s="286">
        <f t="shared" si="5"/>
        <v>0</v>
      </c>
      <c r="P55" s="286">
        <f t="shared" si="5"/>
        <v>0</v>
      </c>
      <c r="Q55" s="286">
        <f t="shared" si="5"/>
        <v>0</v>
      </c>
      <c r="R55" s="286">
        <f t="shared" si="5"/>
        <v>0</v>
      </c>
      <c r="S55" s="286">
        <f t="shared" si="5"/>
        <v>0</v>
      </c>
      <c r="T55" s="286">
        <f t="shared" si="5"/>
        <v>0</v>
      </c>
      <c r="U55" s="286">
        <f t="shared" si="5"/>
        <v>0</v>
      </c>
      <c r="V55" s="286">
        <f t="shared" si="5"/>
        <v>0</v>
      </c>
      <c r="W55" s="286">
        <f t="shared" si="5"/>
        <v>0</v>
      </c>
      <c r="X55" s="286">
        <f t="shared" si="5"/>
        <v>0</v>
      </c>
      <c r="Y55" s="286">
        <f t="shared" si="5"/>
        <v>0</v>
      </c>
      <c r="Z55" s="286">
        <f t="shared" si="5"/>
        <v>0</v>
      </c>
      <c r="AA55" s="286">
        <f t="shared" si="5"/>
        <v>0</v>
      </c>
      <c r="AB55" s="286">
        <f t="shared" si="5"/>
        <v>0</v>
      </c>
      <c r="AC55" s="286">
        <f t="shared" si="5"/>
        <v>0</v>
      </c>
      <c r="AD55" s="286">
        <f t="shared" si="5"/>
        <v>0</v>
      </c>
      <c r="AE55" s="286">
        <f t="shared" si="5"/>
        <v>0</v>
      </c>
      <c r="AF55" s="286">
        <f t="shared" si="5"/>
        <v>0</v>
      </c>
      <c r="AG55" s="286">
        <f t="shared" si="5"/>
        <v>0</v>
      </c>
      <c r="AH55" s="286">
        <f t="shared" si="5"/>
        <v>0</v>
      </c>
      <c r="AI55" s="286">
        <f t="shared" si="5"/>
        <v>0</v>
      </c>
      <c r="AJ55" s="286">
        <f t="shared" si="5"/>
        <v>0</v>
      </c>
      <c r="AK55" s="286">
        <f t="shared" si="5"/>
        <v>0</v>
      </c>
      <c r="AL55" s="286">
        <f t="shared" si="5"/>
        <v>0</v>
      </c>
      <c r="AM55" s="286">
        <f t="shared" si="5"/>
        <v>0</v>
      </c>
      <c r="AN55" s="286">
        <f t="shared" si="5"/>
        <v>0</v>
      </c>
      <c r="AO55" s="286">
        <f t="shared" si="5"/>
        <v>0</v>
      </c>
      <c r="AP55" s="286">
        <f t="shared" si="5"/>
        <v>0</v>
      </c>
    </row>
    <row r="56" spans="1:45" ht="16.5" thickBot="1" x14ac:dyDescent="0.25">
      <c r="A56" s="231" t="s">
        <v>325</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550</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324</v>
      </c>
      <c r="B59" s="287">
        <f t="shared" ref="B59:AP59" si="8">B50*$B$28</f>
        <v>16824358.173761193</v>
      </c>
      <c r="C59" s="287">
        <f t="shared" si="8"/>
        <v>1477264.8742339278</v>
      </c>
      <c r="D59" s="287">
        <f t="shared" si="8"/>
        <v>3117028.8846335877</v>
      </c>
      <c r="E59" s="287">
        <f t="shared" si="8"/>
        <v>4982523.4443764174</v>
      </c>
      <c r="F59" s="287">
        <f t="shared" si="8"/>
        <v>5256562.2338171201</v>
      </c>
      <c r="G59" s="287">
        <f t="shared" si="8"/>
        <v>5545673.1566770617</v>
      </c>
      <c r="H59" s="287">
        <f t="shared" si="8"/>
        <v>5850685.1802942995</v>
      </c>
      <c r="I59" s="287">
        <f t="shared" si="8"/>
        <v>6172472.8652104856</v>
      </c>
      <c r="J59" s="287">
        <f t="shared" si="8"/>
        <v>6511958.8727970626</v>
      </c>
      <c r="K59" s="287">
        <f t="shared" si="8"/>
        <v>6870116.6108009005</v>
      </c>
      <c r="L59" s="287">
        <f t="shared" si="8"/>
        <v>7247973.0243949499</v>
      </c>
      <c r="M59" s="287">
        <f t="shared" si="8"/>
        <v>7646611.5407366715</v>
      </c>
      <c r="N59" s="287">
        <f t="shared" si="8"/>
        <v>8067175.175477189</v>
      </c>
      <c r="O59" s="287">
        <f t="shared" si="8"/>
        <v>8510869.8101284336</v>
      </c>
      <c r="P59" s="287">
        <f t="shared" si="8"/>
        <v>8978967.6496854965</v>
      </c>
      <c r="Q59" s="287">
        <f t="shared" si="8"/>
        <v>9472810.8704181965</v>
      </c>
      <c r="R59" s="287">
        <f t="shared" si="8"/>
        <v>9993815.468291197</v>
      </c>
      <c r="S59" s="287">
        <f t="shared" si="8"/>
        <v>10543475.319047213</v>
      </c>
      <c r="T59" s="287">
        <f t="shared" si="8"/>
        <v>11123366.461594809</v>
      </c>
      <c r="U59" s="287">
        <f t="shared" si="8"/>
        <v>11735151.616982521</v>
      </c>
      <c r="V59" s="287">
        <f t="shared" si="8"/>
        <v>12380584.955916559</v>
      </c>
      <c r="W59" s="287">
        <f t="shared" si="8"/>
        <v>13061517.12849197</v>
      </c>
      <c r="X59" s="287">
        <f t="shared" si="8"/>
        <v>13779900.570559027</v>
      </c>
      <c r="Y59" s="287">
        <f t="shared" si="8"/>
        <v>14537795.101939771</v>
      </c>
      <c r="Z59" s="287">
        <f t="shared" si="8"/>
        <v>15337373.83254646</v>
      </c>
      <c r="AA59" s="287">
        <f t="shared" si="8"/>
        <v>16180929.393336514</v>
      </c>
      <c r="AB59" s="287">
        <f t="shared" si="8"/>
        <v>17070880.509970021</v>
      </c>
      <c r="AC59" s="287">
        <f t="shared" si="8"/>
        <v>18009778.93801837</v>
      </c>
      <c r="AD59" s="287">
        <f t="shared" si="8"/>
        <v>19000316.779609378</v>
      </c>
      <c r="AE59" s="287">
        <f t="shared" si="8"/>
        <v>20045334.202487893</v>
      </c>
      <c r="AF59" s="287">
        <f t="shared" si="8"/>
        <v>21147827.583624728</v>
      </c>
      <c r="AG59" s="287">
        <f t="shared" si="8"/>
        <v>22310958.100724086</v>
      </c>
      <c r="AH59" s="287">
        <f t="shared" si="8"/>
        <v>23538060.796263911</v>
      </c>
      <c r="AI59" s="287">
        <f t="shared" si="8"/>
        <v>24832654.140058424</v>
      </c>
      <c r="AJ59" s="287">
        <f t="shared" si="8"/>
        <v>26198450.117761634</v>
      </c>
      <c r="AK59" s="287">
        <f t="shared" si="8"/>
        <v>27639364.874238525</v>
      </c>
      <c r="AL59" s="287">
        <f t="shared" si="8"/>
        <v>29159529.94232164</v>
      </c>
      <c r="AM59" s="287">
        <f t="shared" si="8"/>
        <v>30763304.089149326</v>
      </c>
      <c r="AN59" s="287">
        <f t="shared" si="8"/>
        <v>32455285.814052541</v>
      </c>
      <c r="AO59" s="287">
        <f t="shared" si="8"/>
        <v>34240326.533825435</v>
      </c>
      <c r="AP59" s="287">
        <f t="shared" si="8"/>
        <v>36123544.493185833</v>
      </c>
    </row>
    <row r="60" spans="1:45" x14ac:dyDescent="0.2">
      <c r="A60" s="230" t="s">
        <v>323</v>
      </c>
      <c r="B60" s="286">
        <f t="shared" ref="B60:Z60" si="9">SUM(B61:B65)</f>
        <v>0</v>
      </c>
      <c r="C60" s="286">
        <f t="shared" si="9"/>
        <v>-187791.80405780007</v>
      </c>
      <c r="D60" s="286">
        <f>SUM(D61:D65)</f>
        <v>-198120.35328097906</v>
      </c>
      <c r="E60" s="286">
        <f t="shared" si="9"/>
        <v>-209016.97271143293</v>
      </c>
      <c r="F60" s="286">
        <f t="shared" si="9"/>
        <v>-220512.90621056169</v>
      </c>
      <c r="G60" s="286">
        <f t="shared" si="9"/>
        <v>-232641.11605214261</v>
      </c>
      <c r="H60" s="286">
        <f t="shared" si="9"/>
        <v>-245436.37743501042</v>
      </c>
      <c r="I60" s="286">
        <f t="shared" si="9"/>
        <v>-258935.37819393599</v>
      </c>
      <c r="J60" s="286">
        <f t="shared" si="9"/>
        <v>-273176.82399460243</v>
      </c>
      <c r="K60" s="286">
        <f t="shared" si="9"/>
        <v>-288201.54931430559</v>
      </c>
      <c r="L60" s="286">
        <f t="shared" si="9"/>
        <v>-304052.63452659239</v>
      </c>
      <c r="M60" s="286">
        <f t="shared" si="9"/>
        <v>-320775.52942555497</v>
      </c>
      <c r="N60" s="286">
        <f t="shared" si="9"/>
        <v>-338418.18354396045</v>
      </c>
      <c r="O60" s="286">
        <f t="shared" si="9"/>
        <v>-357031.18363887822</v>
      </c>
      <c r="P60" s="286">
        <f t="shared" si="9"/>
        <v>-376667.8987390165</v>
      </c>
      <c r="Q60" s="286">
        <f t="shared" si="9"/>
        <v>-397384.63316966238</v>
      </c>
      <c r="R60" s="286">
        <f t="shared" si="9"/>
        <v>-419240.78799399378</v>
      </c>
      <c r="S60" s="286">
        <f t="shared" si="9"/>
        <v>-442299.03133366344</v>
      </c>
      <c r="T60" s="286">
        <f t="shared" si="9"/>
        <v>-466625.47805701487</v>
      </c>
      <c r="U60" s="286">
        <f t="shared" si="9"/>
        <v>-492289.87935015064</v>
      </c>
      <c r="V60" s="286">
        <f t="shared" si="9"/>
        <v>-519365.82271440886</v>
      </c>
      <c r="W60" s="286">
        <f t="shared" si="9"/>
        <v>-547930.94296370132</v>
      </c>
      <c r="X60" s="286">
        <f t="shared" si="9"/>
        <v>-578067.14482670487</v>
      </c>
      <c r="Y60" s="286">
        <f t="shared" si="9"/>
        <v>-609860.83779217349</v>
      </c>
      <c r="Z60" s="286">
        <f t="shared" si="9"/>
        <v>-643403.18387074303</v>
      </c>
      <c r="AA60" s="286">
        <f t="shared" ref="AA60:AP60" si="10">SUM(AA61:AA65)</f>
        <v>-678790.35898363392</v>
      </c>
      <c r="AB60" s="286">
        <f t="shared" si="10"/>
        <v>-716123.82872773381</v>
      </c>
      <c r="AC60" s="286">
        <f t="shared" si="10"/>
        <v>-755510.63930775912</v>
      </c>
      <c r="AD60" s="286">
        <f t="shared" si="10"/>
        <v>-797063.72446968569</v>
      </c>
      <c r="AE60" s="286">
        <f t="shared" si="10"/>
        <v>-840902.2293155184</v>
      </c>
      <c r="AF60" s="286">
        <f t="shared" si="10"/>
        <v>-887151.85192787182</v>
      </c>
      <c r="AG60" s="286">
        <f t="shared" si="10"/>
        <v>-935945.20378390478</v>
      </c>
      <c r="AH60" s="286">
        <f t="shared" si="10"/>
        <v>-987422.18999201944</v>
      </c>
      <c r="AI60" s="286">
        <f t="shared" si="10"/>
        <v>-1041730.4104415806</v>
      </c>
      <c r="AJ60" s="286">
        <f t="shared" si="10"/>
        <v>-1099025.5830158675</v>
      </c>
      <c r="AK60" s="286">
        <f t="shared" si="10"/>
        <v>-1159471.9900817401</v>
      </c>
      <c r="AL60" s="286">
        <f t="shared" si="10"/>
        <v>-1223242.9495362355</v>
      </c>
      <c r="AM60" s="286">
        <f t="shared" si="10"/>
        <v>-1290521.3117607285</v>
      </c>
      <c r="AN60" s="286">
        <f t="shared" si="10"/>
        <v>-1361499.9839075685</v>
      </c>
      <c r="AO60" s="286">
        <f t="shared" si="10"/>
        <v>-1436382.4830224849</v>
      </c>
      <c r="AP60" s="286">
        <f t="shared" si="10"/>
        <v>-1515383.5195887215</v>
      </c>
    </row>
    <row r="61" spans="1:45" x14ac:dyDescent="0.2">
      <c r="A61" s="237" t="s">
        <v>322</v>
      </c>
      <c r="B61" s="286"/>
      <c r="C61" s="286">
        <f>-IF(C$47&lt;=$B$30,0,$B$29*(1+C$49)*$B$28)</f>
        <v>-187791.80405780007</v>
      </c>
      <c r="D61" s="286">
        <f>-IF(D$47&lt;=$B$30,0,$B$29*(1+D$49)*$B$28)</f>
        <v>-198120.35328097906</v>
      </c>
      <c r="E61" s="286">
        <f t="shared" ref="E61:AP61" si="11">-IF(E$47&lt;=$B$30,0,$B$29*(1+E$49)*$B$28)</f>
        <v>-209016.97271143293</v>
      </c>
      <c r="F61" s="286">
        <f t="shared" si="11"/>
        <v>-220512.90621056169</v>
      </c>
      <c r="G61" s="286">
        <f t="shared" si="11"/>
        <v>-232641.11605214261</v>
      </c>
      <c r="H61" s="286">
        <f t="shared" si="11"/>
        <v>-245436.37743501042</v>
      </c>
      <c r="I61" s="286">
        <f t="shared" si="11"/>
        <v>-258935.37819393599</v>
      </c>
      <c r="J61" s="286">
        <f t="shared" si="11"/>
        <v>-273176.82399460243</v>
      </c>
      <c r="K61" s="286">
        <f t="shared" si="11"/>
        <v>-288201.54931430559</v>
      </c>
      <c r="L61" s="286">
        <f t="shared" si="11"/>
        <v>-304052.63452659239</v>
      </c>
      <c r="M61" s="286">
        <f t="shared" si="11"/>
        <v>-320775.52942555497</v>
      </c>
      <c r="N61" s="286">
        <f t="shared" si="11"/>
        <v>-338418.18354396045</v>
      </c>
      <c r="O61" s="286">
        <f t="shared" si="11"/>
        <v>-357031.18363887822</v>
      </c>
      <c r="P61" s="286">
        <f t="shared" si="11"/>
        <v>-376667.8987390165</v>
      </c>
      <c r="Q61" s="286">
        <f t="shared" si="11"/>
        <v>-397384.63316966238</v>
      </c>
      <c r="R61" s="286">
        <f t="shared" si="11"/>
        <v>-419240.78799399378</v>
      </c>
      <c r="S61" s="286">
        <f t="shared" si="11"/>
        <v>-442299.03133366344</v>
      </c>
      <c r="T61" s="286">
        <f t="shared" si="11"/>
        <v>-466625.47805701487</v>
      </c>
      <c r="U61" s="286">
        <f t="shared" si="11"/>
        <v>-492289.87935015064</v>
      </c>
      <c r="V61" s="286">
        <f t="shared" si="11"/>
        <v>-519365.82271440886</v>
      </c>
      <c r="W61" s="286">
        <f t="shared" si="11"/>
        <v>-547930.94296370132</v>
      </c>
      <c r="X61" s="286">
        <f t="shared" si="11"/>
        <v>-578067.14482670487</v>
      </c>
      <c r="Y61" s="286">
        <f t="shared" si="11"/>
        <v>-609860.83779217349</v>
      </c>
      <c r="Z61" s="286">
        <f t="shared" si="11"/>
        <v>-643403.18387074303</v>
      </c>
      <c r="AA61" s="286">
        <f t="shared" si="11"/>
        <v>-678790.35898363392</v>
      </c>
      <c r="AB61" s="286">
        <f t="shared" si="11"/>
        <v>-716123.82872773381</v>
      </c>
      <c r="AC61" s="286">
        <f t="shared" si="11"/>
        <v>-755510.63930775912</v>
      </c>
      <c r="AD61" s="286">
        <f t="shared" si="11"/>
        <v>-797063.72446968569</v>
      </c>
      <c r="AE61" s="286">
        <f t="shared" si="11"/>
        <v>-840902.2293155184</v>
      </c>
      <c r="AF61" s="286">
        <f t="shared" si="11"/>
        <v>-887151.85192787182</v>
      </c>
      <c r="AG61" s="286">
        <f t="shared" si="11"/>
        <v>-935945.20378390478</v>
      </c>
      <c r="AH61" s="286">
        <f t="shared" si="11"/>
        <v>-987422.18999201944</v>
      </c>
      <c r="AI61" s="286">
        <f t="shared" si="11"/>
        <v>-1041730.4104415806</v>
      </c>
      <c r="AJ61" s="286">
        <f t="shared" si="11"/>
        <v>-1099025.5830158675</v>
      </c>
      <c r="AK61" s="286">
        <f t="shared" si="11"/>
        <v>-1159471.9900817401</v>
      </c>
      <c r="AL61" s="286">
        <f t="shared" si="11"/>
        <v>-1223242.9495362355</v>
      </c>
      <c r="AM61" s="286">
        <f t="shared" si="11"/>
        <v>-1290521.3117607285</v>
      </c>
      <c r="AN61" s="286">
        <f t="shared" si="11"/>
        <v>-1361499.9839075685</v>
      </c>
      <c r="AO61" s="286">
        <f t="shared" si="11"/>
        <v>-1436382.4830224849</v>
      </c>
      <c r="AP61" s="286">
        <f t="shared" si="11"/>
        <v>-1515383.5195887215</v>
      </c>
    </row>
    <row r="62" spans="1:45" x14ac:dyDescent="0.2">
      <c r="A62" s="237" t="str">
        <f>A32</f>
        <v>Прочие расходы при эксплуатации объекта, руб. без НДС</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6"/>
      <c r="AL62" s="286"/>
      <c r="AM62" s="286"/>
      <c r="AN62" s="286"/>
      <c r="AO62" s="286"/>
      <c r="AP62" s="286"/>
    </row>
    <row r="63" spans="1:45" x14ac:dyDescent="0.2">
      <c r="A63" s="237" t="s">
        <v>547</v>
      </c>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6"/>
      <c r="AL63" s="286"/>
      <c r="AM63" s="286"/>
      <c r="AN63" s="286"/>
      <c r="AO63" s="286"/>
      <c r="AP63" s="286"/>
    </row>
    <row r="64" spans="1:45" x14ac:dyDescent="0.2">
      <c r="A64" s="237" t="s">
        <v>547</v>
      </c>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6"/>
      <c r="AL64" s="286"/>
      <c r="AM64" s="286"/>
      <c r="AN64" s="286"/>
      <c r="AO64" s="286"/>
      <c r="AP64" s="286"/>
    </row>
    <row r="65" spans="1:45" ht="31.5" x14ac:dyDescent="0.2">
      <c r="A65" s="237" t="s">
        <v>551</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6"/>
      <c r="AL65" s="286"/>
      <c r="AM65" s="286"/>
      <c r="AN65" s="286"/>
      <c r="AO65" s="286"/>
      <c r="AP65" s="286"/>
    </row>
    <row r="66" spans="1:45" ht="28.5" x14ac:dyDescent="0.2">
      <c r="A66" s="238" t="s">
        <v>320</v>
      </c>
      <c r="B66" s="287">
        <f t="shared" ref="B66:AO66" si="12">B59+B60</f>
        <v>16824358.173761193</v>
      </c>
      <c r="C66" s="287">
        <f t="shared" si="12"/>
        <v>1289473.0701761278</v>
      </c>
      <c r="D66" s="287">
        <f t="shared" si="12"/>
        <v>2918908.5313526085</v>
      </c>
      <c r="E66" s="287">
        <f t="shared" si="12"/>
        <v>4773506.4716649847</v>
      </c>
      <c r="F66" s="287">
        <f t="shared" si="12"/>
        <v>5036049.3276065588</v>
      </c>
      <c r="G66" s="287">
        <f t="shared" si="12"/>
        <v>5313032.0406249193</v>
      </c>
      <c r="H66" s="287">
        <f t="shared" si="12"/>
        <v>5605248.8028592886</v>
      </c>
      <c r="I66" s="287">
        <f t="shared" si="12"/>
        <v>5913537.4870165493</v>
      </c>
      <c r="J66" s="287">
        <f t="shared" si="12"/>
        <v>6238782.0488024605</v>
      </c>
      <c r="K66" s="287">
        <f t="shared" si="12"/>
        <v>6581915.0614865953</v>
      </c>
      <c r="L66" s="287">
        <f t="shared" si="12"/>
        <v>6943920.3898683572</v>
      </c>
      <c r="M66" s="287">
        <f t="shared" si="12"/>
        <v>7325836.0113111166</v>
      </c>
      <c r="N66" s="287">
        <f t="shared" si="12"/>
        <v>7728756.9919332284</v>
      </c>
      <c r="O66" s="287">
        <f t="shared" si="12"/>
        <v>8153838.6264895555</v>
      </c>
      <c r="P66" s="287">
        <f t="shared" si="12"/>
        <v>8602299.7509464808</v>
      </c>
      <c r="Q66" s="287">
        <f t="shared" si="12"/>
        <v>9075426.2372485343</v>
      </c>
      <c r="R66" s="287">
        <f t="shared" si="12"/>
        <v>9574574.6802972034</v>
      </c>
      <c r="S66" s="287">
        <f t="shared" si="12"/>
        <v>10101176.28771355</v>
      </c>
      <c r="T66" s="287">
        <f t="shared" si="12"/>
        <v>10656740.983537793</v>
      </c>
      <c r="U66" s="287">
        <f t="shared" si="12"/>
        <v>11242861.737632371</v>
      </c>
      <c r="V66" s="287">
        <f t="shared" si="12"/>
        <v>11861219.13320215</v>
      </c>
      <c r="W66" s="287">
        <f t="shared" si="12"/>
        <v>12513586.185528269</v>
      </c>
      <c r="X66" s="287">
        <f t="shared" si="12"/>
        <v>13201833.425732322</v>
      </c>
      <c r="Y66" s="287">
        <f t="shared" si="12"/>
        <v>13927934.264147598</v>
      </c>
      <c r="Z66" s="287">
        <f t="shared" si="12"/>
        <v>14693970.648675717</v>
      </c>
      <c r="AA66" s="287">
        <f t="shared" si="12"/>
        <v>15502139.03435288</v>
      </c>
      <c r="AB66" s="287">
        <f t="shared" si="12"/>
        <v>16354756.681242287</v>
      </c>
      <c r="AC66" s="287">
        <f t="shared" si="12"/>
        <v>17254268.298710611</v>
      </c>
      <c r="AD66" s="287">
        <f t="shared" si="12"/>
        <v>18203253.055139694</v>
      </c>
      <c r="AE66" s="287">
        <f t="shared" si="12"/>
        <v>19204431.973172374</v>
      </c>
      <c r="AF66" s="287">
        <f t="shared" si="12"/>
        <v>20260675.731696855</v>
      </c>
      <c r="AG66" s="287">
        <f t="shared" si="12"/>
        <v>21375012.896940183</v>
      </c>
      <c r="AH66" s="287">
        <f t="shared" si="12"/>
        <v>22550638.606271893</v>
      </c>
      <c r="AI66" s="287">
        <f t="shared" si="12"/>
        <v>23790923.729616843</v>
      </c>
      <c r="AJ66" s="287">
        <f t="shared" si="12"/>
        <v>25099424.534745768</v>
      </c>
      <c r="AK66" s="287">
        <f t="shared" si="12"/>
        <v>26479892.884156786</v>
      </c>
      <c r="AL66" s="287">
        <f t="shared" si="12"/>
        <v>27936286.992785405</v>
      </c>
      <c r="AM66" s="287">
        <f t="shared" si="12"/>
        <v>29472782.777388599</v>
      </c>
      <c r="AN66" s="287">
        <f t="shared" si="12"/>
        <v>31093785.830144972</v>
      </c>
      <c r="AO66" s="287">
        <f t="shared" si="12"/>
        <v>32803944.05080295</v>
      </c>
      <c r="AP66" s="287">
        <f>AP59+AP60</f>
        <v>34608160.973597109</v>
      </c>
    </row>
    <row r="67" spans="1:45" x14ac:dyDescent="0.2">
      <c r="A67" s="237" t="s">
        <v>315</v>
      </c>
      <c r="B67" s="239"/>
      <c r="C67" s="286">
        <f>-($B$25)*1.18*$B$28/$B$27</f>
        <v>-672974.32895044773</v>
      </c>
      <c r="D67" s="286">
        <f>C67</f>
        <v>-672974.32895044773</v>
      </c>
      <c r="E67" s="286">
        <f t="shared" ref="E67:AP67" si="13">D67</f>
        <v>-672974.32895044773</v>
      </c>
      <c r="F67" s="286">
        <f t="shared" si="13"/>
        <v>-672974.32895044773</v>
      </c>
      <c r="G67" s="286">
        <f t="shared" si="13"/>
        <v>-672974.32895044773</v>
      </c>
      <c r="H67" s="286">
        <f t="shared" si="13"/>
        <v>-672974.32895044773</v>
      </c>
      <c r="I67" s="286">
        <f t="shared" si="13"/>
        <v>-672974.32895044773</v>
      </c>
      <c r="J67" s="286">
        <f t="shared" si="13"/>
        <v>-672974.32895044773</v>
      </c>
      <c r="K67" s="286">
        <f t="shared" si="13"/>
        <v>-672974.32895044773</v>
      </c>
      <c r="L67" s="286">
        <f t="shared" si="13"/>
        <v>-672974.32895044773</v>
      </c>
      <c r="M67" s="286">
        <f t="shared" si="13"/>
        <v>-672974.32895044773</v>
      </c>
      <c r="N67" s="286">
        <f t="shared" si="13"/>
        <v>-672974.32895044773</v>
      </c>
      <c r="O67" s="286">
        <f t="shared" si="13"/>
        <v>-672974.32895044773</v>
      </c>
      <c r="P67" s="286">
        <f t="shared" si="13"/>
        <v>-672974.32895044773</v>
      </c>
      <c r="Q67" s="286">
        <f t="shared" si="13"/>
        <v>-672974.32895044773</v>
      </c>
      <c r="R67" s="286">
        <f t="shared" si="13"/>
        <v>-672974.32895044773</v>
      </c>
      <c r="S67" s="286">
        <f t="shared" si="13"/>
        <v>-672974.32895044773</v>
      </c>
      <c r="T67" s="286">
        <f t="shared" si="13"/>
        <v>-672974.32895044773</v>
      </c>
      <c r="U67" s="286">
        <f t="shared" si="13"/>
        <v>-672974.32895044773</v>
      </c>
      <c r="V67" s="286">
        <f t="shared" si="13"/>
        <v>-672974.32895044773</v>
      </c>
      <c r="W67" s="286">
        <f t="shared" si="13"/>
        <v>-672974.32895044773</v>
      </c>
      <c r="X67" s="286">
        <f t="shared" si="13"/>
        <v>-672974.32895044773</v>
      </c>
      <c r="Y67" s="286">
        <f t="shared" si="13"/>
        <v>-672974.32895044773</v>
      </c>
      <c r="Z67" s="286">
        <f t="shared" si="13"/>
        <v>-672974.32895044773</v>
      </c>
      <c r="AA67" s="286">
        <f t="shared" si="13"/>
        <v>-672974.32895044773</v>
      </c>
      <c r="AB67" s="286">
        <f t="shared" si="13"/>
        <v>-672974.32895044773</v>
      </c>
      <c r="AC67" s="286">
        <f t="shared" si="13"/>
        <v>-672974.32895044773</v>
      </c>
      <c r="AD67" s="286">
        <f t="shared" si="13"/>
        <v>-672974.32895044773</v>
      </c>
      <c r="AE67" s="286">
        <f t="shared" si="13"/>
        <v>-672974.32895044773</v>
      </c>
      <c r="AF67" s="286">
        <f t="shared" si="13"/>
        <v>-672974.32895044773</v>
      </c>
      <c r="AG67" s="286">
        <f t="shared" si="13"/>
        <v>-672974.32895044773</v>
      </c>
      <c r="AH67" s="286">
        <f t="shared" si="13"/>
        <v>-672974.32895044773</v>
      </c>
      <c r="AI67" s="286">
        <f t="shared" si="13"/>
        <v>-672974.32895044773</v>
      </c>
      <c r="AJ67" s="286">
        <f t="shared" si="13"/>
        <v>-672974.32895044773</v>
      </c>
      <c r="AK67" s="286">
        <f t="shared" si="13"/>
        <v>-672974.32895044773</v>
      </c>
      <c r="AL67" s="286">
        <f t="shared" si="13"/>
        <v>-672974.32895044773</v>
      </c>
      <c r="AM67" s="286">
        <f t="shared" si="13"/>
        <v>-672974.32895044773</v>
      </c>
      <c r="AN67" s="286">
        <f t="shared" si="13"/>
        <v>-672974.32895044773</v>
      </c>
      <c r="AO67" s="286">
        <f t="shared" si="13"/>
        <v>-672974.32895044773</v>
      </c>
      <c r="AP67" s="286">
        <f t="shared" si="13"/>
        <v>-672974.32895044773</v>
      </c>
      <c r="AQ67" s="240">
        <f>SUM(B67:AA67)/1.18</f>
        <v>-14257930.698102711</v>
      </c>
      <c r="AR67" s="241">
        <f>SUM(B67:AF67)/1.18</f>
        <v>-17109516.837723244</v>
      </c>
      <c r="AS67" s="241">
        <f>SUM(B67:AP67)/1.18</f>
        <v>-22812689.116964314</v>
      </c>
    </row>
    <row r="68" spans="1:45" ht="28.5" x14ac:dyDescent="0.2">
      <c r="A68" s="238" t="s">
        <v>316</v>
      </c>
      <c r="B68" s="287">
        <f t="shared" ref="B68:J68" si="14">B66+B67</f>
        <v>16824358.173761193</v>
      </c>
      <c r="C68" s="287">
        <f>C66+C67</f>
        <v>616498.7412256801</v>
      </c>
      <c r="D68" s="287">
        <f>D66+D67</f>
        <v>2245934.2024021605</v>
      </c>
      <c r="E68" s="287">
        <f t="shared" si="14"/>
        <v>4100532.1427145367</v>
      </c>
      <c r="F68" s="287">
        <f>F66+C67</f>
        <v>4363074.9986561108</v>
      </c>
      <c r="G68" s="287">
        <f t="shared" si="14"/>
        <v>4640057.7116744714</v>
      </c>
      <c r="H68" s="287">
        <f t="shared" si="14"/>
        <v>4932274.4739088407</v>
      </c>
      <c r="I68" s="287">
        <f t="shared" si="14"/>
        <v>5240563.1580661014</v>
      </c>
      <c r="J68" s="287">
        <f t="shared" si="14"/>
        <v>5565807.7198520126</v>
      </c>
      <c r="K68" s="287">
        <f>K66+K67</f>
        <v>5908940.7325361473</v>
      </c>
      <c r="L68" s="287">
        <f>L66+L67</f>
        <v>6270946.0609179093</v>
      </c>
      <c r="M68" s="287">
        <f t="shared" ref="M68:AO68" si="15">M66+M67</f>
        <v>6652861.6823606687</v>
      </c>
      <c r="N68" s="287">
        <f t="shared" si="15"/>
        <v>7055782.6629827805</v>
      </c>
      <c r="O68" s="287">
        <f t="shared" si="15"/>
        <v>7480864.2975391075</v>
      </c>
      <c r="P68" s="287">
        <f t="shared" si="15"/>
        <v>7929325.4219960328</v>
      </c>
      <c r="Q68" s="287">
        <f t="shared" si="15"/>
        <v>8402451.9082980864</v>
      </c>
      <c r="R68" s="287">
        <f t="shared" si="15"/>
        <v>8901600.3513467554</v>
      </c>
      <c r="S68" s="287">
        <f t="shared" si="15"/>
        <v>9428201.9587631021</v>
      </c>
      <c r="T68" s="287">
        <f t="shared" si="15"/>
        <v>9983766.6545873452</v>
      </c>
      <c r="U68" s="287">
        <f t="shared" si="15"/>
        <v>10569887.408681924</v>
      </c>
      <c r="V68" s="287">
        <f t="shared" si="15"/>
        <v>11188244.804251703</v>
      </c>
      <c r="W68" s="287">
        <f t="shared" si="15"/>
        <v>11840611.856577821</v>
      </c>
      <c r="X68" s="287">
        <f t="shared" si="15"/>
        <v>12528859.096781874</v>
      </c>
      <c r="Y68" s="287">
        <f t="shared" si="15"/>
        <v>13254959.93519715</v>
      </c>
      <c r="Z68" s="287">
        <f t="shared" si="15"/>
        <v>14020996.319725269</v>
      </c>
      <c r="AA68" s="287">
        <f t="shared" si="15"/>
        <v>14829164.705402432</v>
      </c>
      <c r="AB68" s="287">
        <f t="shared" si="15"/>
        <v>15681782.352291839</v>
      </c>
      <c r="AC68" s="287">
        <f t="shared" si="15"/>
        <v>16581293.969760163</v>
      </c>
      <c r="AD68" s="287">
        <f t="shared" si="15"/>
        <v>17530278.726189248</v>
      </c>
      <c r="AE68" s="287">
        <f t="shared" si="15"/>
        <v>18531457.644221928</v>
      </c>
      <c r="AF68" s="287">
        <f t="shared" si="15"/>
        <v>19587701.402746409</v>
      </c>
      <c r="AG68" s="287">
        <f t="shared" si="15"/>
        <v>20702038.567989737</v>
      </c>
      <c r="AH68" s="287">
        <f t="shared" si="15"/>
        <v>21877664.277321447</v>
      </c>
      <c r="AI68" s="287">
        <f t="shared" si="15"/>
        <v>23117949.400666397</v>
      </c>
      <c r="AJ68" s="287">
        <f t="shared" si="15"/>
        <v>24426450.205795322</v>
      </c>
      <c r="AK68" s="287">
        <f t="shared" si="15"/>
        <v>25806918.55520634</v>
      </c>
      <c r="AL68" s="287">
        <f t="shared" si="15"/>
        <v>27263312.663834959</v>
      </c>
      <c r="AM68" s="287">
        <f t="shared" si="15"/>
        <v>28799808.448438153</v>
      </c>
      <c r="AN68" s="287">
        <f t="shared" si="15"/>
        <v>30420811.501194526</v>
      </c>
      <c r="AO68" s="287">
        <f t="shared" si="15"/>
        <v>32130969.721852504</v>
      </c>
      <c r="AP68" s="287">
        <f>AP66+AP67</f>
        <v>33935186.644646659</v>
      </c>
      <c r="AQ68" s="184">
        <v>25</v>
      </c>
      <c r="AR68" s="184">
        <v>30</v>
      </c>
      <c r="AS68" s="184">
        <v>40</v>
      </c>
    </row>
    <row r="69" spans="1:45" x14ac:dyDescent="0.2">
      <c r="A69" s="237" t="s">
        <v>314</v>
      </c>
      <c r="B69" s="286">
        <f t="shared" ref="B69:AO69" si="16">-B56</f>
        <v>0</v>
      </c>
      <c r="C69" s="286">
        <f t="shared" si="16"/>
        <v>0</v>
      </c>
      <c r="D69" s="286">
        <f t="shared" si="16"/>
        <v>0</v>
      </c>
      <c r="E69" s="286">
        <f t="shared" si="16"/>
        <v>0</v>
      </c>
      <c r="F69" s="286">
        <f t="shared" si="16"/>
        <v>0</v>
      </c>
      <c r="G69" s="286">
        <f t="shared" si="16"/>
        <v>0</v>
      </c>
      <c r="H69" s="286">
        <f t="shared" si="16"/>
        <v>0</v>
      </c>
      <c r="I69" s="286">
        <f t="shared" si="16"/>
        <v>0</v>
      </c>
      <c r="J69" s="286">
        <f t="shared" si="16"/>
        <v>0</v>
      </c>
      <c r="K69" s="286">
        <f t="shared" si="16"/>
        <v>0</v>
      </c>
      <c r="L69" s="286">
        <f t="shared" si="16"/>
        <v>0</v>
      </c>
      <c r="M69" s="286">
        <f t="shared" si="16"/>
        <v>0</v>
      </c>
      <c r="N69" s="286">
        <f t="shared" si="16"/>
        <v>0</v>
      </c>
      <c r="O69" s="286">
        <f t="shared" si="16"/>
        <v>0</v>
      </c>
      <c r="P69" s="286">
        <f t="shared" si="16"/>
        <v>0</v>
      </c>
      <c r="Q69" s="286">
        <f t="shared" si="16"/>
        <v>0</v>
      </c>
      <c r="R69" s="286">
        <f t="shared" si="16"/>
        <v>0</v>
      </c>
      <c r="S69" s="286">
        <f t="shared" si="16"/>
        <v>0</v>
      </c>
      <c r="T69" s="286">
        <f t="shared" si="16"/>
        <v>0</v>
      </c>
      <c r="U69" s="286">
        <f t="shared" si="16"/>
        <v>0</v>
      </c>
      <c r="V69" s="286">
        <f t="shared" si="16"/>
        <v>0</v>
      </c>
      <c r="W69" s="286">
        <f t="shared" si="16"/>
        <v>0</v>
      </c>
      <c r="X69" s="286">
        <f t="shared" si="16"/>
        <v>0</v>
      </c>
      <c r="Y69" s="286">
        <f t="shared" si="16"/>
        <v>0</v>
      </c>
      <c r="Z69" s="286">
        <f t="shared" si="16"/>
        <v>0</v>
      </c>
      <c r="AA69" s="286">
        <f t="shared" si="16"/>
        <v>0</v>
      </c>
      <c r="AB69" s="286">
        <f t="shared" si="16"/>
        <v>0</v>
      </c>
      <c r="AC69" s="286">
        <f t="shared" si="16"/>
        <v>0</v>
      </c>
      <c r="AD69" s="286">
        <f t="shared" si="16"/>
        <v>0</v>
      </c>
      <c r="AE69" s="286">
        <f t="shared" si="16"/>
        <v>0</v>
      </c>
      <c r="AF69" s="286">
        <f t="shared" si="16"/>
        <v>0</v>
      </c>
      <c r="AG69" s="286">
        <f t="shared" si="16"/>
        <v>0</v>
      </c>
      <c r="AH69" s="286">
        <f t="shared" si="16"/>
        <v>0</v>
      </c>
      <c r="AI69" s="286">
        <f t="shared" si="16"/>
        <v>0</v>
      </c>
      <c r="AJ69" s="286">
        <f t="shared" si="16"/>
        <v>0</v>
      </c>
      <c r="AK69" s="286">
        <f t="shared" si="16"/>
        <v>0</v>
      </c>
      <c r="AL69" s="286">
        <f t="shared" si="16"/>
        <v>0</v>
      </c>
      <c r="AM69" s="286">
        <f t="shared" si="16"/>
        <v>0</v>
      </c>
      <c r="AN69" s="286">
        <f t="shared" si="16"/>
        <v>0</v>
      </c>
      <c r="AO69" s="286">
        <f t="shared" si="16"/>
        <v>0</v>
      </c>
      <c r="AP69" s="286">
        <f>-AP56</f>
        <v>0</v>
      </c>
    </row>
    <row r="70" spans="1:45" ht="14.25" x14ac:dyDescent="0.2">
      <c r="A70" s="238" t="s">
        <v>319</v>
      </c>
      <c r="B70" s="287">
        <f t="shared" ref="B70:AO70" si="17">B68+B69</f>
        <v>16824358.173761193</v>
      </c>
      <c r="C70" s="287">
        <f t="shared" si="17"/>
        <v>616498.7412256801</v>
      </c>
      <c r="D70" s="287">
        <f t="shared" si="17"/>
        <v>2245934.2024021605</v>
      </c>
      <c r="E70" s="287">
        <f t="shared" si="17"/>
        <v>4100532.1427145367</v>
      </c>
      <c r="F70" s="287">
        <f t="shared" si="17"/>
        <v>4363074.9986561108</v>
      </c>
      <c r="G70" s="287">
        <f t="shared" si="17"/>
        <v>4640057.7116744714</v>
      </c>
      <c r="H70" s="287">
        <f t="shared" si="17"/>
        <v>4932274.4739088407</v>
      </c>
      <c r="I70" s="287">
        <f t="shared" si="17"/>
        <v>5240563.1580661014</v>
      </c>
      <c r="J70" s="287">
        <f t="shared" si="17"/>
        <v>5565807.7198520126</v>
      </c>
      <c r="K70" s="287">
        <f t="shared" si="17"/>
        <v>5908940.7325361473</v>
      </c>
      <c r="L70" s="287">
        <f t="shared" si="17"/>
        <v>6270946.0609179093</v>
      </c>
      <c r="M70" s="287">
        <f t="shared" si="17"/>
        <v>6652861.6823606687</v>
      </c>
      <c r="N70" s="287">
        <f t="shared" si="17"/>
        <v>7055782.6629827805</v>
      </c>
      <c r="O70" s="287">
        <f t="shared" si="17"/>
        <v>7480864.2975391075</v>
      </c>
      <c r="P70" s="287">
        <f t="shared" si="17"/>
        <v>7929325.4219960328</v>
      </c>
      <c r="Q70" s="287">
        <f t="shared" si="17"/>
        <v>8402451.9082980864</v>
      </c>
      <c r="R70" s="287">
        <f t="shared" si="17"/>
        <v>8901600.3513467554</v>
      </c>
      <c r="S70" s="287">
        <f t="shared" si="17"/>
        <v>9428201.9587631021</v>
      </c>
      <c r="T70" s="287">
        <f t="shared" si="17"/>
        <v>9983766.6545873452</v>
      </c>
      <c r="U70" s="287">
        <f t="shared" si="17"/>
        <v>10569887.408681924</v>
      </c>
      <c r="V70" s="287">
        <f t="shared" si="17"/>
        <v>11188244.804251703</v>
      </c>
      <c r="W70" s="287">
        <f t="shared" si="17"/>
        <v>11840611.856577821</v>
      </c>
      <c r="X70" s="287">
        <f t="shared" si="17"/>
        <v>12528859.096781874</v>
      </c>
      <c r="Y70" s="287">
        <f t="shared" si="17"/>
        <v>13254959.93519715</v>
      </c>
      <c r="Z70" s="287">
        <f t="shared" si="17"/>
        <v>14020996.319725269</v>
      </c>
      <c r="AA70" s="287">
        <f t="shared" si="17"/>
        <v>14829164.705402432</v>
      </c>
      <c r="AB70" s="287">
        <f t="shared" si="17"/>
        <v>15681782.352291839</v>
      </c>
      <c r="AC70" s="287">
        <f t="shared" si="17"/>
        <v>16581293.969760163</v>
      </c>
      <c r="AD70" s="287">
        <f t="shared" si="17"/>
        <v>17530278.726189248</v>
      </c>
      <c r="AE70" s="287">
        <f t="shared" si="17"/>
        <v>18531457.644221928</v>
      </c>
      <c r="AF70" s="287">
        <f t="shared" si="17"/>
        <v>19587701.402746409</v>
      </c>
      <c r="AG70" s="287">
        <f t="shared" si="17"/>
        <v>20702038.567989737</v>
      </c>
      <c r="AH70" s="287">
        <f t="shared" si="17"/>
        <v>21877664.277321447</v>
      </c>
      <c r="AI70" s="287">
        <f t="shared" si="17"/>
        <v>23117949.400666397</v>
      </c>
      <c r="AJ70" s="287">
        <f t="shared" si="17"/>
        <v>24426450.205795322</v>
      </c>
      <c r="AK70" s="287">
        <f t="shared" si="17"/>
        <v>25806918.55520634</v>
      </c>
      <c r="AL70" s="287">
        <f t="shared" si="17"/>
        <v>27263312.663834959</v>
      </c>
      <c r="AM70" s="287">
        <f t="shared" si="17"/>
        <v>28799808.448438153</v>
      </c>
      <c r="AN70" s="287">
        <f t="shared" si="17"/>
        <v>30420811.501194526</v>
      </c>
      <c r="AO70" s="287">
        <f t="shared" si="17"/>
        <v>32130969.721852504</v>
      </c>
      <c r="AP70" s="287">
        <f>AP68+AP69</f>
        <v>33935186.644646659</v>
      </c>
    </row>
    <row r="71" spans="1:45" x14ac:dyDescent="0.2">
      <c r="A71" s="237" t="s">
        <v>313</v>
      </c>
      <c r="B71" s="286">
        <f t="shared" ref="B71:AP71" si="18">-B70*$B$36</f>
        <v>-3364871.6347522386</v>
      </c>
      <c r="C71" s="286">
        <f t="shared" si="18"/>
        <v>-123299.74824513603</v>
      </c>
      <c r="D71" s="286">
        <f t="shared" si="18"/>
        <v>-449186.84048043215</v>
      </c>
      <c r="E71" s="286">
        <f t="shared" si="18"/>
        <v>-820106.42854290735</v>
      </c>
      <c r="F71" s="286">
        <f t="shared" si="18"/>
        <v>-872614.99973122217</v>
      </c>
      <c r="G71" s="286">
        <f t="shared" si="18"/>
        <v>-928011.5423348943</v>
      </c>
      <c r="H71" s="286">
        <f t="shared" si="18"/>
        <v>-986454.89478176821</v>
      </c>
      <c r="I71" s="286">
        <f t="shared" si="18"/>
        <v>-1048112.6316132203</v>
      </c>
      <c r="J71" s="286">
        <f t="shared" si="18"/>
        <v>-1113161.5439704026</v>
      </c>
      <c r="K71" s="286">
        <f t="shared" si="18"/>
        <v>-1181788.1465072294</v>
      </c>
      <c r="L71" s="286">
        <f t="shared" si="18"/>
        <v>-1254189.2121835819</v>
      </c>
      <c r="M71" s="286">
        <f t="shared" si="18"/>
        <v>-1330572.3364721339</v>
      </c>
      <c r="N71" s="286">
        <f t="shared" si="18"/>
        <v>-1411156.5325965562</v>
      </c>
      <c r="O71" s="286">
        <f t="shared" si="18"/>
        <v>-1496172.8595078215</v>
      </c>
      <c r="P71" s="286">
        <f t="shared" si="18"/>
        <v>-1585865.0843992066</v>
      </c>
      <c r="Q71" s="286">
        <f t="shared" si="18"/>
        <v>-1680490.3816596174</v>
      </c>
      <c r="R71" s="286">
        <f t="shared" si="18"/>
        <v>-1780320.0702693511</v>
      </c>
      <c r="S71" s="286">
        <f t="shared" si="18"/>
        <v>-1885640.3917526205</v>
      </c>
      <c r="T71" s="286">
        <f t="shared" si="18"/>
        <v>-1996753.3309174692</v>
      </c>
      <c r="U71" s="286">
        <f t="shared" si="18"/>
        <v>-2113977.4817363848</v>
      </c>
      <c r="V71" s="286">
        <f t="shared" si="18"/>
        <v>-2237648.9608503408</v>
      </c>
      <c r="W71" s="286">
        <f t="shared" si="18"/>
        <v>-2368122.3713155645</v>
      </c>
      <c r="X71" s="286">
        <f t="shared" si="18"/>
        <v>-2505771.8193563749</v>
      </c>
      <c r="Y71" s="286">
        <f t="shared" si="18"/>
        <v>-2650991.9870394301</v>
      </c>
      <c r="Z71" s="286">
        <f t="shared" si="18"/>
        <v>-2804199.2639450543</v>
      </c>
      <c r="AA71" s="286">
        <f t="shared" si="18"/>
        <v>-2965832.9410804864</v>
      </c>
      <c r="AB71" s="286">
        <f t="shared" si="18"/>
        <v>-3136356.4704583678</v>
      </c>
      <c r="AC71" s="286">
        <f t="shared" si="18"/>
        <v>-3316258.7939520329</v>
      </c>
      <c r="AD71" s="286">
        <f t="shared" si="18"/>
        <v>-3506055.7452378497</v>
      </c>
      <c r="AE71" s="286">
        <f t="shared" si="18"/>
        <v>-3706291.5288443859</v>
      </c>
      <c r="AF71" s="286">
        <f t="shared" si="18"/>
        <v>-3917540.2805492822</v>
      </c>
      <c r="AG71" s="286">
        <f t="shared" si="18"/>
        <v>-4140407.7135979477</v>
      </c>
      <c r="AH71" s="286">
        <f t="shared" si="18"/>
        <v>-4375532.8554642899</v>
      </c>
      <c r="AI71" s="286">
        <f t="shared" si="18"/>
        <v>-4623589.8801332796</v>
      </c>
      <c r="AJ71" s="286">
        <f t="shared" si="18"/>
        <v>-4885290.0411590645</v>
      </c>
      <c r="AK71" s="286">
        <f t="shared" si="18"/>
        <v>-5161383.711041268</v>
      </c>
      <c r="AL71" s="286">
        <f t="shared" si="18"/>
        <v>-5452662.5327669922</v>
      </c>
      <c r="AM71" s="286">
        <f t="shared" si="18"/>
        <v>-5759961.6896876311</v>
      </c>
      <c r="AN71" s="286">
        <f t="shared" si="18"/>
        <v>-6084162.3002389055</v>
      </c>
      <c r="AO71" s="286">
        <f t="shared" si="18"/>
        <v>-6426193.9443705007</v>
      </c>
      <c r="AP71" s="286">
        <f t="shared" si="18"/>
        <v>-6787037.3289293321</v>
      </c>
    </row>
    <row r="72" spans="1:45" ht="15" thickBot="1" x14ac:dyDescent="0.25">
      <c r="A72" s="242" t="s">
        <v>318</v>
      </c>
      <c r="B72" s="243">
        <f t="shared" ref="B72:AO72" si="19">B70+B71</f>
        <v>13459486.539008955</v>
      </c>
      <c r="C72" s="243">
        <f t="shared" si="19"/>
        <v>493198.99298054411</v>
      </c>
      <c r="D72" s="243">
        <f t="shared" si="19"/>
        <v>1796747.3619217284</v>
      </c>
      <c r="E72" s="243">
        <f t="shared" si="19"/>
        <v>3280425.7141716294</v>
      </c>
      <c r="F72" s="243">
        <f t="shared" si="19"/>
        <v>3490459.9989248887</v>
      </c>
      <c r="G72" s="243">
        <f t="shared" si="19"/>
        <v>3712046.1693395772</v>
      </c>
      <c r="H72" s="243">
        <f t="shared" si="19"/>
        <v>3945819.5791270724</v>
      </c>
      <c r="I72" s="243">
        <f t="shared" si="19"/>
        <v>4192450.5264528813</v>
      </c>
      <c r="J72" s="243">
        <f t="shared" si="19"/>
        <v>4452646.1758816103</v>
      </c>
      <c r="K72" s="243">
        <f t="shared" si="19"/>
        <v>4727152.5860289177</v>
      </c>
      <c r="L72" s="243">
        <f t="shared" si="19"/>
        <v>5016756.8487343276</v>
      </c>
      <c r="M72" s="243">
        <f t="shared" si="19"/>
        <v>5322289.3458885346</v>
      </c>
      <c r="N72" s="243">
        <f t="shared" si="19"/>
        <v>5644626.130386224</v>
      </c>
      <c r="O72" s="243">
        <f t="shared" si="19"/>
        <v>5984691.438031286</v>
      </c>
      <c r="P72" s="243">
        <f t="shared" si="19"/>
        <v>6343460.3375968263</v>
      </c>
      <c r="Q72" s="243">
        <f t="shared" si="19"/>
        <v>6721961.5266384687</v>
      </c>
      <c r="R72" s="243">
        <f t="shared" si="19"/>
        <v>7121280.2810774045</v>
      </c>
      <c r="S72" s="243">
        <f t="shared" si="19"/>
        <v>7542561.5670104818</v>
      </c>
      <c r="T72" s="243">
        <f t="shared" si="19"/>
        <v>7987013.323669876</v>
      </c>
      <c r="U72" s="243">
        <f t="shared" si="19"/>
        <v>8455909.9269455392</v>
      </c>
      <c r="V72" s="243">
        <f t="shared" si="19"/>
        <v>8950595.8434013613</v>
      </c>
      <c r="W72" s="243">
        <f t="shared" si="19"/>
        <v>9472489.4852622561</v>
      </c>
      <c r="X72" s="243">
        <f t="shared" si="19"/>
        <v>10023087.2774255</v>
      </c>
      <c r="Y72" s="243">
        <f t="shared" si="19"/>
        <v>10603967.94815772</v>
      </c>
      <c r="Z72" s="243">
        <f t="shared" si="19"/>
        <v>11216797.055780215</v>
      </c>
      <c r="AA72" s="243">
        <f t="shared" si="19"/>
        <v>11863331.764321946</v>
      </c>
      <c r="AB72" s="243">
        <f t="shared" si="19"/>
        <v>12545425.881833471</v>
      </c>
      <c r="AC72" s="243">
        <f t="shared" si="19"/>
        <v>13265035.17580813</v>
      </c>
      <c r="AD72" s="243">
        <f t="shared" si="19"/>
        <v>14024222.980951399</v>
      </c>
      <c r="AE72" s="243">
        <f t="shared" si="19"/>
        <v>14825166.115377542</v>
      </c>
      <c r="AF72" s="243">
        <f t="shared" si="19"/>
        <v>15670161.122197127</v>
      </c>
      <c r="AG72" s="243">
        <f t="shared" si="19"/>
        <v>16561630.854391789</v>
      </c>
      <c r="AH72" s="243">
        <f t="shared" si="19"/>
        <v>17502131.421857156</v>
      </c>
      <c r="AI72" s="243">
        <f t="shared" si="19"/>
        <v>18494359.520533118</v>
      </c>
      <c r="AJ72" s="243">
        <f t="shared" si="19"/>
        <v>19541160.164636258</v>
      </c>
      <c r="AK72" s="243">
        <f t="shared" si="19"/>
        <v>20645534.844165072</v>
      </c>
      <c r="AL72" s="243">
        <f t="shared" si="19"/>
        <v>21810650.131067969</v>
      </c>
      <c r="AM72" s="243">
        <f t="shared" si="19"/>
        <v>23039846.758750521</v>
      </c>
      <c r="AN72" s="243">
        <f t="shared" si="19"/>
        <v>24336649.200955622</v>
      </c>
      <c r="AO72" s="243">
        <f t="shared" si="19"/>
        <v>25704775.777482003</v>
      </c>
      <c r="AP72" s="243">
        <f>AP70+AP71</f>
        <v>27148149.315717328</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317</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316</v>
      </c>
      <c r="B75" s="287">
        <f t="shared" ref="B75:AO75" si="22">B68</f>
        <v>16824358.173761193</v>
      </c>
      <c r="C75" s="287">
        <f t="shared" si="22"/>
        <v>616498.7412256801</v>
      </c>
      <c r="D75" s="287">
        <f>D68</f>
        <v>2245934.2024021605</v>
      </c>
      <c r="E75" s="287">
        <f t="shared" si="22"/>
        <v>4100532.1427145367</v>
      </c>
      <c r="F75" s="287">
        <f t="shared" si="22"/>
        <v>4363074.9986561108</v>
      </c>
      <c r="G75" s="287">
        <f t="shared" si="22"/>
        <v>4640057.7116744714</v>
      </c>
      <c r="H75" s="287">
        <f t="shared" si="22"/>
        <v>4932274.4739088407</v>
      </c>
      <c r="I75" s="287">
        <f t="shared" si="22"/>
        <v>5240563.1580661014</v>
      </c>
      <c r="J75" s="287">
        <f t="shared" si="22"/>
        <v>5565807.7198520126</v>
      </c>
      <c r="K75" s="287">
        <f t="shared" si="22"/>
        <v>5908940.7325361473</v>
      </c>
      <c r="L75" s="287">
        <f t="shared" si="22"/>
        <v>6270946.0609179093</v>
      </c>
      <c r="M75" s="287">
        <f t="shared" si="22"/>
        <v>6652861.6823606687</v>
      </c>
      <c r="N75" s="287">
        <f t="shared" si="22"/>
        <v>7055782.6629827805</v>
      </c>
      <c r="O75" s="287">
        <f t="shared" si="22"/>
        <v>7480864.2975391075</v>
      </c>
      <c r="P75" s="287">
        <f t="shared" si="22"/>
        <v>7929325.4219960328</v>
      </c>
      <c r="Q75" s="287">
        <f t="shared" si="22"/>
        <v>8402451.9082980864</v>
      </c>
      <c r="R75" s="287">
        <f t="shared" si="22"/>
        <v>8901600.3513467554</v>
      </c>
      <c r="S75" s="287">
        <f t="shared" si="22"/>
        <v>9428201.9587631021</v>
      </c>
      <c r="T75" s="287">
        <f t="shared" si="22"/>
        <v>9983766.6545873452</v>
      </c>
      <c r="U75" s="287">
        <f t="shared" si="22"/>
        <v>10569887.408681924</v>
      </c>
      <c r="V75" s="287">
        <f t="shared" si="22"/>
        <v>11188244.804251703</v>
      </c>
      <c r="W75" s="287">
        <f t="shared" si="22"/>
        <v>11840611.856577821</v>
      </c>
      <c r="X75" s="287">
        <f t="shared" si="22"/>
        <v>12528859.096781874</v>
      </c>
      <c r="Y75" s="287">
        <f t="shared" si="22"/>
        <v>13254959.93519715</v>
      </c>
      <c r="Z75" s="287">
        <f t="shared" si="22"/>
        <v>14020996.319725269</v>
      </c>
      <c r="AA75" s="287">
        <f t="shared" si="22"/>
        <v>14829164.705402432</v>
      </c>
      <c r="AB75" s="287">
        <f t="shared" si="22"/>
        <v>15681782.352291839</v>
      </c>
      <c r="AC75" s="287">
        <f t="shared" si="22"/>
        <v>16581293.969760163</v>
      </c>
      <c r="AD75" s="287">
        <f t="shared" si="22"/>
        <v>17530278.726189248</v>
      </c>
      <c r="AE75" s="287">
        <f t="shared" si="22"/>
        <v>18531457.644221928</v>
      </c>
      <c r="AF75" s="287">
        <f t="shared" si="22"/>
        <v>19587701.402746409</v>
      </c>
      <c r="AG75" s="287">
        <f t="shared" si="22"/>
        <v>20702038.567989737</v>
      </c>
      <c r="AH75" s="287">
        <f t="shared" si="22"/>
        <v>21877664.277321447</v>
      </c>
      <c r="AI75" s="287">
        <f t="shared" si="22"/>
        <v>23117949.400666397</v>
      </c>
      <c r="AJ75" s="287">
        <f t="shared" si="22"/>
        <v>24426450.205795322</v>
      </c>
      <c r="AK75" s="287">
        <f t="shared" si="22"/>
        <v>25806918.55520634</v>
      </c>
      <c r="AL75" s="287">
        <f t="shared" si="22"/>
        <v>27263312.663834959</v>
      </c>
      <c r="AM75" s="287">
        <f t="shared" si="22"/>
        <v>28799808.448438153</v>
      </c>
      <c r="AN75" s="287">
        <f t="shared" si="22"/>
        <v>30420811.501194526</v>
      </c>
      <c r="AO75" s="287">
        <f t="shared" si="22"/>
        <v>32130969.721852504</v>
      </c>
      <c r="AP75" s="287">
        <f>AP68</f>
        <v>33935186.644646659</v>
      </c>
    </row>
    <row r="76" spans="1:45" x14ac:dyDescent="0.2">
      <c r="A76" s="237" t="s">
        <v>315</v>
      </c>
      <c r="B76" s="286">
        <f t="shared" ref="B76:AO76" si="23">-B67</f>
        <v>0</v>
      </c>
      <c r="C76" s="286">
        <f>-C67</f>
        <v>672974.32895044773</v>
      </c>
      <c r="D76" s="286">
        <f t="shared" si="23"/>
        <v>672974.32895044773</v>
      </c>
      <c r="E76" s="286">
        <f t="shared" si="23"/>
        <v>672974.32895044773</v>
      </c>
      <c r="F76" s="286">
        <f>-C67</f>
        <v>672974.32895044773</v>
      </c>
      <c r="G76" s="286">
        <f t="shared" si="23"/>
        <v>672974.32895044773</v>
      </c>
      <c r="H76" s="286">
        <f t="shared" si="23"/>
        <v>672974.32895044773</v>
      </c>
      <c r="I76" s="286">
        <f t="shared" si="23"/>
        <v>672974.32895044773</v>
      </c>
      <c r="J76" s="286">
        <f t="shared" si="23"/>
        <v>672974.32895044773</v>
      </c>
      <c r="K76" s="286">
        <f t="shared" si="23"/>
        <v>672974.32895044773</v>
      </c>
      <c r="L76" s="286">
        <f>-L67</f>
        <v>672974.32895044773</v>
      </c>
      <c r="M76" s="286">
        <f>-M67</f>
        <v>672974.32895044773</v>
      </c>
      <c r="N76" s="286">
        <f t="shared" si="23"/>
        <v>672974.32895044773</v>
      </c>
      <c r="O76" s="286">
        <f t="shared" si="23"/>
        <v>672974.32895044773</v>
      </c>
      <c r="P76" s="286">
        <f t="shared" si="23"/>
        <v>672974.32895044773</v>
      </c>
      <c r="Q76" s="286">
        <f t="shared" si="23"/>
        <v>672974.32895044773</v>
      </c>
      <c r="R76" s="286">
        <f t="shared" si="23"/>
        <v>672974.32895044773</v>
      </c>
      <c r="S76" s="286">
        <f t="shared" si="23"/>
        <v>672974.32895044773</v>
      </c>
      <c r="T76" s="286">
        <f t="shared" si="23"/>
        <v>672974.32895044773</v>
      </c>
      <c r="U76" s="286">
        <f t="shared" si="23"/>
        <v>672974.32895044773</v>
      </c>
      <c r="V76" s="286">
        <f t="shared" si="23"/>
        <v>672974.32895044773</v>
      </c>
      <c r="W76" s="286">
        <f t="shared" si="23"/>
        <v>672974.32895044773</v>
      </c>
      <c r="X76" s="286">
        <f t="shared" si="23"/>
        <v>672974.32895044773</v>
      </c>
      <c r="Y76" s="286">
        <f t="shared" si="23"/>
        <v>672974.32895044773</v>
      </c>
      <c r="Z76" s="286">
        <f t="shared" si="23"/>
        <v>672974.32895044773</v>
      </c>
      <c r="AA76" s="286">
        <f t="shared" si="23"/>
        <v>672974.32895044773</v>
      </c>
      <c r="AB76" s="286">
        <f t="shared" si="23"/>
        <v>672974.32895044773</v>
      </c>
      <c r="AC76" s="286">
        <f t="shared" si="23"/>
        <v>672974.32895044773</v>
      </c>
      <c r="AD76" s="286">
        <f t="shared" si="23"/>
        <v>672974.32895044773</v>
      </c>
      <c r="AE76" s="286">
        <f t="shared" si="23"/>
        <v>672974.32895044773</v>
      </c>
      <c r="AF76" s="286">
        <f t="shared" si="23"/>
        <v>672974.32895044773</v>
      </c>
      <c r="AG76" s="286">
        <f t="shared" si="23"/>
        <v>672974.32895044773</v>
      </c>
      <c r="AH76" s="286">
        <f t="shared" si="23"/>
        <v>672974.32895044773</v>
      </c>
      <c r="AI76" s="286">
        <f t="shared" si="23"/>
        <v>672974.32895044773</v>
      </c>
      <c r="AJ76" s="286">
        <f t="shared" si="23"/>
        <v>672974.32895044773</v>
      </c>
      <c r="AK76" s="286">
        <f t="shared" si="23"/>
        <v>672974.32895044773</v>
      </c>
      <c r="AL76" s="286">
        <f t="shared" si="23"/>
        <v>672974.32895044773</v>
      </c>
      <c r="AM76" s="286">
        <f t="shared" si="23"/>
        <v>672974.32895044773</v>
      </c>
      <c r="AN76" s="286">
        <f t="shared" si="23"/>
        <v>672974.32895044773</v>
      </c>
      <c r="AO76" s="286">
        <f t="shared" si="23"/>
        <v>672974.32895044773</v>
      </c>
      <c r="AP76" s="286">
        <f>-AP67</f>
        <v>672974.32895044773</v>
      </c>
    </row>
    <row r="77" spans="1:45" x14ac:dyDescent="0.2">
      <c r="A77" s="237" t="s">
        <v>314</v>
      </c>
      <c r="B77" s="286">
        <f t="shared" ref="B77:AO77" si="24">B69</f>
        <v>0</v>
      </c>
      <c r="C77" s="286">
        <f t="shared" si="24"/>
        <v>0</v>
      </c>
      <c r="D77" s="286">
        <f t="shared" si="24"/>
        <v>0</v>
      </c>
      <c r="E77" s="286">
        <f t="shared" si="24"/>
        <v>0</v>
      </c>
      <c r="F77" s="286">
        <f t="shared" si="24"/>
        <v>0</v>
      </c>
      <c r="G77" s="286">
        <f t="shared" si="24"/>
        <v>0</v>
      </c>
      <c r="H77" s="286">
        <f t="shared" si="24"/>
        <v>0</v>
      </c>
      <c r="I77" s="286">
        <f t="shared" si="24"/>
        <v>0</v>
      </c>
      <c r="J77" s="286">
        <f t="shared" si="24"/>
        <v>0</v>
      </c>
      <c r="K77" s="286">
        <f t="shared" si="24"/>
        <v>0</v>
      </c>
      <c r="L77" s="286">
        <f t="shared" si="24"/>
        <v>0</v>
      </c>
      <c r="M77" s="286">
        <f t="shared" si="24"/>
        <v>0</v>
      </c>
      <c r="N77" s="286">
        <f t="shared" si="24"/>
        <v>0</v>
      </c>
      <c r="O77" s="286">
        <f t="shared" si="24"/>
        <v>0</v>
      </c>
      <c r="P77" s="286">
        <f t="shared" si="24"/>
        <v>0</v>
      </c>
      <c r="Q77" s="286">
        <f t="shared" si="24"/>
        <v>0</v>
      </c>
      <c r="R77" s="286">
        <f t="shared" si="24"/>
        <v>0</v>
      </c>
      <c r="S77" s="286">
        <f t="shared" si="24"/>
        <v>0</v>
      </c>
      <c r="T77" s="286">
        <f t="shared" si="24"/>
        <v>0</v>
      </c>
      <c r="U77" s="286">
        <f t="shared" si="24"/>
        <v>0</v>
      </c>
      <c r="V77" s="286">
        <f t="shared" si="24"/>
        <v>0</v>
      </c>
      <c r="W77" s="286">
        <f t="shared" si="24"/>
        <v>0</v>
      </c>
      <c r="X77" s="286">
        <f t="shared" si="24"/>
        <v>0</v>
      </c>
      <c r="Y77" s="286">
        <f t="shared" si="24"/>
        <v>0</v>
      </c>
      <c r="Z77" s="286">
        <f t="shared" si="24"/>
        <v>0</v>
      </c>
      <c r="AA77" s="286">
        <f t="shared" si="24"/>
        <v>0</v>
      </c>
      <c r="AB77" s="286">
        <f t="shared" si="24"/>
        <v>0</v>
      </c>
      <c r="AC77" s="286">
        <f t="shared" si="24"/>
        <v>0</v>
      </c>
      <c r="AD77" s="286">
        <f t="shared" si="24"/>
        <v>0</v>
      </c>
      <c r="AE77" s="286">
        <f t="shared" si="24"/>
        <v>0</v>
      </c>
      <c r="AF77" s="286">
        <f t="shared" si="24"/>
        <v>0</v>
      </c>
      <c r="AG77" s="286">
        <f t="shared" si="24"/>
        <v>0</v>
      </c>
      <c r="AH77" s="286">
        <f t="shared" si="24"/>
        <v>0</v>
      </c>
      <c r="AI77" s="286">
        <f t="shared" si="24"/>
        <v>0</v>
      </c>
      <c r="AJ77" s="286">
        <f t="shared" si="24"/>
        <v>0</v>
      </c>
      <c r="AK77" s="286">
        <f t="shared" si="24"/>
        <v>0</v>
      </c>
      <c r="AL77" s="286">
        <f t="shared" si="24"/>
        <v>0</v>
      </c>
      <c r="AM77" s="286">
        <f t="shared" si="24"/>
        <v>0</v>
      </c>
      <c r="AN77" s="286">
        <f t="shared" si="24"/>
        <v>0</v>
      </c>
      <c r="AO77" s="286">
        <f t="shared" si="24"/>
        <v>0</v>
      </c>
      <c r="AP77" s="286">
        <f>AP69</f>
        <v>0</v>
      </c>
    </row>
    <row r="78" spans="1:45" x14ac:dyDescent="0.2">
      <c r="A78" s="237" t="s">
        <v>313</v>
      </c>
      <c r="B78" s="286">
        <f>IF(SUM($B$71:B71)+SUM($A$78:A78)&gt;0,0,SUM($B$71:B71)-SUM($A$78:A78))</f>
        <v>-3364871.6347522386</v>
      </c>
      <c r="C78" s="286">
        <f>IF(SUM($B$71:C71)+SUM($A$78:B78)&gt;0,0,SUM($B$71:C71)-SUM($A$78:B78))</f>
        <v>-123299.74824513588</v>
      </c>
      <c r="D78" s="286">
        <f>IF(SUM($B$71:D71)+SUM($A$78:C78)&gt;0,0,SUM($B$71:D71)-SUM($A$78:C78))</f>
        <v>-449186.84048043238</v>
      </c>
      <c r="E78" s="286">
        <f>IF(SUM($B$71:E71)+SUM($A$78:D78)&gt;0,0,SUM($B$71:E71)-SUM($A$78:D78))</f>
        <v>-820106.42854290735</v>
      </c>
      <c r="F78" s="286">
        <f>IF(SUM($B$71:F71)+SUM($A$78:E78)&gt;0,0,SUM($B$71:F71)-SUM($A$78:E78))</f>
        <v>-872614.99973122217</v>
      </c>
      <c r="G78" s="286">
        <f>IF(SUM($B$71:G71)+SUM($A$78:F78)&gt;0,0,SUM($B$71:G71)-SUM($A$78:F78))</f>
        <v>-928011.54233489465</v>
      </c>
      <c r="H78" s="286">
        <f>IF(SUM($B$71:H71)+SUM($A$78:G78)&gt;0,0,SUM($B$71:H71)-SUM($A$78:G78))</f>
        <v>-986454.89478176832</v>
      </c>
      <c r="I78" s="286">
        <f>IF(SUM($B$71:I71)+SUM($A$78:H78)&gt;0,0,SUM($B$71:I71)-SUM($A$78:H78))</f>
        <v>-1048112.631613221</v>
      </c>
      <c r="J78" s="286">
        <f>IF(SUM($B$71:J71)+SUM($A$78:I78)&gt;0,0,SUM($B$71:J71)-SUM($A$78:I78))</f>
        <v>-1113161.5439704023</v>
      </c>
      <c r="K78" s="286">
        <f>IF(SUM($B$71:K71)+SUM($A$78:J78)&gt;0,0,SUM($B$71:K71)-SUM($A$78:J78))</f>
        <v>-1181788.1465072297</v>
      </c>
      <c r="L78" s="286">
        <f>IF(SUM($B$71:L71)+SUM($A$78:K78)&gt;0,0,SUM($B$71:L71)-SUM($A$78:K78))</f>
        <v>-1254189.2121835817</v>
      </c>
      <c r="M78" s="286">
        <f>IF(SUM($B$71:M71)+SUM($A$78:L78)&gt;0,0,SUM($B$71:M71)-SUM($A$78:L78))</f>
        <v>-1330572.3364721332</v>
      </c>
      <c r="N78" s="286">
        <f>IF(SUM($B$71:N71)+SUM($A$78:M78)&gt;0,0,SUM($B$71:N71)-SUM($A$78:M78))</f>
        <v>-1411156.5325965565</v>
      </c>
      <c r="O78" s="286">
        <f>IF(SUM($B$71:O71)+SUM($A$78:N78)&gt;0,0,SUM($B$71:O71)-SUM($A$78:N78))</f>
        <v>-1496172.8595078215</v>
      </c>
      <c r="P78" s="286">
        <f>IF(SUM($B$71:P71)+SUM($A$78:O78)&gt;0,0,SUM($B$71:P71)-SUM($A$78:O78))</f>
        <v>-1585865.0843992066</v>
      </c>
      <c r="Q78" s="286">
        <f>IF(SUM($B$71:Q71)+SUM($A$78:P78)&gt;0,0,SUM($B$71:Q71)-SUM($A$78:P78))</f>
        <v>-1680490.3816596158</v>
      </c>
      <c r="R78" s="286">
        <f>IF(SUM($B$71:R71)+SUM($A$78:Q78)&gt;0,0,SUM($B$71:R71)-SUM($A$78:Q78))</f>
        <v>-1780320.07026935</v>
      </c>
      <c r="S78" s="286">
        <f>IF(SUM($B$71:S71)+SUM($A$78:R78)&gt;0,0,SUM($B$71:S71)-SUM($A$78:R78))</f>
        <v>-1885640.3917526193</v>
      </c>
      <c r="T78" s="286">
        <f>IF(SUM($B$71:T71)+SUM($A$78:S78)&gt;0,0,SUM($B$71:T71)-SUM($A$78:S78))</f>
        <v>-1996753.3309174702</v>
      </c>
      <c r="U78" s="286">
        <f>IF(SUM($B$71:U71)+SUM($A$78:T78)&gt;0,0,SUM($B$71:U71)-SUM($A$78:T78))</f>
        <v>-2113977.4817363843</v>
      </c>
      <c r="V78" s="286">
        <f>IF(SUM($B$71:V71)+SUM($A$78:U78)&gt;0,0,SUM($B$71:V71)-SUM($A$78:U78))</f>
        <v>-2237648.9608503394</v>
      </c>
      <c r="W78" s="286">
        <f>IF(SUM($B$71:W71)+SUM($A$78:V78)&gt;0,0,SUM($B$71:W71)-SUM($A$78:V78))</f>
        <v>-2368122.371315565</v>
      </c>
      <c r="X78" s="286">
        <f>IF(SUM($B$71:X71)+SUM($A$78:W78)&gt;0,0,SUM($B$71:X71)-SUM($A$78:W78))</f>
        <v>-2505771.8193563782</v>
      </c>
      <c r="Y78" s="286">
        <f>IF(SUM($B$71:Y71)+SUM($A$78:X78)&gt;0,0,SUM($B$71:Y71)-SUM($A$78:X78))</f>
        <v>-2650991.9870394319</v>
      </c>
      <c r="Z78" s="286">
        <f>IF(SUM($B$71:Z71)+SUM($A$78:Y78)&gt;0,0,SUM($B$71:Z71)-SUM($A$78:Y78))</f>
        <v>-2804199.263945058</v>
      </c>
      <c r="AA78" s="286">
        <f>IF(SUM($B$71:AA71)+SUM($A$78:Z78)&gt;0,0,SUM($B$71:AA71)-SUM($A$78:Z78))</f>
        <v>-2965832.9410804883</v>
      </c>
      <c r="AB78" s="286">
        <f>IF(SUM($B$71:AB71)+SUM($A$78:AA78)&gt;0,0,SUM($B$71:AB71)-SUM($A$78:AA78))</f>
        <v>-3136356.470458366</v>
      </c>
      <c r="AC78" s="286">
        <f>IF(SUM($B$71:AC71)+SUM($A$78:AB78)&gt;0,0,SUM($B$71:AC71)-SUM($A$78:AB78))</f>
        <v>-3316258.7939520329</v>
      </c>
      <c r="AD78" s="286">
        <f>IF(SUM($B$71:AD71)+SUM($A$78:AC78)&gt;0,0,SUM($B$71:AD71)-SUM($A$78:AC78))</f>
        <v>-3506055.7452378497</v>
      </c>
      <c r="AE78" s="286">
        <f>IF(SUM($B$71:AE71)+SUM($A$78:AD78)&gt;0,0,SUM($B$71:AE71)-SUM($A$78:AD78))</f>
        <v>-3706291.5288443863</v>
      </c>
      <c r="AF78" s="286">
        <f>IF(SUM($B$71:AF71)+SUM($A$78:AE78)&gt;0,0,SUM($B$71:AF71)-SUM($A$78:AE78))</f>
        <v>-3917540.2805492803</v>
      </c>
      <c r="AG78" s="286">
        <f>IF(SUM($B$71:AG71)+SUM($A$78:AF78)&gt;0,0,SUM($B$71:AG71)-SUM($A$78:AF78))</f>
        <v>-4140407.7135979459</v>
      </c>
      <c r="AH78" s="286">
        <f>IF(SUM($B$71:AH71)+SUM($A$78:AG78)&gt;0,0,SUM($B$71:AH71)-SUM($A$78:AG78))</f>
        <v>-4375532.8554642871</v>
      </c>
      <c r="AI78" s="286">
        <f>IF(SUM($B$71:AI71)+SUM($A$78:AH78)&gt;0,0,SUM($B$71:AI71)-SUM($A$78:AH78))</f>
        <v>-4623589.8801332861</v>
      </c>
      <c r="AJ78" s="286">
        <f>IF(SUM($B$71:AJ71)+SUM($A$78:AI78)&gt;0,0,SUM($B$71:AJ71)-SUM($A$78:AI78))</f>
        <v>-4885290.0411590636</v>
      </c>
      <c r="AK78" s="286">
        <f>IF(SUM($B$71:AK71)+SUM($A$78:AJ78)&gt;0,0,SUM($B$71:AK71)-SUM($A$78:AJ78))</f>
        <v>-5161383.7110412717</v>
      </c>
      <c r="AL78" s="286">
        <f>IF(SUM($B$71:AL71)+SUM($A$78:AK78)&gt;0,0,SUM($B$71:AL71)-SUM($A$78:AK78))</f>
        <v>-5452662.5327669978</v>
      </c>
      <c r="AM78" s="286">
        <f>IF(SUM($B$71:AM71)+SUM($A$78:AL78)&gt;0,0,SUM($B$71:AM71)-SUM($A$78:AL78))</f>
        <v>-5759961.6896876246</v>
      </c>
      <c r="AN78" s="286">
        <f>IF(SUM($B$71:AN71)+SUM($A$78:AM78)&gt;0,0,SUM($B$71:AN71)-SUM($A$78:AM78))</f>
        <v>-6084162.3002389073</v>
      </c>
      <c r="AO78" s="286">
        <f>IF(SUM($B$71:AO71)+SUM($A$78:AN78)&gt;0,0,SUM($B$71:AO71)-SUM($A$78:AN78))</f>
        <v>-6426193.9443704933</v>
      </c>
      <c r="AP78" s="286">
        <f>IF(SUM($B$71:AP71)+SUM($A$78:AO78)&gt;0,0,SUM($B$71:AP71)-SUM($A$78:AO78))</f>
        <v>-6787037.3289293349</v>
      </c>
    </row>
    <row r="79" spans="1:45" x14ac:dyDescent="0.2">
      <c r="A79" s="237" t="s">
        <v>312</v>
      </c>
      <c r="B79" s="286">
        <f>IF(((SUM($B$59:B59)+SUM($B$61:B64))+SUM($B$81:B81))&lt;0,((SUM($B$59:B59)+SUM($B$61:B64))+SUM($B$81:B81))*0.18-SUM($A$79:A79),IF(SUM(A$79:$B79)&lt;0,0-SUM(A$79:$B79),0))</f>
        <v>-9.0000001341104512E-3</v>
      </c>
      <c r="C79" s="286">
        <f>IF(((SUM($B$59:C59)+SUM($B$61:C64))+SUM($B$81:C81))&lt;0,((SUM($B$59:C59)+SUM($B$61:C64))+SUM($B$81:C81))*0.18-SUM($A$79:B79),IF(SUM($B$79:B79)&lt;0,0-SUM($B$79:B79),0))</f>
        <v>9.0000001341104512E-3</v>
      </c>
      <c r="D79" s="286">
        <f>IF(((SUM($B$59:D59)+SUM($B$61:D64))+SUM($B$81:D81))&lt;0,((SUM($B$59:D59)+SUM($B$61:D64))+SUM($B$81:D81))*0.18-SUM($A$79:C79),IF(SUM($B$79:C79)&lt;0,0-SUM($B$79:C79),0))</f>
        <v>0</v>
      </c>
      <c r="E79" s="286">
        <f>IF(((SUM($B$59:E59)+SUM($B$61:E64))+SUM($B$81:E81))&lt;0,((SUM($B$59:E59)+SUM($B$61:E64))+SUM($B$81:E81))*0.18-SUM($A$79:D79),IF(SUM($B$79:D79)&lt;0,0-SUM($B$79:D79),0))</f>
        <v>0</v>
      </c>
      <c r="F79" s="286">
        <f>IF(((SUM($B$59:F59)+SUM($B$61:F64))+SUM($B$81:F81))&lt;0,((SUM($B$59:F59)+SUM($B$61:F64))+SUM($B$81:F81))*0.18-SUM($A$79:E79),IF(SUM($B$79:E79)&lt;0,0-SUM($B$79:E79),0))</f>
        <v>0</v>
      </c>
      <c r="G79" s="286">
        <f>IF(((SUM($B$59:G59)+SUM($B$61:G64))+SUM($B$81:G81))&lt;0,((SUM($B$59:G59)+SUM($B$61:G64))+SUM($B$81:G81))*0.18-SUM($A$79:F79),IF(SUM($B$79:F79)&lt;0,0-SUM($B$79:F79),0))</f>
        <v>0</v>
      </c>
      <c r="H79" s="286">
        <f>IF(((SUM($B$59:H59)+SUM($B$61:H64))+SUM($B$81:H81))&lt;0,((SUM($B$59:H59)+SUM($B$61:H64))+SUM($B$81:H81))*0.18-SUM($A$79:G79),IF(SUM($B$79:G79)&lt;0,0-SUM($B$79:G79),0))</f>
        <v>0</v>
      </c>
      <c r="I79" s="286">
        <f>IF(((SUM($B$59:I59)+SUM($B$61:I64))+SUM($B$81:I81))&lt;0,((SUM($B$59:I59)+SUM($B$61:I64))+SUM($B$81:I81))*0.18-SUM($A$79:H79),IF(SUM($B$79:H79)&lt;0,0-SUM($B$79:H79),0))</f>
        <v>0</v>
      </c>
      <c r="J79" s="286">
        <f>IF(((SUM($B$59:J59)+SUM($B$61:J64))+SUM($B$81:J81))&lt;0,((SUM($B$59:J59)+SUM($B$61:J64))+SUM($B$81:J81))*0.18-SUM($A$79:I79),IF(SUM($B$79:I79)&lt;0,0-SUM($B$79:I79),0))</f>
        <v>0</v>
      </c>
      <c r="K79" s="286">
        <f>IF(((SUM($B$59:K59)+SUM($B$61:K64))+SUM($B$81:K81))&lt;0,((SUM($B$59:K59)+SUM($B$61:K64))+SUM($B$81:K81))*0.18-SUM($A$79:J79),IF(SUM($B$79:J79)&lt;0,0-SUM($B$79:J79),0))</f>
        <v>0</v>
      </c>
      <c r="L79" s="286">
        <f>IF(((SUM($B$59:L59)+SUM($B$61:L64))+SUM($B$81:L81))&lt;0,((SUM($B$59:L59)+SUM($B$61:L64))+SUM($B$81:L81))*0.18-SUM($A$79:K79),IF(SUM($B$79:K79)&lt;0,0-SUM($B$79:K79),0))</f>
        <v>0</v>
      </c>
      <c r="M79" s="286">
        <f>IF(((SUM($B$59:M59)+SUM($B$61:M64))+SUM($B$81:M81))&lt;0,((SUM($B$59:M59)+SUM($B$61:M64))+SUM($B$81:M81))*0.18-SUM($A$79:L79),IF(SUM($B$79:L79)&lt;0,0-SUM($B$79:L79),0))</f>
        <v>0</v>
      </c>
      <c r="N79" s="286">
        <f>IF(((SUM($B$59:N59)+SUM($B$61:N64))+SUM($B$81:N81))&lt;0,((SUM($B$59:N59)+SUM($B$61:N64))+SUM($B$81:N81))*0.18-SUM($A$79:M79),IF(SUM($B$79:M79)&lt;0,0-SUM($B$79:M79),0))</f>
        <v>0</v>
      </c>
      <c r="O79" s="286">
        <f>IF(((SUM($B$59:O59)+SUM($B$61:O64))+SUM($B$81:O81))&lt;0,((SUM($B$59:O59)+SUM($B$61:O64))+SUM($B$81:O81))*0.18-SUM($A$79:N79),IF(SUM($B$79:N79)&lt;0,0-SUM($B$79:N79),0))</f>
        <v>0</v>
      </c>
      <c r="P79" s="286">
        <f>IF(((SUM($B$59:P59)+SUM($B$61:P64))+SUM($B$81:P81))&lt;0,((SUM($B$59:P59)+SUM($B$61:P64))+SUM($B$81:P81))*0.18-SUM($A$79:O79),IF(SUM($B$79:O79)&lt;0,0-SUM($B$79:O79),0))</f>
        <v>0</v>
      </c>
      <c r="Q79" s="286">
        <f>IF(((SUM($B$59:Q59)+SUM($B$61:Q64))+SUM($B$81:Q81))&lt;0,((SUM($B$59:Q59)+SUM($B$61:Q64))+SUM($B$81:Q81))*0.18-SUM($A$79:P79),IF(SUM($B$79:P79)&lt;0,0-SUM($B$79:P79),0))</f>
        <v>0</v>
      </c>
      <c r="R79" s="286">
        <f>IF(((SUM($B$59:R59)+SUM($B$61:R64))+SUM($B$81:R81))&lt;0,((SUM($B$59:R59)+SUM($B$61:R64))+SUM($B$81:R81))*0.18-SUM($A$79:Q79),IF(SUM($B$79:Q79)&lt;0,0-SUM($B$79:Q79),0))</f>
        <v>0</v>
      </c>
      <c r="S79" s="286">
        <f>IF(((SUM($B$59:S59)+SUM($B$61:S64))+SUM($B$81:S81))&lt;0,((SUM($B$59:S59)+SUM($B$61:S64))+SUM($B$81:S81))*0.18-SUM($A$79:R79),IF(SUM($B$79:R79)&lt;0,0-SUM($B$79:R79),0))</f>
        <v>0</v>
      </c>
      <c r="T79" s="286">
        <f>IF(((SUM($B$59:T59)+SUM($B$61:T64))+SUM($B$81:T81))&lt;0,((SUM($B$59:T59)+SUM($B$61:T64))+SUM($B$81:T81))*0.18-SUM($A$79:S79),IF(SUM($B$79:S79)&lt;0,0-SUM($B$79:S79),0))</f>
        <v>0</v>
      </c>
      <c r="U79" s="286">
        <f>IF(((SUM($B$59:U59)+SUM($B$61:U64))+SUM($B$81:U81))&lt;0,((SUM($B$59:U59)+SUM($B$61:U64))+SUM($B$81:U81))*0.18-SUM($A$79:T79),IF(SUM($B$79:T79)&lt;0,0-SUM($B$79:T79),0))</f>
        <v>0</v>
      </c>
      <c r="V79" s="286">
        <f>IF(((SUM($B$59:V59)+SUM($B$61:V64))+SUM($B$81:V81))&lt;0,((SUM($B$59:V59)+SUM($B$61:V64))+SUM($B$81:V81))*0.18-SUM($A$79:U79),IF(SUM($B$79:U79)&lt;0,0-SUM($B$79:U79),0))</f>
        <v>0</v>
      </c>
      <c r="W79" s="286">
        <f>IF(((SUM($B$59:W59)+SUM($B$61:W64))+SUM($B$81:W81))&lt;0,((SUM($B$59:W59)+SUM($B$61:W64))+SUM($B$81:W81))*0.18-SUM($A$79:V79),IF(SUM($B$79:V79)&lt;0,0-SUM($B$79:V79),0))</f>
        <v>0</v>
      </c>
      <c r="X79" s="286">
        <f>IF(((SUM($B$59:X59)+SUM($B$61:X64))+SUM($B$81:X81))&lt;0,((SUM($B$59:X59)+SUM($B$61:X64))+SUM($B$81:X81))*0.18-SUM($A$79:W79),IF(SUM($B$79:W79)&lt;0,0-SUM($B$79:W79),0))</f>
        <v>0</v>
      </c>
      <c r="Y79" s="286">
        <f>IF(((SUM($B$59:Y59)+SUM($B$61:Y64))+SUM($B$81:Y81))&lt;0,((SUM($B$59:Y59)+SUM($B$61:Y64))+SUM($B$81:Y81))*0.18-SUM($A$79:X79),IF(SUM($B$79:X79)&lt;0,0-SUM($B$79:X79),0))</f>
        <v>0</v>
      </c>
      <c r="Z79" s="286">
        <f>IF(((SUM($B$59:Z59)+SUM($B$61:Z64))+SUM($B$81:Z81))&lt;0,((SUM($B$59:Z59)+SUM($B$61:Z64))+SUM($B$81:Z81))*0.18-SUM($A$79:Y79),IF(SUM($B$79:Y79)&lt;0,0-SUM($B$79:Y79),0))</f>
        <v>0</v>
      </c>
      <c r="AA79" s="286">
        <f>IF(((SUM($B$59:AA59)+SUM($B$61:AA64))+SUM($B$81:AA81))&lt;0,((SUM($B$59:AA59)+SUM($B$61:AA64))+SUM($B$81:AA81))*0.18-SUM($A$79:Z79),IF(SUM($B$79:Z79)&lt;0,0-SUM($B$79:Z79),0))</f>
        <v>0</v>
      </c>
      <c r="AB79" s="286">
        <f>IF(((SUM($B$59:AB59)+SUM($B$61:AB64))+SUM($B$81:AB81))&lt;0,((SUM($B$59:AB59)+SUM($B$61:AB64))+SUM($B$81:AB81))*0.18-SUM($A$79:AA79),IF(SUM($B$79:AA79)&lt;0,0-SUM($B$79:AA79),0))</f>
        <v>0</v>
      </c>
      <c r="AC79" s="286">
        <f>IF(((SUM($B$59:AC59)+SUM($B$61:AC64))+SUM($B$81:AC81))&lt;0,((SUM($B$59:AC59)+SUM($B$61:AC64))+SUM($B$81:AC81))*0.18-SUM($A$79:AB79),IF(SUM($B$79:AB79)&lt;0,0-SUM($B$79:AB79),0))</f>
        <v>0</v>
      </c>
      <c r="AD79" s="286">
        <f>IF(((SUM($B$59:AD59)+SUM($B$61:AD64))+SUM($B$81:AD81))&lt;0,((SUM($B$59:AD59)+SUM($B$61:AD64))+SUM($B$81:AD81))*0.18-SUM($A$79:AC79),IF(SUM($B$79:AC79)&lt;0,0-SUM($B$79:AC79),0))</f>
        <v>0</v>
      </c>
      <c r="AE79" s="286">
        <f>IF(((SUM($B$59:AE59)+SUM($B$61:AE64))+SUM($B$81:AE81))&lt;0,((SUM($B$59:AE59)+SUM($B$61:AE64))+SUM($B$81:AE81))*0.18-SUM($A$79:AD79),IF(SUM($B$79:AD79)&lt;0,0-SUM($B$79:AD79),0))</f>
        <v>0</v>
      </c>
      <c r="AF79" s="286">
        <f>IF(((SUM($B$59:AF59)+SUM($B$61:AF64))+SUM($B$81:AF81))&lt;0,((SUM($B$59:AF59)+SUM($B$61:AF64))+SUM($B$81:AF81))*0.18-SUM($A$79:AE79),IF(SUM($B$79:AE79)&lt;0,0-SUM($B$79:AE79),0))</f>
        <v>0</v>
      </c>
      <c r="AG79" s="286">
        <f>IF(((SUM($B$59:AG59)+SUM($B$61:AG64))+SUM($B$81:AG81))&lt;0,((SUM($B$59:AG59)+SUM($B$61:AG64))+SUM($B$81:AG81))*0.18-SUM($A$79:AF79),IF(SUM($B$79:AF79)&lt;0,0-SUM($B$79:AF79),0))</f>
        <v>0</v>
      </c>
      <c r="AH79" s="286">
        <f>IF(((SUM($B$59:AH59)+SUM($B$61:AH64))+SUM($B$81:AH81))&lt;0,((SUM($B$59:AH59)+SUM($B$61:AH64))+SUM($B$81:AH81))*0.18-SUM($A$79:AG79),IF(SUM($B$79:AG79)&lt;0,0-SUM($B$79:AG79),0))</f>
        <v>0</v>
      </c>
      <c r="AI79" s="286">
        <f>IF(((SUM($B$59:AI59)+SUM($B$61:AI64))+SUM($B$81:AI81))&lt;0,((SUM($B$59:AI59)+SUM($B$61:AI64))+SUM($B$81:AI81))*0.18-SUM($A$79:AH79),IF(SUM($B$79:AH79)&lt;0,0-SUM($B$79:AH79),0))</f>
        <v>0</v>
      </c>
      <c r="AJ79" s="286">
        <f>IF(((SUM($B$59:AJ59)+SUM($B$61:AJ64))+SUM($B$81:AJ81))&lt;0,((SUM($B$59:AJ59)+SUM($B$61:AJ64))+SUM($B$81:AJ81))*0.18-SUM($A$79:AI79),IF(SUM($B$79:AI79)&lt;0,0-SUM($B$79:AI79),0))</f>
        <v>0</v>
      </c>
      <c r="AK79" s="286">
        <f>IF(((SUM($B$59:AK59)+SUM($B$61:AK64))+SUM($B$81:AK81))&lt;0,((SUM($B$59:AK59)+SUM($B$61:AK64))+SUM($B$81:AK81))*0.18-SUM($A$79:AJ79),IF(SUM($B$79:AJ79)&lt;0,0-SUM($B$79:AJ79),0))</f>
        <v>0</v>
      </c>
      <c r="AL79" s="286">
        <f>IF(((SUM($B$59:AL59)+SUM($B$61:AL64))+SUM($B$81:AL81))&lt;0,((SUM($B$59:AL59)+SUM($B$61:AL64))+SUM($B$81:AL81))*0.18-SUM($A$79:AK79),IF(SUM($B$79:AK79)&lt;0,0-SUM($B$79:AK79),0))</f>
        <v>0</v>
      </c>
      <c r="AM79" s="286">
        <f>IF(((SUM($B$59:AM59)+SUM($B$61:AM64))+SUM($B$81:AM81))&lt;0,((SUM($B$59:AM59)+SUM($B$61:AM64))+SUM($B$81:AM81))*0.18-SUM($A$79:AL79),IF(SUM($B$79:AL79)&lt;0,0-SUM($B$79:AL79),0))</f>
        <v>0</v>
      </c>
      <c r="AN79" s="286">
        <f>IF(((SUM($B$59:AN59)+SUM($B$61:AN64))+SUM($B$81:AN81))&lt;0,((SUM($B$59:AN59)+SUM($B$61:AN64))+SUM($B$81:AN81))*0.18-SUM($A$79:AM79),IF(SUM($B$79:AM79)&lt;0,0-SUM($B$79:AM79),0))</f>
        <v>0</v>
      </c>
      <c r="AO79" s="286">
        <f>IF(((SUM($B$59:AO59)+SUM($B$61:AO64))+SUM($B$81:AO81))&lt;0,((SUM($B$59:AO59)+SUM($B$61:AO64))+SUM($B$81:AO81))*0.18-SUM($A$79:AN79),IF(SUM($B$79:AN79)&lt;0,0-SUM($B$79:AN79),0))</f>
        <v>0</v>
      </c>
      <c r="AP79" s="286">
        <f>IF(((SUM($B$59:AP59)+SUM($B$61:AP64))+SUM($B$81:AP81))&lt;0,((SUM($B$59:AP59)+SUM($B$61:AP64))+SUM($B$81:AP81))*0.18-SUM($A$79:AO79),IF(SUM($B$79:AO79)&lt;0,0-SUM($B$79:AO79),0))</f>
        <v>0</v>
      </c>
    </row>
    <row r="80" spans="1:45" x14ac:dyDescent="0.2">
      <c r="A80" s="237" t="s">
        <v>311</v>
      </c>
      <c r="B80" s="286">
        <f>-B59*(B39)</f>
        <v>0</v>
      </c>
      <c r="C80" s="286">
        <f t="shared" ref="C80:AP80" si="25">-(C59-B59)*$B$39</f>
        <v>0</v>
      </c>
      <c r="D80" s="286">
        <f t="shared" si="25"/>
        <v>0</v>
      </c>
      <c r="E80" s="286">
        <f t="shared" si="25"/>
        <v>0</v>
      </c>
      <c r="F80" s="286">
        <f t="shared" si="25"/>
        <v>0</v>
      </c>
      <c r="G80" s="286">
        <f t="shared" si="25"/>
        <v>0</v>
      </c>
      <c r="H80" s="286">
        <f t="shared" si="25"/>
        <v>0</v>
      </c>
      <c r="I80" s="286">
        <f t="shared" si="25"/>
        <v>0</v>
      </c>
      <c r="J80" s="286">
        <f t="shared" si="25"/>
        <v>0</v>
      </c>
      <c r="K80" s="286">
        <f t="shared" si="25"/>
        <v>0</v>
      </c>
      <c r="L80" s="286">
        <f t="shared" si="25"/>
        <v>0</v>
      </c>
      <c r="M80" s="286">
        <f t="shared" si="25"/>
        <v>0</v>
      </c>
      <c r="N80" s="286">
        <f t="shared" si="25"/>
        <v>0</v>
      </c>
      <c r="O80" s="286">
        <f t="shared" si="25"/>
        <v>0</v>
      </c>
      <c r="P80" s="286">
        <f t="shared" si="25"/>
        <v>0</v>
      </c>
      <c r="Q80" s="286">
        <f t="shared" si="25"/>
        <v>0</v>
      </c>
      <c r="R80" s="286">
        <f t="shared" si="25"/>
        <v>0</v>
      </c>
      <c r="S80" s="286">
        <f t="shared" si="25"/>
        <v>0</v>
      </c>
      <c r="T80" s="286">
        <f t="shared" si="25"/>
        <v>0</v>
      </c>
      <c r="U80" s="286">
        <f t="shared" si="25"/>
        <v>0</v>
      </c>
      <c r="V80" s="286">
        <f t="shared" si="25"/>
        <v>0</v>
      </c>
      <c r="W80" s="286">
        <f t="shared" si="25"/>
        <v>0</v>
      </c>
      <c r="X80" s="286">
        <f t="shared" si="25"/>
        <v>0</v>
      </c>
      <c r="Y80" s="286">
        <f t="shared" si="25"/>
        <v>0</v>
      </c>
      <c r="Z80" s="286">
        <f t="shared" si="25"/>
        <v>0</v>
      </c>
      <c r="AA80" s="286">
        <f t="shared" si="25"/>
        <v>0</v>
      </c>
      <c r="AB80" s="286">
        <f t="shared" si="25"/>
        <v>0</v>
      </c>
      <c r="AC80" s="286">
        <f t="shared" si="25"/>
        <v>0</v>
      </c>
      <c r="AD80" s="286">
        <f t="shared" si="25"/>
        <v>0</v>
      </c>
      <c r="AE80" s="286">
        <f t="shared" si="25"/>
        <v>0</v>
      </c>
      <c r="AF80" s="286">
        <f t="shared" si="25"/>
        <v>0</v>
      </c>
      <c r="AG80" s="286">
        <f t="shared" si="25"/>
        <v>0</v>
      </c>
      <c r="AH80" s="286">
        <f t="shared" si="25"/>
        <v>0</v>
      </c>
      <c r="AI80" s="286">
        <f t="shared" si="25"/>
        <v>0</v>
      </c>
      <c r="AJ80" s="286">
        <f t="shared" si="25"/>
        <v>0</v>
      </c>
      <c r="AK80" s="286">
        <f t="shared" si="25"/>
        <v>0</v>
      </c>
      <c r="AL80" s="286">
        <f t="shared" si="25"/>
        <v>0</v>
      </c>
      <c r="AM80" s="286">
        <f t="shared" si="25"/>
        <v>0</v>
      </c>
      <c r="AN80" s="286">
        <f t="shared" si="25"/>
        <v>0</v>
      </c>
      <c r="AO80" s="286">
        <f t="shared" si="25"/>
        <v>0</v>
      </c>
      <c r="AP80" s="286">
        <f t="shared" si="25"/>
        <v>0</v>
      </c>
    </row>
    <row r="81" spans="1:45" x14ac:dyDescent="0.2">
      <c r="A81" s="237" t="s">
        <v>552</v>
      </c>
      <c r="B81" s="286">
        <f>-$B$126</f>
        <v>-16824358.223761193</v>
      </c>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6"/>
      <c r="AL81" s="286"/>
      <c r="AM81" s="286"/>
      <c r="AN81" s="286"/>
      <c r="AO81" s="286"/>
      <c r="AP81" s="286"/>
      <c r="AQ81" s="240">
        <f>SUM(B81:AP81)</f>
        <v>-16824358.223761193</v>
      </c>
      <c r="AR81" s="241"/>
    </row>
    <row r="82" spans="1:45" x14ac:dyDescent="0.2">
      <c r="A82" s="237" t="s">
        <v>310</v>
      </c>
      <c r="B82" s="286">
        <f t="shared" ref="B82:AO82" si="26">B54-B55</f>
        <v>0</v>
      </c>
      <c r="C82" s="286">
        <f t="shared" si="26"/>
        <v>0</v>
      </c>
      <c r="D82" s="286">
        <f t="shared" si="26"/>
        <v>0</v>
      </c>
      <c r="E82" s="286">
        <f t="shared" si="26"/>
        <v>0</v>
      </c>
      <c r="F82" s="286">
        <f t="shared" si="26"/>
        <v>0</v>
      </c>
      <c r="G82" s="286">
        <f t="shared" si="26"/>
        <v>0</v>
      </c>
      <c r="H82" s="286">
        <f t="shared" si="26"/>
        <v>0</v>
      </c>
      <c r="I82" s="286">
        <f t="shared" si="26"/>
        <v>0</v>
      </c>
      <c r="J82" s="286">
        <f t="shared" si="26"/>
        <v>0</v>
      </c>
      <c r="K82" s="286">
        <f t="shared" si="26"/>
        <v>0</v>
      </c>
      <c r="L82" s="286">
        <f t="shared" si="26"/>
        <v>0</v>
      </c>
      <c r="M82" s="286">
        <f t="shared" si="26"/>
        <v>0</v>
      </c>
      <c r="N82" s="286">
        <f t="shared" si="26"/>
        <v>0</v>
      </c>
      <c r="O82" s="286">
        <f t="shared" si="26"/>
        <v>0</v>
      </c>
      <c r="P82" s="286">
        <f t="shared" si="26"/>
        <v>0</v>
      </c>
      <c r="Q82" s="286">
        <f t="shared" si="26"/>
        <v>0</v>
      </c>
      <c r="R82" s="286">
        <f t="shared" si="26"/>
        <v>0</v>
      </c>
      <c r="S82" s="286">
        <f t="shared" si="26"/>
        <v>0</v>
      </c>
      <c r="T82" s="286">
        <f t="shared" si="26"/>
        <v>0</v>
      </c>
      <c r="U82" s="286">
        <f t="shared" si="26"/>
        <v>0</v>
      </c>
      <c r="V82" s="286">
        <f t="shared" si="26"/>
        <v>0</v>
      </c>
      <c r="W82" s="286">
        <f t="shared" si="26"/>
        <v>0</v>
      </c>
      <c r="X82" s="286">
        <f t="shared" si="26"/>
        <v>0</v>
      </c>
      <c r="Y82" s="286">
        <f t="shared" si="26"/>
        <v>0</v>
      </c>
      <c r="Z82" s="286">
        <f t="shared" si="26"/>
        <v>0</v>
      </c>
      <c r="AA82" s="286">
        <f t="shared" si="26"/>
        <v>0</v>
      </c>
      <c r="AB82" s="286">
        <f t="shared" si="26"/>
        <v>0</v>
      </c>
      <c r="AC82" s="286">
        <f t="shared" si="26"/>
        <v>0</v>
      </c>
      <c r="AD82" s="286">
        <f t="shared" si="26"/>
        <v>0</v>
      </c>
      <c r="AE82" s="286">
        <f t="shared" si="26"/>
        <v>0</v>
      </c>
      <c r="AF82" s="286">
        <f t="shared" si="26"/>
        <v>0</v>
      </c>
      <c r="AG82" s="286">
        <f t="shared" si="26"/>
        <v>0</v>
      </c>
      <c r="AH82" s="286">
        <f t="shared" si="26"/>
        <v>0</v>
      </c>
      <c r="AI82" s="286">
        <f t="shared" si="26"/>
        <v>0</v>
      </c>
      <c r="AJ82" s="286">
        <f t="shared" si="26"/>
        <v>0</v>
      </c>
      <c r="AK82" s="286">
        <f t="shared" si="26"/>
        <v>0</v>
      </c>
      <c r="AL82" s="286">
        <f t="shared" si="26"/>
        <v>0</v>
      </c>
      <c r="AM82" s="286">
        <f t="shared" si="26"/>
        <v>0</v>
      </c>
      <c r="AN82" s="286">
        <f t="shared" si="26"/>
        <v>0</v>
      </c>
      <c r="AO82" s="286">
        <f t="shared" si="26"/>
        <v>0</v>
      </c>
      <c r="AP82" s="286">
        <f>AP54-AP55</f>
        <v>0</v>
      </c>
    </row>
    <row r="83" spans="1:45" ht="14.25" x14ac:dyDescent="0.2">
      <c r="A83" s="238" t="s">
        <v>309</v>
      </c>
      <c r="B83" s="287">
        <f>SUM(B75:B82)</f>
        <v>-3364871.6937522385</v>
      </c>
      <c r="C83" s="287">
        <f t="shared" ref="C83:V83" si="27">SUM(C75:C82)</f>
        <v>1166173.330930992</v>
      </c>
      <c r="D83" s="287">
        <f t="shared" si="27"/>
        <v>2469721.6908721761</v>
      </c>
      <c r="E83" s="287">
        <f t="shared" si="27"/>
        <v>3953400.0431220774</v>
      </c>
      <c r="F83" s="287">
        <f t="shared" si="27"/>
        <v>4163434.3278753366</v>
      </c>
      <c r="G83" s="287">
        <f t="shared" si="27"/>
        <v>4385020.4982900247</v>
      </c>
      <c r="H83" s="287">
        <f t="shared" si="27"/>
        <v>4618793.9080775203</v>
      </c>
      <c r="I83" s="287">
        <f t="shared" si="27"/>
        <v>4865424.8554033283</v>
      </c>
      <c r="J83" s="287">
        <f t="shared" si="27"/>
        <v>5125620.5048320582</v>
      </c>
      <c r="K83" s="287">
        <f t="shared" si="27"/>
        <v>5400126.9149793657</v>
      </c>
      <c r="L83" s="287">
        <f t="shared" si="27"/>
        <v>5689731.1776847756</v>
      </c>
      <c r="M83" s="287">
        <f t="shared" si="27"/>
        <v>5995263.6748389835</v>
      </c>
      <c r="N83" s="287">
        <f t="shared" si="27"/>
        <v>6317600.459336672</v>
      </c>
      <c r="O83" s="287">
        <f t="shared" si="27"/>
        <v>6657665.766981734</v>
      </c>
      <c r="P83" s="287">
        <f t="shared" si="27"/>
        <v>7016434.6665472742</v>
      </c>
      <c r="Q83" s="287">
        <f t="shared" si="27"/>
        <v>7394935.8555889186</v>
      </c>
      <c r="R83" s="287">
        <f t="shared" si="27"/>
        <v>7794254.6100278534</v>
      </c>
      <c r="S83" s="287">
        <f t="shared" si="27"/>
        <v>8215535.8959609307</v>
      </c>
      <c r="T83" s="287">
        <f t="shared" si="27"/>
        <v>8659987.652620323</v>
      </c>
      <c r="U83" s="287">
        <f t="shared" si="27"/>
        <v>9128884.2558959872</v>
      </c>
      <c r="V83" s="287">
        <f t="shared" si="27"/>
        <v>9623570.1723518111</v>
      </c>
      <c r="W83" s="287">
        <f>SUM(W75:W82)</f>
        <v>10145463.814212704</v>
      </c>
      <c r="X83" s="287">
        <f>SUM(X75:X82)</f>
        <v>10696061.606375944</v>
      </c>
      <c r="Y83" s="287">
        <f>SUM(Y75:Y82)</f>
        <v>11276942.277108166</v>
      </c>
      <c r="Z83" s="287">
        <f>SUM(Z75:Z82)</f>
        <v>11889771.384730659</v>
      </c>
      <c r="AA83" s="287">
        <f t="shared" ref="AA83:AP83" si="28">SUM(AA75:AA82)</f>
        <v>12536306.093272392</v>
      </c>
      <c r="AB83" s="287">
        <f t="shared" si="28"/>
        <v>13218400.210783921</v>
      </c>
      <c r="AC83" s="287">
        <f t="shared" si="28"/>
        <v>13938009.504758578</v>
      </c>
      <c r="AD83" s="287">
        <f t="shared" si="28"/>
        <v>14697197.309901845</v>
      </c>
      <c r="AE83" s="287">
        <f t="shared" si="28"/>
        <v>15498140.444327988</v>
      </c>
      <c r="AF83" s="287">
        <f t="shared" si="28"/>
        <v>16343135.451147575</v>
      </c>
      <c r="AG83" s="287">
        <f t="shared" si="28"/>
        <v>17234605.183342237</v>
      </c>
      <c r="AH83" s="287">
        <f t="shared" si="28"/>
        <v>18175105.750807606</v>
      </c>
      <c r="AI83" s="287">
        <f t="shared" si="28"/>
        <v>19167333.849483557</v>
      </c>
      <c r="AJ83" s="287">
        <f t="shared" si="28"/>
        <v>20214134.493586704</v>
      </c>
      <c r="AK83" s="287">
        <f t="shared" si="28"/>
        <v>21318509.173115514</v>
      </c>
      <c r="AL83" s="287">
        <f t="shared" si="28"/>
        <v>22483624.460018408</v>
      </c>
      <c r="AM83" s="287">
        <f t="shared" si="28"/>
        <v>23712821.087700974</v>
      </c>
      <c r="AN83" s="287">
        <f t="shared" si="28"/>
        <v>25009623.529906064</v>
      </c>
      <c r="AO83" s="287">
        <f t="shared" si="28"/>
        <v>26377750.106432457</v>
      </c>
      <c r="AP83" s="287">
        <f t="shared" si="28"/>
        <v>27821123.644667774</v>
      </c>
    </row>
    <row r="84" spans="1:45" ht="14.25" x14ac:dyDescent="0.2">
      <c r="A84" s="238" t="s">
        <v>308</v>
      </c>
      <c r="B84" s="287">
        <f>SUM($B$83:B83)</f>
        <v>-3364871.6937522385</v>
      </c>
      <c r="C84" s="287">
        <f>SUM($B$83:C83)</f>
        <v>-2198698.3628212465</v>
      </c>
      <c r="D84" s="287">
        <f>SUM($B$83:D83)</f>
        <v>271023.32805092959</v>
      </c>
      <c r="E84" s="287">
        <f>SUM($B$83:E83)</f>
        <v>4224423.3711730074</v>
      </c>
      <c r="F84" s="287">
        <f>SUM($B$83:F83)</f>
        <v>8387857.699048344</v>
      </c>
      <c r="G84" s="287">
        <f>SUM($B$83:G83)</f>
        <v>12772878.197338369</v>
      </c>
      <c r="H84" s="287">
        <f>SUM($B$83:H83)</f>
        <v>17391672.105415888</v>
      </c>
      <c r="I84" s="287">
        <f>SUM($B$83:I83)</f>
        <v>22257096.960819215</v>
      </c>
      <c r="J84" s="287">
        <f>SUM($B$83:J83)</f>
        <v>27382717.465651274</v>
      </c>
      <c r="K84" s="287">
        <f>SUM($B$83:K83)</f>
        <v>32782844.380630638</v>
      </c>
      <c r="L84" s="287">
        <f>SUM($B$83:L83)</f>
        <v>38472575.558315411</v>
      </c>
      <c r="M84" s="287">
        <f>SUM($B$83:M83)</f>
        <v>44467839.233154394</v>
      </c>
      <c r="N84" s="287">
        <f>SUM($B$83:N83)</f>
        <v>50785439.692491069</v>
      </c>
      <c r="O84" s="287">
        <f>SUM($B$83:O83)</f>
        <v>57443105.459472805</v>
      </c>
      <c r="P84" s="287">
        <f>SUM($B$83:P83)</f>
        <v>64459540.126020081</v>
      </c>
      <c r="Q84" s="287">
        <f>SUM($B$83:Q83)</f>
        <v>71854475.981609002</v>
      </c>
      <c r="R84" s="287">
        <f>SUM($B$83:R83)</f>
        <v>79648730.591636851</v>
      </c>
      <c r="S84" s="287">
        <f>SUM($B$83:S83)</f>
        <v>87864266.487597778</v>
      </c>
      <c r="T84" s="287">
        <f>SUM($B$83:T83)</f>
        <v>96524254.140218109</v>
      </c>
      <c r="U84" s="287">
        <f>SUM($B$83:U83)</f>
        <v>105653138.3961141</v>
      </c>
      <c r="V84" s="287">
        <f>SUM($B$83:V83)</f>
        <v>115276708.5684659</v>
      </c>
      <c r="W84" s="287">
        <f>SUM($B$83:W83)</f>
        <v>125422172.38267861</v>
      </c>
      <c r="X84" s="287">
        <f>SUM($B$83:X83)</f>
        <v>136118233.98905456</v>
      </c>
      <c r="Y84" s="287">
        <f>SUM($B$83:Y83)</f>
        <v>147395176.26616272</v>
      </c>
      <c r="Z84" s="287">
        <f>SUM($B$83:Z83)</f>
        <v>159284947.65089339</v>
      </c>
      <c r="AA84" s="287">
        <f>SUM($B$83:AA83)</f>
        <v>171821253.74416578</v>
      </c>
      <c r="AB84" s="287">
        <f>SUM($B$83:AB83)</f>
        <v>185039653.95494971</v>
      </c>
      <c r="AC84" s="287">
        <f>SUM($B$83:AC83)</f>
        <v>198977663.45970827</v>
      </c>
      <c r="AD84" s="287">
        <f>SUM($B$83:AD83)</f>
        <v>213674860.76961011</v>
      </c>
      <c r="AE84" s="287">
        <f>SUM($B$83:AE83)</f>
        <v>229173001.21393809</v>
      </c>
      <c r="AF84" s="287">
        <f>SUM($B$83:AF83)</f>
        <v>245516136.66508567</v>
      </c>
      <c r="AG84" s="287">
        <f>SUM($B$83:AG83)</f>
        <v>262750741.84842792</v>
      </c>
      <c r="AH84" s="287">
        <f>SUM($B$83:AH83)</f>
        <v>280925847.59923553</v>
      </c>
      <c r="AI84" s="287">
        <f>SUM($B$83:AI83)</f>
        <v>300093181.44871908</v>
      </c>
      <c r="AJ84" s="287">
        <f>SUM($B$83:AJ83)</f>
        <v>320307315.9423058</v>
      </c>
      <c r="AK84" s="287">
        <f>SUM($B$83:AK83)</f>
        <v>341625825.1154213</v>
      </c>
      <c r="AL84" s="287">
        <f>SUM($B$83:AL83)</f>
        <v>364109449.57543969</v>
      </c>
      <c r="AM84" s="287">
        <f>SUM($B$83:AM83)</f>
        <v>387822270.66314065</v>
      </c>
      <c r="AN84" s="287">
        <f>SUM($B$83:AN83)</f>
        <v>412831894.19304669</v>
      </c>
      <c r="AO84" s="287">
        <f>SUM($B$83:AO83)</f>
        <v>439209644.29947913</v>
      </c>
      <c r="AP84" s="287">
        <f>SUM($B$83:AP83)</f>
        <v>467030767.94414687</v>
      </c>
    </row>
    <row r="85" spans="1:45" x14ac:dyDescent="0.2">
      <c r="A85" s="237" t="s">
        <v>553</v>
      </c>
      <c r="B85" s="288">
        <f t="shared" ref="B85:AP85" si="29">1/POWER((1+$B$44),B73)</f>
        <v>0.75599588161705711</v>
      </c>
      <c r="C85" s="288">
        <f t="shared" si="29"/>
        <v>0.6273824743710017</v>
      </c>
      <c r="D85" s="288">
        <f t="shared" si="29"/>
        <v>0.52064935632448273</v>
      </c>
      <c r="E85" s="288">
        <f t="shared" si="29"/>
        <v>0.43207415462612664</v>
      </c>
      <c r="F85" s="288">
        <f t="shared" si="29"/>
        <v>0.35856776317520883</v>
      </c>
      <c r="G85" s="288">
        <f t="shared" si="29"/>
        <v>0.29756660844415667</v>
      </c>
      <c r="H85" s="288">
        <f t="shared" si="29"/>
        <v>0.24694324352212174</v>
      </c>
      <c r="I85" s="288">
        <f t="shared" si="29"/>
        <v>0.20493215230051592</v>
      </c>
      <c r="J85" s="288">
        <f t="shared" si="29"/>
        <v>0.1700681761830008</v>
      </c>
      <c r="K85" s="288">
        <f t="shared" si="29"/>
        <v>0.14113541591950271</v>
      </c>
      <c r="L85" s="288">
        <f t="shared" si="29"/>
        <v>0.11712482648921385</v>
      </c>
      <c r="M85" s="288">
        <f t="shared" si="29"/>
        <v>9.719902613212765E-2</v>
      </c>
      <c r="N85" s="288">
        <f t="shared" si="29"/>
        <v>8.0663092225832109E-2</v>
      </c>
      <c r="O85" s="288">
        <f t="shared" si="29"/>
        <v>6.6940325498615838E-2</v>
      </c>
      <c r="P85" s="288">
        <f t="shared" si="29"/>
        <v>5.5552137343249659E-2</v>
      </c>
      <c r="Q85" s="288">
        <f t="shared" si="29"/>
        <v>4.6101358791078552E-2</v>
      </c>
      <c r="R85" s="288">
        <f t="shared" si="29"/>
        <v>3.825838903823945E-2</v>
      </c>
      <c r="S85" s="288">
        <f t="shared" si="29"/>
        <v>3.174970044667174E-2</v>
      </c>
      <c r="T85" s="288">
        <f t="shared" si="29"/>
        <v>2.6348299125868668E-2</v>
      </c>
      <c r="U85" s="288">
        <f t="shared" si="29"/>
        <v>2.1865808403210511E-2</v>
      </c>
      <c r="V85" s="288">
        <f t="shared" si="29"/>
        <v>1.814589908980126E-2</v>
      </c>
      <c r="W85" s="288">
        <f t="shared" si="29"/>
        <v>1.5058837418922204E-2</v>
      </c>
      <c r="X85" s="288">
        <f t="shared" si="29"/>
        <v>1.2496960513628384E-2</v>
      </c>
      <c r="Y85" s="288">
        <f t="shared" si="29"/>
        <v>1.0370921588073345E-2</v>
      </c>
      <c r="Z85" s="288">
        <f t="shared" si="29"/>
        <v>8.6065739320110735E-3</v>
      </c>
      <c r="AA85" s="288">
        <f t="shared" si="29"/>
        <v>7.1423850058183183E-3</v>
      </c>
      <c r="AB85" s="288">
        <f t="shared" si="29"/>
        <v>5.9272904612600145E-3</v>
      </c>
      <c r="AC85" s="288">
        <f t="shared" si="29"/>
        <v>4.9189132458589318E-3</v>
      </c>
      <c r="AD85" s="288">
        <f t="shared" si="29"/>
        <v>4.082085681210732E-3</v>
      </c>
      <c r="AE85" s="288">
        <f t="shared" si="29"/>
        <v>3.3876229719591129E-3</v>
      </c>
      <c r="AF85" s="288">
        <f t="shared" si="29"/>
        <v>2.8113053709204251E-3</v>
      </c>
      <c r="AG85" s="288">
        <f t="shared" si="29"/>
        <v>2.3330335028385286E-3</v>
      </c>
      <c r="AH85" s="288">
        <f t="shared" si="29"/>
        <v>1.9361273882477412E-3</v>
      </c>
      <c r="AI85" s="288">
        <f t="shared" si="29"/>
        <v>1.6067447205375444E-3</v>
      </c>
      <c r="AJ85" s="288">
        <f t="shared" si="29"/>
        <v>1.3333981083299121E-3</v>
      </c>
      <c r="AK85" s="288">
        <f t="shared" si="29"/>
        <v>1.1065544467468149E-3</v>
      </c>
      <c r="AL85" s="288">
        <f t="shared" si="29"/>
        <v>9.1830244543304122E-4</v>
      </c>
      <c r="AM85" s="288">
        <f t="shared" si="29"/>
        <v>7.6207671820169396E-4</v>
      </c>
      <c r="AN85" s="288">
        <f t="shared" si="29"/>
        <v>6.3242881178563804E-4</v>
      </c>
      <c r="AO85" s="288">
        <f t="shared" si="29"/>
        <v>5.2483718820384888E-4</v>
      </c>
      <c r="AP85" s="288">
        <f t="shared" si="29"/>
        <v>4.3554953377912764E-4</v>
      </c>
    </row>
    <row r="86" spans="1:45" ht="28.5" x14ac:dyDescent="0.2">
      <c r="A86" s="236" t="s">
        <v>307</v>
      </c>
      <c r="B86" s="287">
        <f>B83*B85</f>
        <v>-2543829.1426465036</v>
      </c>
      <c r="C86" s="287">
        <f>C83*C85</f>
        <v>731636.70990495884</v>
      </c>
      <c r="D86" s="287">
        <f t="shared" ref="D86:AO86" si="30">D83*D85</f>
        <v>1285859.0086532116</v>
      </c>
      <c r="E86" s="287">
        <f t="shared" si="30"/>
        <v>1708161.9815308643</v>
      </c>
      <c r="F86" s="287">
        <f t="shared" si="30"/>
        <v>1492873.3340731384</v>
      </c>
      <c r="G86" s="287">
        <f t="shared" si="30"/>
        <v>1304835.6776342685</v>
      </c>
      <c r="H86" s="287">
        <f t="shared" si="30"/>
        <v>1140579.9488208795</v>
      </c>
      <c r="I86" s="287">
        <f t="shared" si="30"/>
        <v>997081.98747423058</v>
      </c>
      <c r="J86" s="287">
        <f t="shared" si="30"/>
        <v>871704.93106297997</v>
      </c>
      <c r="K86" s="287">
        <f t="shared" si="30"/>
        <v>762149.15816371387</v>
      </c>
      <c r="L86" s="287">
        <f t="shared" si="30"/>
        <v>666408.77695659967</v>
      </c>
      <c r="M86" s="287">
        <f t="shared" si="30"/>
        <v>582733.79059967003</v>
      </c>
      <c r="N86" s="287">
        <f t="shared" si="30"/>
        <v>509597.18849743326</v>
      </c>
      <c r="O86" s="287">
        <f t="shared" si="30"/>
        <v>445666.31350274914</v>
      </c>
      <c r="P86" s="287">
        <f t="shared" si="30"/>
        <v>389777.9422559723</v>
      </c>
      <c r="Q86" s="287">
        <f t="shared" si="30"/>
        <v>340916.5911155162</v>
      </c>
      <c r="R86" s="287">
        <f t="shared" si="30"/>
        <v>298195.62513353693</v>
      </c>
      <c r="S86" s="287">
        <f t="shared" si="30"/>
        <v>260840.80370563848</v>
      </c>
      <c r="T86" s="287">
        <f t="shared" si="30"/>
        <v>228175.94509756952</v>
      </c>
      <c r="U86" s="287">
        <f t="shared" si="30"/>
        <v>199610.4340745066</v>
      </c>
      <c r="V86" s="287">
        <f t="shared" si="30"/>
        <v>174628.33323111729</v>
      </c>
      <c r="W86" s="287">
        <f t="shared" si="30"/>
        <v>152778.89011778746</v>
      </c>
      <c r="X86" s="287">
        <f t="shared" si="30"/>
        <v>133668.25954621675</v>
      </c>
      <c r="Y86" s="287">
        <f t="shared" si="30"/>
        <v>116952.28410911807</v>
      </c>
      <c r="Z86" s="287">
        <f t="shared" si="30"/>
        <v>102330.19645739409</v>
      </c>
      <c r="AA86" s="287">
        <f t="shared" si="30"/>
        <v>89539.124668937555</v>
      </c>
      <c r="AB86" s="287">
        <f t="shared" si="30"/>
        <v>78349.297482496899</v>
      </c>
      <c r="AC86" s="287">
        <f t="shared" si="30"/>
        <v>68559.859573864655</v>
      </c>
      <c r="AD86" s="287">
        <f t="shared" si="30"/>
        <v>59995.218692679213</v>
      </c>
      <c r="AE86" s="287">
        <f t="shared" si="30"/>
        <v>52501.856591854106</v>
      </c>
      <c r="AF86" s="287">
        <f t="shared" si="30"/>
        <v>45945.544471491179</v>
      </c>
      <c r="AG86" s="287">
        <f t="shared" si="30"/>
        <v>40208.911300931999</v>
      </c>
      <c r="AH86" s="287">
        <f t="shared" si="30"/>
        <v>35189.320028437629</v>
      </c>
      <c r="AI86" s="287">
        <f t="shared" si="30"/>
        <v>30797.012469438272</v>
      </c>
      <c r="AJ86" s="287">
        <f t="shared" si="30"/>
        <v>26953.488695274937</v>
      </c>
      <c r="AK86" s="287">
        <f t="shared" si="30"/>
        <v>23590.091123523736</v>
      </c>
      <c r="AL86" s="287">
        <f t="shared" si="30"/>
        <v>20646.767323833046</v>
      </c>
      <c r="AM86" s="287">
        <f t="shared" si="30"/>
        <v>18070.988873819082</v>
      </c>
      <c r="AN86" s="287">
        <f t="shared" si="30"/>
        <v>15816.806492224627</v>
      </c>
      <c r="AO86" s="287">
        <f t="shared" si="30"/>
        <v>13844.024197003786</v>
      </c>
      <c r="AP86" s="287">
        <f>AP83*AP85</f>
        <v>12117.477432646514</v>
      </c>
    </row>
    <row r="87" spans="1:45" ht="14.25" x14ac:dyDescent="0.2">
      <c r="A87" s="236" t="s">
        <v>306</v>
      </c>
      <c r="B87" s="287">
        <f>SUM($B$86:B86)</f>
        <v>-2543829.1426465036</v>
      </c>
      <c r="C87" s="287">
        <f>SUM($B$86:C86)</f>
        <v>-1812192.4327415447</v>
      </c>
      <c r="D87" s="287">
        <f>SUM($B$86:D86)</f>
        <v>-526333.42408833303</v>
      </c>
      <c r="E87" s="287">
        <f>SUM($B$86:E86)</f>
        <v>1181828.5574425312</v>
      </c>
      <c r="F87" s="287">
        <f>SUM($B$86:F86)</f>
        <v>2674701.8915156694</v>
      </c>
      <c r="G87" s="287">
        <f>SUM($B$86:G86)</f>
        <v>3979537.5691499379</v>
      </c>
      <c r="H87" s="287">
        <f>SUM($B$86:H86)</f>
        <v>5120117.5179708172</v>
      </c>
      <c r="I87" s="287">
        <f>SUM($B$86:I86)</f>
        <v>6117199.5054450482</v>
      </c>
      <c r="J87" s="287">
        <f>SUM($B$86:J86)</f>
        <v>6988904.4365080278</v>
      </c>
      <c r="K87" s="287">
        <f>SUM($B$86:K86)</f>
        <v>7751053.5946717421</v>
      </c>
      <c r="L87" s="287">
        <f>SUM($B$86:L86)</f>
        <v>8417462.3716283422</v>
      </c>
      <c r="M87" s="287">
        <f>SUM($B$86:M86)</f>
        <v>9000196.1622280125</v>
      </c>
      <c r="N87" s="287">
        <f>SUM($B$86:N86)</f>
        <v>9509793.3507254459</v>
      </c>
      <c r="O87" s="287">
        <f>SUM($B$86:O86)</f>
        <v>9955459.6642281953</v>
      </c>
      <c r="P87" s="287">
        <f>SUM($B$86:P86)</f>
        <v>10345237.606484167</v>
      </c>
      <c r="Q87" s="287">
        <f>SUM($B$86:Q86)</f>
        <v>10686154.197599683</v>
      </c>
      <c r="R87" s="287">
        <f>SUM($B$86:R86)</f>
        <v>10984349.82273322</v>
      </c>
      <c r="S87" s="287">
        <f>SUM($B$86:S86)</f>
        <v>11245190.626438858</v>
      </c>
      <c r="T87" s="287">
        <f>SUM($B$86:T86)</f>
        <v>11473366.571536427</v>
      </c>
      <c r="U87" s="287">
        <f>SUM($B$86:U86)</f>
        <v>11672977.005610934</v>
      </c>
      <c r="V87" s="287">
        <f>SUM($B$86:V86)</f>
        <v>11847605.338842051</v>
      </c>
      <c r="W87" s="287">
        <f>SUM($B$86:W86)</f>
        <v>12000384.228959838</v>
      </c>
      <c r="X87" s="287">
        <f>SUM($B$86:X86)</f>
        <v>12134052.488506055</v>
      </c>
      <c r="Y87" s="287">
        <f>SUM($B$86:Y86)</f>
        <v>12251004.772615172</v>
      </c>
      <c r="Z87" s="287">
        <f>SUM($B$86:Z86)</f>
        <v>12353334.969072565</v>
      </c>
      <c r="AA87" s="287">
        <f>SUM($B$86:AA86)</f>
        <v>12442874.093741503</v>
      </c>
      <c r="AB87" s="287">
        <f>SUM($B$86:AB86)</f>
        <v>12521223.391223999</v>
      </c>
      <c r="AC87" s="287">
        <f>SUM($B$86:AC86)</f>
        <v>12589783.250797864</v>
      </c>
      <c r="AD87" s="287">
        <f>SUM($B$86:AD86)</f>
        <v>12649778.469490543</v>
      </c>
      <c r="AE87" s="287">
        <f>SUM($B$86:AE86)</f>
        <v>12702280.326082397</v>
      </c>
      <c r="AF87" s="287">
        <f>SUM($B$86:AF86)</f>
        <v>12748225.870553888</v>
      </c>
      <c r="AG87" s="287">
        <f>SUM($B$86:AG86)</f>
        <v>12788434.78185482</v>
      </c>
      <c r="AH87" s="287">
        <f>SUM($B$86:AH86)</f>
        <v>12823624.101883257</v>
      </c>
      <c r="AI87" s="287">
        <f>SUM($B$86:AI86)</f>
        <v>12854421.114352696</v>
      </c>
      <c r="AJ87" s="287">
        <f>SUM($B$86:AJ86)</f>
        <v>12881374.603047971</v>
      </c>
      <c r="AK87" s="287">
        <f>SUM($B$86:AK86)</f>
        <v>12904964.694171494</v>
      </c>
      <c r="AL87" s="287">
        <f>SUM($B$86:AL86)</f>
        <v>12925611.461495327</v>
      </c>
      <c r="AM87" s="287">
        <f>SUM($B$86:AM86)</f>
        <v>12943682.450369146</v>
      </c>
      <c r="AN87" s="287">
        <f>SUM($B$86:AN86)</f>
        <v>12959499.25686137</v>
      </c>
      <c r="AO87" s="287">
        <f>SUM($B$86:AO86)</f>
        <v>12973343.281058373</v>
      </c>
      <c r="AP87" s="287">
        <f>SUM($B$86:AP86)</f>
        <v>12985460.758491019</v>
      </c>
    </row>
    <row r="88" spans="1:45" ht="14.25" x14ac:dyDescent="0.2">
      <c r="A88" s="236" t="s">
        <v>305</v>
      </c>
      <c r="B88" s="289">
        <f>IF((ISERR(IRR($B$83:B83))),0,IF(IRR($B$83:B83)&lt;0,0,IRR($B$83:B83)))</f>
        <v>0</v>
      </c>
      <c r="C88" s="289">
        <f>IF((ISERR(IRR($B$83:C83))),0,IF(IRR($B$83:C83)&lt;0,0,IRR($B$83:C83)))</f>
        <v>0</v>
      </c>
      <c r="D88" s="289">
        <f>IF((ISERR(IRR($B$83:D83))),0,IF(IRR($B$83:D83)&lt;0,0,IRR($B$83:D83)))</f>
        <v>4.7357508663375958E-2</v>
      </c>
      <c r="E88" s="289">
        <f>IF((ISERR(IRR($B$83:E83))),0,IF(IRR($B$83:E83)&lt;0,0,IRR($B$83:E83)))</f>
        <v>0.43203360667537916</v>
      </c>
      <c r="F88" s="289">
        <f>IF((ISERR(IRR($B$83:F83))),0,IF(IRR($B$83:F83)&lt;0,0,IRR($B$83:F83)))</f>
        <v>0.58623957470681298</v>
      </c>
      <c r="G88" s="289">
        <f>IF((ISERR(IRR($B$83:G83))),0,IF(IRR($B$83:G83)&lt;0,0,IRR($B$83:G83)))</f>
        <v>0.65896068836820088</v>
      </c>
      <c r="H88" s="289">
        <f>IF((ISERR(IRR($B$83:H83))),0,IF(IRR($B$83:H83)&lt;0,0,IRR($B$83:H83)))</f>
        <v>0.69626750767293055</v>
      </c>
      <c r="I88" s="289">
        <f>IF((ISERR(IRR($B$83:I83))),0,IF(IRR($B$83:I83)&lt;0,0,IRR($B$83:I83)))</f>
        <v>0.71645007668178073</v>
      </c>
      <c r="J88" s="289">
        <f>IF((ISERR(IRR($B$83:J83))),0,IF(IRR($B$83:J83)&lt;0,0,IRR($B$83:J83)))</f>
        <v>0.72776103985702512</v>
      </c>
      <c r="K88" s="289">
        <f>IF((ISERR(IRR($B$83:K83))),0,IF(IRR($B$83:K83)&lt;0,0,IRR($B$83:K83)))</f>
        <v>0.73425406186196573</v>
      </c>
      <c r="L88" s="289">
        <f>IF((ISERR(IRR($B$83:L83))),0,IF(IRR($B$83:L83)&lt;0,0,IRR($B$83:L83)))</f>
        <v>0.73804324243516772</v>
      </c>
      <c r="M88" s="289">
        <f>IF((ISERR(IRR($B$83:M83))),0,IF(IRR($B$83:M83)&lt;0,0,IRR($B$83:M83)))</f>
        <v>0.74027970122811415</v>
      </c>
      <c r="N88" s="289">
        <f>IF((ISERR(IRR($B$83:N83))),0,IF(IRR($B$83:N83)&lt;0,0,IRR($B$83:N83)))</f>
        <v>0.74161000903178587</v>
      </c>
      <c r="O88" s="289">
        <f>IF((ISERR(IRR($B$83:O83))),0,IF(IRR($B$83:O83)&lt;0,0,IRR($B$83:O83)))</f>
        <v>0.74240553077597804</v>
      </c>
      <c r="P88" s="289">
        <f>IF((ISERR(IRR($B$83:P83))),0,IF(IRR($B$83:P83)&lt;0,0,IRR($B$83:P83)))</f>
        <v>0.74288297598072184</v>
      </c>
      <c r="Q88" s="289">
        <f>IF((ISERR(IRR($B$83:Q83))),0,IF(IRR($B$83:Q83)&lt;0,0,IRR($B$83:Q83)))</f>
        <v>0.74317022581093695</v>
      </c>
      <c r="R88" s="289">
        <f>IF((ISERR(IRR($B$83:R83))),0,IF(IRR($B$83:R83)&lt;0,0,IRR($B$83:R83)))</f>
        <v>0.74334333277776898</v>
      </c>
      <c r="S88" s="289">
        <f>IF((ISERR(IRR($B$83:S83))),0,IF(IRR($B$83:S83)&lt;0,0,IRR($B$83:S83)))</f>
        <v>0.74344776942654467</v>
      </c>
      <c r="T88" s="289">
        <f>IF((ISERR(IRR($B$83:T83))),0,IF(IRR($B$83:T83)&lt;0,0,IRR($B$83:T83)))</f>
        <v>0.74351082400887814</v>
      </c>
      <c r="U88" s="289">
        <f>IF((ISERR(IRR($B$83:U83))),0,IF(IRR($B$83:U83)&lt;0,0,IRR($B$83:U83)))</f>
        <v>0.74354891302672965</v>
      </c>
      <c r="V88" s="289">
        <f>IF((ISERR(IRR($B$83:V83))),0,IF(IRR($B$83:V83)&lt;0,0,IRR($B$83:V83)))</f>
        <v>0.74357192912810621</v>
      </c>
      <c r="W88" s="289">
        <f>IF((ISERR(IRR($B$83:W83))),0,IF(IRR($B$83:W83)&lt;0,0,IRR($B$83:W83)))</f>
        <v>0.7435858403691662</v>
      </c>
      <c r="X88" s="289">
        <f>IF((ISERR(IRR($B$83:X83))),0,IF(IRR($B$83:X83)&lt;0,0,IRR($B$83:X83)))</f>
        <v>0.74359424988974188</v>
      </c>
      <c r="Y88" s="289">
        <f>IF((ISERR(IRR($B$83:Y83))),0,IF(IRR($B$83:Y83)&lt;0,0,IRR($B$83:Y83)))</f>
        <v>0.7435993341464191</v>
      </c>
      <c r="Z88" s="289">
        <f>IF((ISERR(IRR($B$83:Z83))),0,IF(IRR($B$83:Z83)&lt;0,0,IRR($B$83:Z83)))</f>
        <v>0.74360240826845514</v>
      </c>
      <c r="AA88" s="289">
        <f>IF((ISERR(IRR($B$83:AA83))),0,IF(IRR($B$83:AA83)&lt;0,0,IRR($B$83:AA83)))</f>
        <v>0.74360426711361627</v>
      </c>
      <c r="AB88" s="289">
        <f>IF((ISERR(IRR($B$83:AB83))),0,IF(IRR($B$83:AB83)&lt;0,0,IRR($B$83:AB83)))</f>
        <v>0.74360539116930302</v>
      </c>
      <c r="AC88" s="289">
        <f>IF((ISERR(IRR($B$83:AC83))),0,IF(IRR($B$83:AC83)&lt;0,0,IRR($B$83:AC83)))</f>
        <v>0.74360607092192299</v>
      </c>
      <c r="AD88" s="289">
        <f>IF((ISERR(IRR($B$83:AD83))),0,IF(IRR($B$83:AD83)&lt;0,0,IRR($B$83:AD83)))</f>
        <v>0.74360648200500967</v>
      </c>
      <c r="AE88" s="289">
        <f>IF((ISERR(IRR($B$83:AE83))),0,IF(IRR($B$83:AE83)&lt;0,0,IRR($B$83:AE83)))</f>
        <v>0.74360673061695892</v>
      </c>
      <c r="AF88" s="289">
        <f>IF((ISERR(IRR($B$83:AF83))),0,IF(IRR($B$83:AF83)&lt;0,0,IRR($B$83:AF83)))</f>
        <v>0.74360688097498229</v>
      </c>
      <c r="AG88" s="289">
        <f>IF((ISERR(IRR($B$83:AG83))),0,IF(IRR($B$83:AG83)&lt;0,0,IRR($B$83:AG83)))</f>
        <v>0.74360697191234015</v>
      </c>
      <c r="AH88" s="289">
        <f>IF((ISERR(IRR($B$83:AH83))),0,IF(IRR($B$83:AH83)&lt;0,0,IRR($B$83:AH83)))</f>
        <v>0.74360702691305014</v>
      </c>
      <c r="AI88" s="289">
        <f>IF((ISERR(IRR($B$83:AI83))),0,IF(IRR($B$83:AI83)&lt;0,0,IRR($B$83:AI83)))</f>
        <v>0.74360706017929501</v>
      </c>
      <c r="AJ88" s="289">
        <f>IF((ISERR(IRR($B$83:AJ83))),0,IF(IRR($B$83:AJ83)&lt;0,0,IRR($B$83:AJ83)))</f>
        <v>0.74360708030022904</v>
      </c>
      <c r="AK88" s="289">
        <f>IF((ISERR(IRR($B$83:AK83))),0,IF(IRR($B$83:AK83)&lt;0,0,IRR($B$83:AK83)))</f>
        <v>0.74360709247051493</v>
      </c>
      <c r="AL88" s="289">
        <f>IF((ISERR(IRR($B$83:AL83))),0,IF(IRR($B$83:AL83)&lt;0,0,IRR($B$83:AL83)))</f>
        <v>0.74360709983195328</v>
      </c>
      <c r="AM88" s="289">
        <f>IF((ISERR(IRR($B$83:AM83))),0,IF(IRR($B$83:AM83)&lt;0,0,IRR($B$83:AM83)))</f>
        <v>0.74360710428471988</v>
      </c>
      <c r="AN88" s="289">
        <f>IF((ISERR(IRR($B$83:AN83))),0,IF(IRR($B$83:AN83)&lt;0,0,IRR($B$83:AN83)))</f>
        <v>0.74360710697814625</v>
      </c>
      <c r="AO88" s="289">
        <f>IF((ISERR(IRR($B$83:AO83))),0,IF(IRR($B$83:AO83)&lt;0,0,IRR($B$83:AO83)))</f>
        <v>0.7436071086073941</v>
      </c>
      <c r="AP88" s="289">
        <f>IF((ISERR(IRR($B$83:AP83))),0,IF(IRR($B$83:AP83)&lt;0,0,IRR($B$83:AP83)))</f>
        <v>0.74360710959293641</v>
      </c>
    </row>
    <row r="89" spans="1:45" ht="14.25" x14ac:dyDescent="0.2">
      <c r="A89" s="236" t="s">
        <v>304</v>
      </c>
      <c r="B89" s="290">
        <f>IF(AND(B84&gt;0,A84&lt;0),(B74-(B84/(B84-A84))),0)</f>
        <v>0</v>
      </c>
      <c r="C89" s="290">
        <f t="shared" ref="C89:AP89" si="31">IF(AND(C84&gt;0,B84&lt;0),(C74-(C84/(C84-B84))),0)</f>
        <v>0</v>
      </c>
      <c r="D89" s="290">
        <f t="shared" si="31"/>
        <v>2.8902615913960661</v>
      </c>
      <c r="E89" s="290">
        <f t="shared" si="31"/>
        <v>0</v>
      </c>
      <c r="F89" s="290">
        <f t="shared" si="31"/>
        <v>0</v>
      </c>
      <c r="G89" s="290">
        <f t="shared" si="31"/>
        <v>0</v>
      </c>
      <c r="H89" s="290">
        <f>IF(AND(H84&gt;0,G84&lt;0),(H74-(H84/(H84-G84))),0)</f>
        <v>0</v>
      </c>
      <c r="I89" s="290">
        <f t="shared" si="31"/>
        <v>0</v>
      </c>
      <c r="J89" s="290">
        <f t="shared" si="31"/>
        <v>0</v>
      </c>
      <c r="K89" s="290">
        <f t="shared" si="31"/>
        <v>0</v>
      </c>
      <c r="L89" s="290">
        <f t="shared" si="31"/>
        <v>0</v>
      </c>
      <c r="M89" s="290">
        <f t="shared" si="31"/>
        <v>0</v>
      </c>
      <c r="N89" s="290">
        <f t="shared" si="31"/>
        <v>0</v>
      </c>
      <c r="O89" s="290">
        <f t="shared" si="31"/>
        <v>0</v>
      </c>
      <c r="P89" s="290">
        <f t="shared" si="31"/>
        <v>0</v>
      </c>
      <c r="Q89" s="290">
        <f t="shared" si="31"/>
        <v>0</v>
      </c>
      <c r="R89" s="290">
        <f t="shared" si="31"/>
        <v>0</v>
      </c>
      <c r="S89" s="290">
        <f t="shared" si="31"/>
        <v>0</v>
      </c>
      <c r="T89" s="290">
        <f t="shared" si="31"/>
        <v>0</v>
      </c>
      <c r="U89" s="290">
        <f t="shared" si="31"/>
        <v>0</v>
      </c>
      <c r="V89" s="290">
        <f t="shared" si="31"/>
        <v>0</v>
      </c>
      <c r="W89" s="290">
        <f t="shared" si="31"/>
        <v>0</v>
      </c>
      <c r="X89" s="290">
        <f t="shared" si="31"/>
        <v>0</v>
      </c>
      <c r="Y89" s="290">
        <f t="shared" si="31"/>
        <v>0</v>
      </c>
      <c r="Z89" s="290">
        <f t="shared" si="31"/>
        <v>0</v>
      </c>
      <c r="AA89" s="290">
        <f t="shared" si="31"/>
        <v>0</v>
      </c>
      <c r="AB89" s="290">
        <f t="shared" si="31"/>
        <v>0</v>
      </c>
      <c r="AC89" s="290">
        <f t="shared" si="31"/>
        <v>0</v>
      </c>
      <c r="AD89" s="290">
        <f t="shared" si="31"/>
        <v>0</v>
      </c>
      <c r="AE89" s="290">
        <f t="shared" si="31"/>
        <v>0</v>
      </c>
      <c r="AF89" s="290">
        <f t="shared" si="31"/>
        <v>0</v>
      </c>
      <c r="AG89" s="290">
        <f t="shared" si="31"/>
        <v>0</v>
      </c>
      <c r="AH89" s="290">
        <f t="shared" si="31"/>
        <v>0</v>
      </c>
      <c r="AI89" s="290">
        <f t="shared" si="31"/>
        <v>0</v>
      </c>
      <c r="AJ89" s="290">
        <f t="shared" si="31"/>
        <v>0</v>
      </c>
      <c r="AK89" s="290">
        <f t="shared" si="31"/>
        <v>0</v>
      </c>
      <c r="AL89" s="290">
        <f t="shared" si="31"/>
        <v>0</v>
      </c>
      <c r="AM89" s="290">
        <f t="shared" si="31"/>
        <v>0</v>
      </c>
      <c r="AN89" s="290">
        <f t="shared" si="31"/>
        <v>0</v>
      </c>
      <c r="AO89" s="290">
        <f t="shared" si="31"/>
        <v>0</v>
      </c>
      <c r="AP89" s="290">
        <f t="shared" si="31"/>
        <v>0</v>
      </c>
    </row>
    <row r="90" spans="1:45" ht="15" thickBot="1" x14ac:dyDescent="0.25">
      <c r="A90" s="246" t="s">
        <v>303</v>
      </c>
      <c r="B90" s="247">
        <f t="shared" ref="B90:AP90" si="32">IF(AND(B87&gt;0,A87&lt;0),(B74-(B87/(B87-A87))),0)</f>
        <v>0</v>
      </c>
      <c r="C90" s="247">
        <f t="shared" si="32"/>
        <v>0</v>
      </c>
      <c r="D90" s="247">
        <f t="shared" si="32"/>
        <v>0</v>
      </c>
      <c r="E90" s="247">
        <f t="shared" si="32"/>
        <v>3.3081285204677311</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302</v>
      </c>
      <c r="B92" s="125"/>
      <c r="C92" s="125"/>
      <c r="D92" s="125"/>
      <c r="E92" s="125"/>
      <c r="F92" s="125"/>
      <c r="G92" s="125"/>
      <c r="H92" s="125"/>
      <c r="I92" s="125"/>
      <c r="J92" s="125"/>
      <c r="K92" s="125"/>
      <c r="L92" s="250">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301</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300</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299</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298</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34" t="s">
        <v>554</v>
      </c>
      <c r="B97" s="434"/>
      <c r="C97" s="434"/>
      <c r="D97" s="434"/>
      <c r="E97" s="434"/>
      <c r="F97" s="434"/>
      <c r="G97" s="434"/>
      <c r="H97" s="434"/>
      <c r="I97" s="434"/>
      <c r="J97" s="434"/>
      <c r="K97" s="434"/>
      <c r="L97" s="434"/>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555</v>
      </c>
      <c r="B99" s="253">
        <f>B81*B85</f>
        <v>-12719145.528013529</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-12719145.528013529</v>
      </c>
      <c r="AR99" s="256"/>
      <c r="AS99" s="256"/>
    </row>
    <row r="100" spans="1:71" s="260" customFormat="1" x14ac:dyDescent="0.2">
      <c r="A100" s="258">
        <f>AQ99</f>
        <v>-12719145.528013529</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12985460.758491019</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556</v>
      </c>
      <c r="B102" s="291">
        <f>(A101+-A100)/-A100</f>
        <v>2.0209381384850844</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2" t="s">
        <v>557</v>
      </c>
      <c r="B104" s="292" t="s">
        <v>558</v>
      </c>
      <c r="C104" s="292" t="s">
        <v>559</v>
      </c>
      <c r="D104" s="292" t="s">
        <v>560</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3">
        <f>G30/1000/1000</f>
        <v>8.4174623716283428</v>
      </c>
      <c r="B105" s="294">
        <f>L88</f>
        <v>0.73804324243516772</v>
      </c>
      <c r="C105" s="295">
        <f>G28</f>
        <v>2.8902615913960661</v>
      </c>
      <c r="D105" s="295">
        <f>G29</f>
        <v>3.3081285204677311</v>
      </c>
      <c r="E105" s="265" t="s">
        <v>561</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60"/>
      <c r="AU107" s="260"/>
      <c r="AV107" s="260"/>
      <c r="AW107" s="260"/>
      <c r="AX107" s="260"/>
      <c r="AY107" s="260"/>
      <c r="AZ107" s="260"/>
      <c r="BA107" s="260"/>
      <c r="BB107" s="260"/>
      <c r="BC107" s="260"/>
      <c r="BD107" s="260"/>
      <c r="BE107" s="260"/>
      <c r="BF107" s="260"/>
      <c r="BG107" s="260"/>
    </row>
    <row r="108" spans="1:71" ht="12.75" x14ac:dyDescent="0.2">
      <c r="A108" s="299" t="s">
        <v>562</v>
      </c>
      <c r="B108" s="300"/>
      <c r="C108" s="300">
        <f>C109*$B$111*$B$112*1000</f>
        <v>1323488.7198720002</v>
      </c>
      <c r="D108" s="300">
        <f t="shared" ref="D108:AP108" si="36">D109*$B$111*$B$112*1000</f>
        <v>2646977.4397440003</v>
      </c>
      <c r="E108" s="300">
        <f>E109*$B$111*$B$112*1000</f>
        <v>4010571.8784000012</v>
      </c>
      <c r="F108" s="300">
        <f t="shared" si="36"/>
        <v>4010571.8784000012</v>
      </c>
      <c r="G108" s="300">
        <f t="shared" si="36"/>
        <v>4010571.8784000012</v>
      </c>
      <c r="H108" s="300">
        <f t="shared" si="36"/>
        <v>4010571.8784000012</v>
      </c>
      <c r="I108" s="300">
        <f t="shared" si="36"/>
        <v>4010571.8784000012</v>
      </c>
      <c r="J108" s="300">
        <f t="shared" si="36"/>
        <v>4010571.8784000012</v>
      </c>
      <c r="K108" s="300">
        <f t="shared" si="36"/>
        <v>4010571.8784000012</v>
      </c>
      <c r="L108" s="300">
        <f t="shared" si="36"/>
        <v>4010571.8784000012</v>
      </c>
      <c r="M108" s="300">
        <f t="shared" si="36"/>
        <v>4010571.8784000012</v>
      </c>
      <c r="N108" s="300">
        <f t="shared" si="36"/>
        <v>4010571.8784000012</v>
      </c>
      <c r="O108" s="300">
        <f t="shared" si="36"/>
        <v>4010571.8784000012</v>
      </c>
      <c r="P108" s="300">
        <f t="shared" si="36"/>
        <v>4010571.8784000012</v>
      </c>
      <c r="Q108" s="300">
        <f t="shared" si="36"/>
        <v>4010571.8784000012</v>
      </c>
      <c r="R108" s="300">
        <f t="shared" si="36"/>
        <v>4010571.8784000012</v>
      </c>
      <c r="S108" s="300">
        <f t="shared" si="36"/>
        <v>4010571.8784000012</v>
      </c>
      <c r="T108" s="300">
        <f t="shared" si="36"/>
        <v>4010571.8784000012</v>
      </c>
      <c r="U108" s="300">
        <f t="shared" si="36"/>
        <v>4010571.8784000012</v>
      </c>
      <c r="V108" s="300">
        <f t="shared" si="36"/>
        <v>4010571.8784000012</v>
      </c>
      <c r="W108" s="300">
        <f t="shared" si="36"/>
        <v>4010571.8784000012</v>
      </c>
      <c r="X108" s="300">
        <f t="shared" si="36"/>
        <v>4010571.8784000012</v>
      </c>
      <c r="Y108" s="300">
        <f t="shared" si="36"/>
        <v>4010571.8784000012</v>
      </c>
      <c r="Z108" s="300">
        <f t="shared" si="36"/>
        <v>4010571.8784000012</v>
      </c>
      <c r="AA108" s="300">
        <f t="shared" si="36"/>
        <v>4010571.8784000012</v>
      </c>
      <c r="AB108" s="300">
        <f t="shared" si="36"/>
        <v>4010571.8784000012</v>
      </c>
      <c r="AC108" s="300">
        <f t="shared" si="36"/>
        <v>4010571.8784000012</v>
      </c>
      <c r="AD108" s="300">
        <f t="shared" si="36"/>
        <v>4010571.8784000012</v>
      </c>
      <c r="AE108" s="300">
        <f t="shared" si="36"/>
        <v>4010571.8784000012</v>
      </c>
      <c r="AF108" s="300">
        <f t="shared" si="36"/>
        <v>4010571.8784000012</v>
      </c>
      <c r="AG108" s="300">
        <f t="shared" si="36"/>
        <v>4010571.8784000012</v>
      </c>
      <c r="AH108" s="300">
        <f t="shared" si="36"/>
        <v>4010571.8784000012</v>
      </c>
      <c r="AI108" s="300">
        <f t="shared" si="36"/>
        <v>4010571.8784000012</v>
      </c>
      <c r="AJ108" s="300">
        <f t="shared" si="36"/>
        <v>4010571.8784000012</v>
      </c>
      <c r="AK108" s="300">
        <f t="shared" si="36"/>
        <v>4010571.8784000012</v>
      </c>
      <c r="AL108" s="300">
        <f t="shared" si="36"/>
        <v>4010571.8784000012</v>
      </c>
      <c r="AM108" s="300">
        <f t="shared" si="36"/>
        <v>4010571.8784000012</v>
      </c>
      <c r="AN108" s="300">
        <f t="shared" si="36"/>
        <v>4010571.8784000012</v>
      </c>
      <c r="AO108" s="300">
        <f t="shared" si="36"/>
        <v>4010571.8784000012</v>
      </c>
      <c r="AP108" s="300">
        <f t="shared" si="36"/>
        <v>4010571.8784000012</v>
      </c>
      <c r="AT108" s="260"/>
      <c r="AU108" s="260"/>
      <c r="AV108" s="260"/>
      <c r="AW108" s="260"/>
      <c r="AX108" s="260"/>
      <c r="AY108" s="260"/>
      <c r="AZ108" s="260"/>
      <c r="BA108" s="260"/>
      <c r="BB108" s="260"/>
      <c r="BC108" s="260"/>
      <c r="BD108" s="260"/>
      <c r="BE108" s="260"/>
      <c r="BF108" s="260"/>
      <c r="BG108" s="260"/>
    </row>
    <row r="109" spans="1:71" ht="12.75" x14ac:dyDescent="0.2">
      <c r="A109" s="299" t="s">
        <v>563</v>
      </c>
      <c r="B109" s="298"/>
      <c r="C109" s="298">
        <f>B109+$I$120*C113</f>
        <v>0.24552000000000004</v>
      </c>
      <c r="D109" s="298">
        <f>C109+$I$120*D113</f>
        <v>0.49104000000000009</v>
      </c>
      <c r="E109" s="298">
        <f t="shared" ref="E109:AP109" si="37">D109+$I$120*E113</f>
        <v>0.74400000000000022</v>
      </c>
      <c r="F109" s="298">
        <f t="shared" si="37"/>
        <v>0.74400000000000022</v>
      </c>
      <c r="G109" s="298">
        <f t="shared" si="37"/>
        <v>0.74400000000000022</v>
      </c>
      <c r="H109" s="298">
        <f t="shared" si="37"/>
        <v>0.74400000000000022</v>
      </c>
      <c r="I109" s="298">
        <f t="shared" si="37"/>
        <v>0.74400000000000022</v>
      </c>
      <c r="J109" s="298">
        <f t="shared" si="37"/>
        <v>0.74400000000000022</v>
      </c>
      <c r="K109" s="298">
        <f t="shared" si="37"/>
        <v>0.74400000000000022</v>
      </c>
      <c r="L109" s="298">
        <f t="shared" si="37"/>
        <v>0.74400000000000022</v>
      </c>
      <c r="M109" s="298">
        <f t="shared" si="37"/>
        <v>0.74400000000000022</v>
      </c>
      <c r="N109" s="298">
        <f t="shared" si="37"/>
        <v>0.74400000000000022</v>
      </c>
      <c r="O109" s="298">
        <f t="shared" si="37"/>
        <v>0.74400000000000022</v>
      </c>
      <c r="P109" s="298">
        <f t="shared" si="37"/>
        <v>0.74400000000000022</v>
      </c>
      <c r="Q109" s="298">
        <f t="shared" si="37"/>
        <v>0.74400000000000022</v>
      </c>
      <c r="R109" s="298">
        <f t="shared" si="37"/>
        <v>0.74400000000000022</v>
      </c>
      <c r="S109" s="298">
        <f t="shared" si="37"/>
        <v>0.74400000000000022</v>
      </c>
      <c r="T109" s="298">
        <f t="shared" si="37"/>
        <v>0.74400000000000022</v>
      </c>
      <c r="U109" s="298">
        <f t="shared" si="37"/>
        <v>0.74400000000000022</v>
      </c>
      <c r="V109" s="298">
        <f t="shared" si="37"/>
        <v>0.74400000000000022</v>
      </c>
      <c r="W109" s="298">
        <f t="shared" si="37"/>
        <v>0.74400000000000022</v>
      </c>
      <c r="X109" s="298">
        <f t="shared" si="37"/>
        <v>0.74400000000000022</v>
      </c>
      <c r="Y109" s="298">
        <f t="shared" si="37"/>
        <v>0.74400000000000022</v>
      </c>
      <c r="Z109" s="298">
        <f t="shared" si="37"/>
        <v>0.74400000000000022</v>
      </c>
      <c r="AA109" s="298">
        <f t="shared" si="37"/>
        <v>0.74400000000000022</v>
      </c>
      <c r="AB109" s="298">
        <f t="shared" si="37"/>
        <v>0.74400000000000022</v>
      </c>
      <c r="AC109" s="298">
        <f t="shared" si="37"/>
        <v>0.74400000000000022</v>
      </c>
      <c r="AD109" s="298">
        <f t="shared" si="37"/>
        <v>0.74400000000000022</v>
      </c>
      <c r="AE109" s="298">
        <f t="shared" si="37"/>
        <v>0.74400000000000022</v>
      </c>
      <c r="AF109" s="298">
        <f t="shared" si="37"/>
        <v>0.74400000000000022</v>
      </c>
      <c r="AG109" s="298">
        <f t="shared" si="37"/>
        <v>0.74400000000000022</v>
      </c>
      <c r="AH109" s="298">
        <f t="shared" si="37"/>
        <v>0.74400000000000022</v>
      </c>
      <c r="AI109" s="298">
        <f t="shared" si="37"/>
        <v>0.74400000000000022</v>
      </c>
      <c r="AJ109" s="298">
        <f t="shared" si="37"/>
        <v>0.74400000000000022</v>
      </c>
      <c r="AK109" s="298">
        <f t="shared" si="37"/>
        <v>0.74400000000000022</v>
      </c>
      <c r="AL109" s="298">
        <f t="shared" si="37"/>
        <v>0.74400000000000022</v>
      </c>
      <c r="AM109" s="298">
        <f t="shared" si="37"/>
        <v>0.74400000000000022</v>
      </c>
      <c r="AN109" s="298">
        <f t="shared" si="37"/>
        <v>0.74400000000000022</v>
      </c>
      <c r="AO109" s="298">
        <f t="shared" si="37"/>
        <v>0.74400000000000022</v>
      </c>
      <c r="AP109" s="298">
        <f t="shared" si="37"/>
        <v>0.74400000000000022</v>
      </c>
      <c r="AT109" s="260"/>
      <c r="AU109" s="260"/>
      <c r="AV109" s="260"/>
      <c r="AW109" s="260"/>
      <c r="AX109" s="260"/>
      <c r="AY109" s="260"/>
      <c r="AZ109" s="260"/>
      <c r="BA109" s="260"/>
      <c r="BB109" s="260"/>
      <c r="BC109" s="260"/>
      <c r="BD109" s="260"/>
      <c r="BE109" s="260"/>
      <c r="BF109" s="260"/>
      <c r="BG109" s="260"/>
    </row>
    <row r="110" spans="1:71" ht="12.75" x14ac:dyDescent="0.2">
      <c r="A110" s="299" t="s">
        <v>564</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60"/>
      <c r="AU110" s="260"/>
      <c r="AV110" s="260"/>
      <c r="AW110" s="260"/>
      <c r="AX110" s="260"/>
      <c r="AY110" s="260"/>
      <c r="AZ110" s="260"/>
      <c r="BA110" s="260"/>
      <c r="BB110" s="260"/>
      <c r="BC110" s="260"/>
      <c r="BD110" s="260"/>
      <c r="BE110" s="260"/>
      <c r="BF110" s="260"/>
      <c r="BG110" s="260"/>
    </row>
    <row r="111" spans="1:71" ht="12.75" x14ac:dyDescent="0.2">
      <c r="A111" s="299" t="s">
        <v>565</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60"/>
      <c r="AU111" s="260"/>
      <c r="AV111" s="260"/>
      <c r="AW111" s="260"/>
      <c r="AX111" s="260"/>
      <c r="AY111" s="260"/>
      <c r="AZ111" s="260"/>
      <c r="BA111" s="260"/>
      <c r="BB111" s="260"/>
      <c r="BC111" s="260"/>
      <c r="BD111" s="260"/>
      <c r="BE111" s="260"/>
      <c r="BF111" s="260"/>
      <c r="BG111" s="260"/>
    </row>
    <row r="112" spans="1:71" ht="12.75" x14ac:dyDescent="0.2">
      <c r="A112" s="299" t="s">
        <v>566</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60"/>
      <c r="AU112" s="260"/>
      <c r="AV112" s="260"/>
      <c r="AW112" s="260"/>
      <c r="AX112" s="260"/>
      <c r="AY112" s="260"/>
      <c r="AZ112" s="260"/>
      <c r="BA112" s="260"/>
      <c r="BB112" s="260"/>
      <c r="BC112" s="260"/>
      <c r="BD112" s="260"/>
      <c r="BE112" s="260"/>
      <c r="BF112" s="260"/>
      <c r="BG112" s="260"/>
    </row>
    <row r="113" spans="1:71" ht="15" x14ac:dyDescent="0.2">
      <c r="A113" s="302" t="s">
        <v>567</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6"/>
      <c r="B116" s="421" t="s">
        <v>568</v>
      </c>
      <c r="C116" s="422"/>
      <c r="D116" s="421" t="s">
        <v>569</v>
      </c>
      <c r="E116" s="422"/>
      <c r="F116" s="296"/>
      <c r="G116" s="296"/>
      <c r="H116" s="296"/>
      <c r="I116" s="296"/>
      <c r="J116" s="296"/>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9" t="s">
        <v>570</v>
      </c>
      <c r="B117" s="305"/>
      <c r="C117" s="296" t="s">
        <v>571</v>
      </c>
      <c r="D117" s="305">
        <v>0.8</v>
      </c>
      <c r="E117" s="296" t="s">
        <v>571</v>
      </c>
      <c r="F117" s="296"/>
      <c r="G117" s="296"/>
      <c r="H117" s="296"/>
      <c r="I117" s="296"/>
      <c r="J117" s="296"/>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9" t="s">
        <v>570</v>
      </c>
      <c r="B118" s="296">
        <f>$B$110*B117</f>
        <v>0</v>
      </c>
      <c r="C118" s="296" t="s">
        <v>131</v>
      </c>
      <c r="D118" s="296">
        <f>$B$110*D117</f>
        <v>0.74400000000000011</v>
      </c>
      <c r="E118" s="296" t="s">
        <v>131</v>
      </c>
      <c r="F118" s="299" t="s">
        <v>572</v>
      </c>
      <c r="G118" s="296">
        <f>D117-B117</f>
        <v>0.8</v>
      </c>
      <c r="H118" s="296" t="s">
        <v>571</v>
      </c>
      <c r="I118" s="306">
        <f>$B$110*G118</f>
        <v>0.74400000000000011</v>
      </c>
      <c r="J118" s="296"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6"/>
      <c r="B119" s="296"/>
      <c r="C119" s="296"/>
      <c r="D119" s="296"/>
      <c r="E119" s="296"/>
      <c r="F119" s="299" t="s">
        <v>573</v>
      </c>
      <c r="G119" s="296">
        <f>I119/$B$110</f>
        <v>0</v>
      </c>
      <c r="H119" s="296" t="s">
        <v>571</v>
      </c>
      <c r="I119" s="305"/>
      <c r="J119" s="296"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7"/>
      <c r="B120" s="308"/>
      <c r="C120" s="308"/>
      <c r="D120" s="308"/>
      <c r="E120" s="308"/>
      <c r="F120" s="309" t="s">
        <v>574</v>
      </c>
      <c r="G120" s="306">
        <f>G118</f>
        <v>0.8</v>
      </c>
      <c r="H120" s="296" t="s">
        <v>571</v>
      </c>
      <c r="I120" s="301">
        <f>I118</f>
        <v>0.74400000000000011</v>
      </c>
      <c r="J120" s="296"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10" t="s">
        <v>575</v>
      </c>
      <c r="B122" s="311">
        <v>16.824358223761191</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10" t="s">
        <v>348</v>
      </c>
      <c r="B123" s="312">
        <v>25</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10" t="s">
        <v>576</v>
      </c>
      <c r="B124" s="312" t="s">
        <v>543</v>
      </c>
      <c r="C124" s="268" t="s">
        <v>577</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3"/>
      <c r="B125" s="314"/>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10" t="s">
        <v>578</v>
      </c>
      <c r="B126" s="315">
        <f>$B$122*1000*1000</f>
        <v>16824358.223761193</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10" t="s">
        <v>579</v>
      </c>
      <c r="B127" s="316">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10" t="s">
        <v>580</v>
      </c>
      <c r="B129" s="317">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8"/>
      <c r="B130" s="319"/>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20" t="s">
        <v>581</v>
      </c>
      <c r="B131" s="321">
        <v>1.23072</v>
      </c>
      <c r="C131" s="265" t="s">
        <v>582</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20" t="s">
        <v>583</v>
      </c>
      <c r="B132" s="321">
        <v>1.20268</v>
      </c>
      <c r="C132" s="265" t="s">
        <v>582</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10" t="s">
        <v>584</v>
      </c>
      <c r="C134" s="270" t="s">
        <v>585</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10"/>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10" t="s">
        <v>586</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24" customFormat="1" ht="15" x14ac:dyDescent="0.2">
      <c r="A137" s="310" t="s">
        <v>587</v>
      </c>
      <c r="B137" s="325"/>
      <c r="C137" s="285">
        <f>(1+B137)*(1+C136)-1</f>
        <v>5.8000000000000052E-2</v>
      </c>
      <c r="D137" s="285">
        <f t="shared" ref="D137:AY137" si="40">(1+C137)*(1+D136)-1</f>
        <v>0.11619000000000002</v>
      </c>
      <c r="E137" s="285">
        <f t="shared" si="40"/>
        <v>0.17758045</v>
      </c>
      <c r="F137" s="285">
        <f t="shared" si="40"/>
        <v>0.24234737475000001</v>
      </c>
      <c r="G137" s="285">
        <f t="shared" si="40"/>
        <v>0.31067648036124984</v>
      </c>
      <c r="H137" s="285">
        <f t="shared" si="40"/>
        <v>0.38276368678111861</v>
      </c>
      <c r="I137" s="285">
        <f t="shared" si="40"/>
        <v>0.45881568955408003</v>
      </c>
      <c r="J137" s="285">
        <f t="shared" si="40"/>
        <v>0.53905055247955436</v>
      </c>
      <c r="K137" s="285">
        <f t="shared" si="40"/>
        <v>0.62369833286592979</v>
      </c>
      <c r="L137" s="285">
        <f t="shared" si="40"/>
        <v>0.71300174117355586</v>
      </c>
      <c r="M137" s="285">
        <f t="shared" si="40"/>
        <v>0.80721683693810142</v>
      </c>
      <c r="N137" s="285">
        <f t="shared" si="40"/>
        <v>0.90661376296969687</v>
      </c>
      <c r="O137" s="285">
        <f t="shared" si="40"/>
        <v>1.0114775199330301</v>
      </c>
      <c r="P137" s="285">
        <f t="shared" si="40"/>
        <v>1.1221087835293466</v>
      </c>
      <c r="Q137" s="285">
        <f t="shared" si="40"/>
        <v>1.2388247666234604</v>
      </c>
      <c r="R137" s="285">
        <f t="shared" si="40"/>
        <v>1.3619601287877505</v>
      </c>
      <c r="S137" s="285">
        <f t="shared" si="40"/>
        <v>1.4918679358710767</v>
      </c>
      <c r="T137" s="285">
        <f t="shared" si="40"/>
        <v>1.6289206723439857</v>
      </c>
      <c r="U137" s="285">
        <f t="shared" si="40"/>
        <v>1.7735113093229047</v>
      </c>
      <c r="V137" s="285">
        <f t="shared" si="40"/>
        <v>1.9260544313356642</v>
      </c>
      <c r="W137" s="285">
        <f t="shared" si="40"/>
        <v>2.0869874250591254</v>
      </c>
      <c r="X137" s="285">
        <f t="shared" si="40"/>
        <v>2.2567717334373771</v>
      </c>
      <c r="Y137" s="285">
        <f t="shared" si="40"/>
        <v>2.4358941787764326</v>
      </c>
      <c r="Z137" s="285">
        <f t="shared" si="40"/>
        <v>2.6248683586091359</v>
      </c>
      <c r="AA137" s="285">
        <f t="shared" si="40"/>
        <v>2.8242361183326383</v>
      </c>
      <c r="AB137" s="285">
        <f t="shared" si="40"/>
        <v>3.0345691048409336</v>
      </c>
      <c r="AC137" s="285">
        <f t="shared" si="40"/>
        <v>3.2564704056071845</v>
      </c>
      <c r="AD137" s="285">
        <f t="shared" si="40"/>
        <v>3.4905762779155793</v>
      </c>
      <c r="AE137" s="285">
        <f t="shared" si="40"/>
        <v>3.7375579732009356</v>
      </c>
      <c r="AF137" s="285">
        <f t="shared" si="40"/>
        <v>3.9981236617269866</v>
      </c>
      <c r="AG137" s="285">
        <f t="shared" si="40"/>
        <v>4.2730204631219708</v>
      </c>
      <c r="AH137" s="285">
        <f t="shared" si="40"/>
        <v>4.563036588593679</v>
      </c>
      <c r="AI137" s="285">
        <f t="shared" si="40"/>
        <v>4.8690036009663311</v>
      </c>
      <c r="AJ137" s="285">
        <f t="shared" si="40"/>
        <v>5.1917987990194794</v>
      </c>
      <c r="AK137" s="285">
        <f t="shared" si="40"/>
        <v>5.5323477329655502</v>
      </c>
      <c r="AL137" s="285">
        <f t="shared" si="40"/>
        <v>5.8916268582786548</v>
      </c>
      <c r="AM137" s="285">
        <f t="shared" si="40"/>
        <v>6.2706663354839804</v>
      </c>
      <c r="AN137" s="285">
        <f t="shared" si="40"/>
        <v>6.6705529839355986</v>
      </c>
      <c r="AO137" s="285">
        <f t="shared" si="40"/>
        <v>7.0924333980520569</v>
      </c>
      <c r="AP137" s="285">
        <f t="shared" si="40"/>
        <v>7.5375172349449198</v>
      </c>
      <c r="AQ137" s="285">
        <f t="shared" si="40"/>
        <v>8.0070806828668903</v>
      </c>
      <c r="AR137" s="285">
        <f t="shared" si="40"/>
        <v>8.5024701204245687</v>
      </c>
      <c r="AS137" s="285">
        <f t="shared" si="40"/>
        <v>9.0251059770479198</v>
      </c>
      <c r="AT137" s="285">
        <f t="shared" si="40"/>
        <v>9.5764868057855548</v>
      </c>
      <c r="AU137" s="285">
        <f t="shared" si="40"/>
        <v>10.15819358010376</v>
      </c>
      <c r="AV137" s="285">
        <f t="shared" si="40"/>
        <v>10.771894227009465</v>
      </c>
      <c r="AW137" s="285">
        <f>(1+AV137)*(1+AW136)-1</f>
        <v>11.419348409494985</v>
      </c>
      <c r="AX137" s="285">
        <f t="shared" si="40"/>
        <v>12.102412572017208</v>
      </c>
      <c r="AY137" s="285">
        <f t="shared" si="40"/>
        <v>12.823045263478154</v>
      </c>
    </row>
    <row r="138" spans="1:71" s="224" customFormat="1" x14ac:dyDescent="0.2">
      <c r="A138" s="272"/>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84"/>
    </row>
    <row r="139" spans="1:71" ht="12.75" x14ac:dyDescent="0.2">
      <c r="A139" s="267"/>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H1" sqref="G1:H1048576"/>
    </sheetView>
  </sheetViews>
  <sheetFormatPr defaultRowHeight="15.75" x14ac:dyDescent="0.25"/>
  <cols>
    <col min="1" max="1" width="9.140625" style="71"/>
    <col min="2" max="2" width="37.7109375" style="71" customWidth="1"/>
    <col min="3" max="3" width="15.28515625" style="71" customWidth="1"/>
    <col min="4" max="6" width="17.42578125" style="71" customWidth="1"/>
    <col min="7" max="8" width="17.42578125" style="71" hidden="1" customWidth="1"/>
    <col min="9" max="9" width="17.42578125"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0" t="str">
        <f>'2. паспорт  ТП'!A4:S4</f>
        <v>Год раскрытия информации: 2017 год</v>
      </c>
      <c r="B5" s="370"/>
      <c r="C5" s="370"/>
      <c r="D5" s="370"/>
      <c r="E5" s="370"/>
      <c r="F5" s="370"/>
      <c r="G5" s="370"/>
      <c r="H5" s="370"/>
      <c r="I5" s="370"/>
      <c r="J5" s="370"/>
      <c r="K5" s="370"/>
      <c r="L5" s="370"/>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374" t="s">
        <v>9</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row>
    <row r="10" spans="1:44" x14ac:dyDescent="0.25">
      <c r="A10" s="371" t="s">
        <v>8</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8" t="str">
        <f>'1. паспорт местоположение'!A12:C12</f>
        <v>F_prj_111001_49220</v>
      </c>
      <c r="B12" s="378"/>
      <c r="C12" s="378"/>
      <c r="D12" s="378"/>
      <c r="E12" s="378"/>
      <c r="F12" s="378"/>
      <c r="G12" s="378"/>
      <c r="H12" s="378"/>
      <c r="I12" s="378"/>
      <c r="J12" s="378"/>
      <c r="K12" s="378"/>
      <c r="L12" s="378"/>
    </row>
    <row r="13" spans="1:44" x14ac:dyDescent="0.25">
      <c r="A13" s="371" t="s">
        <v>7</v>
      </c>
      <c r="B13" s="371"/>
      <c r="C13" s="371"/>
      <c r="D13" s="371"/>
      <c r="E13" s="371"/>
      <c r="F13" s="371"/>
      <c r="G13" s="371"/>
      <c r="H13" s="371"/>
      <c r="I13" s="371"/>
      <c r="J13" s="371"/>
      <c r="K13" s="371"/>
      <c r="L13" s="371"/>
    </row>
    <row r="14" spans="1:44" ht="18.75" x14ac:dyDescent="0.25">
      <c r="A14" s="382"/>
      <c r="B14" s="382"/>
      <c r="C14" s="382"/>
      <c r="D14" s="382"/>
      <c r="E14" s="382"/>
      <c r="F14" s="382"/>
      <c r="G14" s="382"/>
      <c r="H14" s="382"/>
      <c r="I14" s="382"/>
      <c r="J14" s="382"/>
      <c r="K14" s="382"/>
      <c r="L14" s="382"/>
    </row>
    <row r="15" spans="1:44" x14ac:dyDescent="0.25">
      <c r="A15" s="378" t="str">
        <f>'1. паспорт местоположение'!A15</f>
        <v>Строительство КТПн 10/0.4 кВ, двух КЛ 10 кВ от РП-XXXIX до КТПн, двух КЛ 1 кВ от КТПн до РЩ по ул.Аксакова в г.Калининграде</v>
      </c>
      <c r="B15" s="378"/>
      <c r="C15" s="378"/>
      <c r="D15" s="378"/>
      <c r="E15" s="378"/>
      <c r="F15" s="378"/>
      <c r="G15" s="378"/>
      <c r="H15" s="378"/>
      <c r="I15" s="378"/>
      <c r="J15" s="378"/>
      <c r="K15" s="378"/>
      <c r="L15" s="378"/>
    </row>
    <row r="16" spans="1:44" x14ac:dyDescent="0.25">
      <c r="A16" s="371" t="s">
        <v>6</v>
      </c>
      <c r="B16" s="371"/>
      <c r="C16" s="371"/>
      <c r="D16" s="371"/>
      <c r="E16" s="371"/>
      <c r="F16" s="371"/>
      <c r="G16" s="371"/>
      <c r="H16" s="371"/>
      <c r="I16" s="371"/>
      <c r="J16" s="371"/>
      <c r="K16" s="371"/>
      <c r="L16" s="371"/>
    </row>
    <row r="17" spans="1:12" ht="15.75" customHeight="1" x14ac:dyDescent="0.25">
      <c r="L17" s="106"/>
    </row>
    <row r="18" spans="1:12" x14ac:dyDescent="0.25">
      <c r="K18" s="105"/>
    </row>
    <row r="19" spans="1:12" ht="15.75" customHeight="1" x14ac:dyDescent="0.25">
      <c r="A19" s="435" t="s">
        <v>506</v>
      </c>
      <c r="B19" s="435"/>
      <c r="C19" s="435"/>
      <c r="D19" s="435"/>
      <c r="E19" s="435"/>
      <c r="F19" s="435"/>
      <c r="G19" s="435"/>
      <c r="H19" s="435"/>
      <c r="I19" s="435"/>
      <c r="J19" s="435"/>
      <c r="K19" s="435"/>
      <c r="L19" s="435"/>
    </row>
    <row r="20" spans="1:12" x14ac:dyDescent="0.25">
      <c r="A20" s="75"/>
      <c r="B20" s="75"/>
      <c r="C20" s="104"/>
      <c r="D20" s="104"/>
      <c r="E20" s="104"/>
      <c r="F20" s="104"/>
      <c r="G20" s="104"/>
      <c r="H20" s="104"/>
      <c r="I20" s="104"/>
      <c r="J20" s="104"/>
      <c r="K20" s="104"/>
      <c r="L20" s="104"/>
    </row>
    <row r="21" spans="1:12" ht="28.5" customHeight="1" x14ac:dyDescent="0.25">
      <c r="A21" s="436" t="s">
        <v>225</v>
      </c>
      <c r="B21" s="436" t="s">
        <v>224</v>
      </c>
      <c r="C21" s="442" t="s">
        <v>438</v>
      </c>
      <c r="D21" s="442"/>
      <c r="E21" s="442"/>
      <c r="F21" s="442"/>
      <c r="G21" s="442"/>
      <c r="H21" s="442"/>
      <c r="I21" s="437" t="s">
        <v>223</v>
      </c>
      <c r="J21" s="439" t="s">
        <v>440</v>
      </c>
      <c r="K21" s="436" t="s">
        <v>222</v>
      </c>
      <c r="L21" s="438" t="s">
        <v>439</v>
      </c>
    </row>
    <row r="22" spans="1:12" ht="58.5" customHeight="1" x14ac:dyDescent="0.25">
      <c r="A22" s="436"/>
      <c r="B22" s="436"/>
      <c r="C22" s="443" t="s">
        <v>2</v>
      </c>
      <c r="D22" s="443"/>
      <c r="E22" s="444" t="s">
        <v>11</v>
      </c>
      <c r="F22" s="445"/>
      <c r="G22" s="444" t="s">
        <v>693</v>
      </c>
      <c r="H22" s="445"/>
      <c r="I22" s="437"/>
      <c r="J22" s="440"/>
      <c r="K22" s="436"/>
      <c r="L22" s="438"/>
    </row>
    <row r="23" spans="1:12" ht="31.5" x14ac:dyDescent="0.25">
      <c r="A23" s="436"/>
      <c r="B23" s="436"/>
      <c r="C23" s="103" t="s">
        <v>221</v>
      </c>
      <c r="D23" s="103" t="s">
        <v>220</v>
      </c>
      <c r="E23" s="103" t="s">
        <v>221</v>
      </c>
      <c r="F23" s="103" t="s">
        <v>220</v>
      </c>
      <c r="G23" s="103" t="s">
        <v>221</v>
      </c>
      <c r="H23" s="103" t="s">
        <v>220</v>
      </c>
      <c r="I23" s="437"/>
      <c r="J23" s="441"/>
      <c r="K23" s="436"/>
      <c r="L23" s="438"/>
    </row>
    <row r="24" spans="1:12" x14ac:dyDescent="0.25">
      <c r="A24" s="82">
        <v>1</v>
      </c>
      <c r="B24" s="82">
        <v>2</v>
      </c>
      <c r="C24" s="103">
        <v>3</v>
      </c>
      <c r="D24" s="103">
        <v>4</v>
      </c>
      <c r="E24" s="103">
        <v>5</v>
      </c>
      <c r="F24" s="103">
        <v>6</v>
      </c>
      <c r="G24" s="103">
        <v>7</v>
      </c>
      <c r="H24" s="103">
        <v>8</v>
      </c>
      <c r="I24" s="103">
        <v>9</v>
      </c>
      <c r="J24" s="103">
        <v>10</v>
      </c>
      <c r="K24" s="103">
        <v>11</v>
      </c>
      <c r="L24" s="103">
        <v>12</v>
      </c>
    </row>
    <row r="25" spans="1:12" ht="31.5" x14ac:dyDescent="0.25">
      <c r="A25" s="99">
        <v>1</v>
      </c>
      <c r="B25" s="100" t="s">
        <v>219</v>
      </c>
      <c r="C25" s="100"/>
      <c r="D25" s="101"/>
      <c r="E25" s="101"/>
      <c r="F25" s="101"/>
      <c r="G25" s="101"/>
      <c r="H25" s="101"/>
      <c r="I25" s="101"/>
      <c r="J25" s="101"/>
      <c r="K25" s="96"/>
      <c r="L25" s="115"/>
    </row>
    <row r="26" spans="1:12" ht="21.75" customHeight="1" x14ac:dyDescent="0.25">
      <c r="A26" s="99" t="s">
        <v>218</v>
      </c>
      <c r="B26" s="102" t="s">
        <v>445</v>
      </c>
      <c r="C26" s="97"/>
      <c r="D26" s="364">
        <v>41907</v>
      </c>
      <c r="E26" s="362"/>
      <c r="F26" s="364">
        <v>41907</v>
      </c>
      <c r="G26" s="362"/>
      <c r="H26" s="364">
        <v>41907</v>
      </c>
      <c r="I26" s="362">
        <v>100</v>
      </c>
      <c r="J26" s="362"/>
      <c r="K26" s="96"/>
      <c r="L26" s="96"/>
    </row>
    <row r="27" spans="1:12" s="78" customFormat="1" ht="39" customHeight="1" x14ac:dyDescent="0.25">
      <c r="A27" s="99" t="s">
        <v>217</v>
      </c>
      <c r="B27" s="102" t="s">
        <v>447</v>
      </c>
      <c r="C27" s="362" t="s">
        <v>542</v>
      </c>
      <c r="D27" s="362" t="s">
        <v>542</v>
      </c>
      <c r="E27" s="362" t="s">
        <v>542</v>
      </c>
      <c r="F27" s="362" t="s">
        <v>542</v>
      </c>
      <c r="G27" s="362" t="s">
        <v>542</v>
      </c>
      <c r="H27" s="362" t="s">
        <v>542</v>
      </c>
      <c r="I27" s="362" t="s">
        <v>542</v>
      </c>
      <c r="J27" s="362" t="s">
        <v>542</v>
      </c>
      <c r="K27" s="96"/>
      <c r="L27" s="96"/>
    </row>
    <row r="28" spans="1:12" s="78" customFormat="1" ht="70.5" customHeight="1" x14ac:dyDescent="0.25">
      <c r="A28" s="99" t="s">
        <v>446</v>
      </c>
      <c r="B28" s="102" t="s">
        <v>451</v>
      </c>
      <c r="C28" s="362" t="s">
        <v>542</v>
      </c>
      <c r="D28" s="362" t="s">
        <v>542</v>
      </c>
      <c r="E28" s="362" t="s">
        <v>542</v>
      </c>
      <c r="F28" s="362" t="s">
        <v>542</v>
      </c>
      <c r="G28" s="362" t="s">
        <v>542</v>
      </c>
      <c r="H28" s="362" t="s">
        <v>542</v>
      </c>
      <c r="I28" s="362" t="s">
        <v>542</v>
      </c>
      <c r="J28" s="362" t="s">
        <v>542</v>
      </c>
      <c r="K28" s="96"/>
      <c r="L28" s="96"/>
    </row>
    <row r="29" spans="1:12" s="78" customFormat="1" ht="54" customHeight="1" x14ac:dyDescent="0.25">
      <c r="A29" s="99" t="s">
        <v>216</v>
      </c>
      <c r="B29" s="102" t="s">
        <v>450</v>
      </c>
      <c r="C29" s="362" t="s">
        <v>542</v>
      </c>
      <c r="D29" s="362" t="s">
        <v>542</v>
      </c>
      <c r="E29" s="362" t="s">
        <v>542</v>
      </c>
      <c r="F29" s="362" t="s">
        <v>542</v>
      </c>
      <c r="G29" s="362" t="s">
        <v>542</v>
      </c>
      <c r="H29" s="362" t="s">
        <v>542</v>
      </c>
      <c r="I29" s="362" t="s">
        <v>542</v>
      </c>
      <c r="J29" s="362" t="s">
        <v>542</v>
      </c>
      <c r="K29" s="96"/>
      <c r="L29" s="96"/>
    </row>
    <row r="30" spans="1:12" s="78" customFormat="1" ht="42" customHeight="1" x14ac:dyDescent="0.25">
      <c r="A30" s="99" t="s">
        <v>215</v>
      </c>
      <c r="B30" s="102" t="s">
        <v>452</v>
      </c>
      <c r="C30" s="362" t="s">
        <v>542</v>
      </c>
      <c r="D30" s="362" t="s">
        <v>542</v>
      </c>
      <c r="E30" s="362" t="s">
        <v>542</v>
      </c>
      <c r="F30" s="362" t="s">
        <v>542</v>
      </c>
      <c r="G30" s="362" t="s">
        <v>542</v>
      </c>
      <c r="H30" s="362" t="s">
        <v>542</v>
      </c>
      <c r="I30" s="362" t="s">
        <v>542</v>
      </c>
      <c r="J30" s="362" t="s">
        <v>542</v>
      </c>
      <c r="K30" s="96"/>
      <c r="L30" s="96"/>
    </row>
    <row r="31" spans="1:12" s="78" customFormat="1" ht="37.5" customHeight="1" x14ac:dyDescent="0.25">
      <c r="A31" s="99" t="s">
        <v>214</v>
      </c>
      <c r="B31" s="98" t="s">
        <v>448</v>
      </c>
      <c r="C31" s="498">
        <v>42745</v>
      </c>
      <c r="D31" s="364">
        <v>42765</v>
      </c>
      <c r="E31" s="362" t="s">
        <v>542</v>
      </c>
      <c r="F31" s="362" t="s">
        <v>542</v>
      </c>
      <c r="G31" s="362" t="s">
        <v>542</v>
      </c>
      <c r="H31" s="362" t="s">
        <v>542</v>
      </c>
      <c r="I31" s="362" t="s">
        <v>542</v>
      </c>
      <c r="J31" s="362" t="s">
        <v>542</v>
      </c>
      <c r="K31" s="336" t="s">
        <v>708</v>
      </c>
      <c r="L31" s="96"/>
    </row>
    <row r="32" spans="1:12" s="78" customFormat="1" ht="31.5" x14ac:dyDescent="0.25">
      <c r="A32" s="99" t="s">
        <v>212</v>
      </c>
      <c r="B32" s="98" t="s">
        <v>453</v>
      </c>
      <c r="C32" s="364">
        <v>42826</v>
      </c>
      <c r="D32" s="364">
        <v>42855</v>
      </c>
      <c r="E32" s="362" t="s">
        <v>542</v>
      </c>
      <c r="F32" s="362" t="s">
        <v>542</v>
      </c>
      <c r="G32" s="362" t="s">
        <v>542</v>
      </c>
      <c r="H32" s="362" t="s">
        <v>542</v>
      </c>
      <c r="I32" s="362" t="s">
        <v>542</v>
      </c>
      <c r="J32" s="362" t="s">
        <v>542</v>
      </c>
      <c r="K32" s="336" t="s">
        <v>708</v>
      </c>
      <c r="L32" s="96"/>
    </row>
    <row r="33" spans="1:12" s="78" customFormat="1" ht="37.5" customHeight="1" x14ac:dyDescent="0.25">
      <c r="A33" s="99" t="s">
        <v>464</v>
      </c>
      <c r="B33" s="98" t="s">
        <v>377</v>
      </c>
      <c r="C33" s="362" t="s">
        <v>542</v>
      </c>
      <c r="D33" s="362" t="s">
        <v>542</v>
      </c>
      <c r="E33" s="362" t="s">
        <v>542</v>
      </c>
      <c r="F33" s="362" t="s">
        <v>542</v>
      </c>
      <c r="G33" s="362" t="s">
        <v>542</v>
      </c>
      <c r="H33" s="362" t="s">
        <v>542</v>
      </c>
      <c r="I33" s="362" t="s">
        <v>542</v>
      </c>
      <c r="J33" s="362" t="s">
        <v>542</v>
      </c>
      <c r="K33" s="336" t="s">
        <v>708</v>
      </c>
      <c r="L33" s="96"/>
    </row>
    <row r="34" spans="1:12" s="78" customFormat="1" ht="47.25" customHeight="1" x14ac:dyDescent="0.25">
      <c r="A34" s="99" t="s">
        <v>465</v>
      </c>
      <c r="B34" s="98" t="s">
        <v>457</v>
      </c>
      <c r="C34" s="362" t="s">
        <v>542</v>
      </c>
      <c r="D34" s="362" t="s">
        <v>542</v>
      </c>
      <c r="E34" s="362" t="s">
        <v>542</v>
      </c>
      <c r="F34" s="362" t="s">
        <v>542</v>
      </c>
      <c r="G34" s="362" t="s">
        <v>542</v>
      </c>
      <c r="H34" s="362" t="s">
        <v>542</v>
      </c>
      <c r="I34" s="362" t="s">
        <v>542</v>
      </c>
      <c r="J34" s="362" t="s">
        <v>542</v>
      </c>
      <c r="K34" s="336" t="s">
        <v>708</v>
      </c>
      <c r="L34" s="96"/>
    </row>
    <row r="35" spans="1:12" s="78" customFormat="1" ht="49.5" customHeight="1" x14ac:dyDescent="0.25">
      <c r="A35" s="99" t="s">
        <v>466</v>
      </c>
      <c r="B35" s="98" t="s">
        <v>213</v>
      </c>
      <c r="C35" s="364">
        <v>42826</v>
      </c>
      <c r="D35" s="364">
        <v>42855</v>
      </c>
      <c r="E35" s="362" t="s">
        <v>542</v>
      </c>
      <c r="F35" s="362" t="s">
        <v>542</v>
      </c>
      <c r="G35" s="362" t="s">
        <v>542</v>
      </c>
      <c r="H35" s="362" t="s">
        <v>542</v>
      </c>
      <c r="I35" s="362" t="s">
        <v>542</v>
      </c>
      <c r="J35" s="362" t="s">
        <v>542</v>
      </c>
      <c r="K35" s="336" t="s">
        <v>708</v>
      </c>
      <c r="L35" s="96"/>
    </row>
    <row r="36" spans="1:12" ht="37.5" customHeight="1" x14ac:dyDescent="0.25">
      <c r="A36" s="99" t="s">
        <v>467</v>
      </c>
      <c r="B36" s="98" t="s">
        <v>449</v>
      </c>
      <c r="C36" s="364">
        <v>42826</v>
      </c>
      <c r="D36" s="364">
        <v>42855</v>
      </c>
      <c r="E36" s="362" t="s">
        <v>542</v>
      </c>
      <c r="F36" s="362" t="s">
        <v>542</v>
      </c>
      <c r="G36" s="362" t="s">
        <v>542</v>
      </c>
      <c r="H36" s="362" t="s">
        <v>542</v>
      </c>
      <c r="I36" s="362" t="s">
        <v>542</v>
      </c>
      <c r="J36" s="362" t="s">
        <v>542</v>
      </c>
      <c r="K36" s="336" t="s">
        <v>708</v>
      </c>
      <c r="L36" s="96"/>
    </row>
    <row r="37" spans="1:12" x14ac:dyDescent="0.25">
      <c r="A37" s="99" t="s">
        <v>468</v>
      </c>
      <c r="B37" s="98" t="s">
        <v>211</v>
      </c>
      <c r="C37" s="364">
        <v>42826</v>
      </c>
      <c r="D37" s="364">
        <v>42855</v>
      </c>
      <c r="E37" s="362" t="s">
        <v>542</v>
      </c>
      <c r="F37" s="362" t="s">
        <v>542</v>
      </c>
      <c r="G37" s="362" t="s">
        <v>542</v>
      </c>
      <c r="H37" s="362" t="s">
        <v>542</v>
      </c>
      <c r="I37" s="362" t="s">
        <v>542</v>
      </c>
      <c r="J37" s="362" t="s">
        <v>542</v>
      </c>
      <c r="K37" s="336" t="s">
        <v>708</v>
      </c>
      <c r="L37" s="96"/>
    </row>
    <row r="38" spans="1:12" x14ac:dyDescent="0.25">
      <c r="A38" s="99" t="s">
        <v>469</v>
      </c>
      <c r="B38" s="100" t="s">
        <v>210</v>
      </c>
      <c r="C38" s="97"/>
      <c r="D38" s="363"/>
      <c r="E38" s="362"/>
      <c r="F38" s="362"/>
      <c r="G38" s="362"/>
      <c r="H38" s="362"/>
      <c r="I38" s="362"/>
      <c r="J38" s="362"/>
      <c r="K38" s="336"/>
      <c r="L38" s="96"/>
    </row>
    <row r="39" spans="1:12" ht="63" x14ac:dyDescent="0.25">
      <c r="A39" s="99">
        <v>2</v>
      </c>
      <c r="B39" s="98" t="s">
        <v>454</v>
      </c>
      <c r="C39" s="364">
        <v>42855</v>
      </c>
      <c r="D39" s="365">
        <v>42885</v>
      </c>
      <c r="E39" s="362" t="s">
        <v>542</v>
      </c>
      <c r="F39" s="362" t="s">
        <v>542</v>
      </c>
      <c r="G39" s="362" t="s">
        <v>542</v>
      </c>
      <c r="H39" s="362" t="s">
        <v>542</v>
      </c>
      <c r="I39" s="362" t="s">
        <v>542</v>
      </c>
      <c r="J39" s="362" t="s">
        <v>542</v>
      </c>
      <c r="K39" s="336" t="s">
        <v>708</v>
      </c>
      <c r="L39" s="96"/>
    </row>
    <row r="40" spans="1:12" ht="33.75" customHeight="1" x14ac:dyDescent="0.25">
      <c r="A40" s="99" t="s">
        <v>209</v>
      </c>
      <c r="B40" s="98" t="s">
        <v>456</v>
      </c>
      <c r="C40" s="365">
        <v>42885</v>
      </c>
      <c r="D40" s="365">
        <v>42916</v>
      </c>
      <c r="E40" s="362" t="s">
        <v>542</v>
      </c>
      <c r="F40" s="362" t="s">
        <v>542</v>
      </c>
      <c r="G40" s="362" t="s">
        <v>542</v>
      </c>
      <c r="H40" s="362" t="s">
        <v>542</v>
      </c>
      <c r="I40" s="362" t="s">
        <v>542</v>
      </c>
      <c r="J40" s="362" t="s">
        <v>542</v>
      </c>
      <c r="K40" s="336" t="s">
        <v>708</v>
      </c>
      <c r="L40" s="96"/>
    </row>
    <row r="41" spans="1:12" ht="63" customHeight="1" x14ac:dyDescent="0.25">
      <c r="A41" s="99" t="s">
        <v>208</v>
      </c>
      <c r="B41" s="100" t="s">
        <v>537</v>
      </c>
      <c r="C41" s="97"/>
      <c r="D41" s="363"/>
      <c r="E41" s="362"/>
      <c r="F41" s="362"/>
      <c r="G41" s="362"/>
      <c r="H41" s="362"/>
      <c r="I41" s="362"/>
      <c r="J41" s="362"/>
      <c r="K41" s="336"/>
      <c r="L41" s="96"/>
    </row>
    <row r="42" spans="1:12" ht="58.5" customHeight="1" x14ac:dyDescent="0.25">
      <c r="A42" s="99">
        <v>3</v>
      </c>
      <c r="B42" s="98" t="s">
        <v>455</v>
      </c>
      <c r="C42" s="364">
        <v>42855</v>
      </c>
      <c r="D42" s="365">
        <v>42885</v>
      </c>
      <c r="E42" s="362" t="s">
        <v>542</v>
      </c>
      <c r="F42" s="362" t="s">
        <v>542</v>
      </c>
      <c r="G42" s="362" t="s">
        <v>542</v>
      </c>
      <c r="H42" s="362" t="s">
        <v>542</v>
      </c>
      <c r="I42" s="362" t="s">
        <v>542</v>
      </c>
      <c r="J42" s="362" t="s">
        <v>542</v>
      </c>
      <c r="K42" s="336" t="s">
        <v>708</v>
      </c>
      <c r="L42" s="96"/>
    </row>
    <row r="43" spans="1:12" ht="34.5" customHeight="1" x14ac:dyDescent="0.25">
      <c r="A43" s="99" t="s">
        <v>207</v>
      </c>
      <c r="B43" s="98" t="s">
        <v>205</v>
      </c>
      <c r="C43" s="365">
        <v>42885</v>
      </c>
      <c r="D43" s="365">
        <v>42916</v>
      </c>
      <c r="E43" s="362" t="s">
        <v>542</v>
      </c>
      <c r="F43" s="362" t="s">
        <v>542</v>
      </c>
      <c r="G43" s="362" t="s">
        <v>542</v>
      </c>
      <c r="H43" s="362" t="s">
        <v>542</v>
      </c>
      <c r="I43" s="362" t="s">
        <v>542</v>
      </c>
      <c r="J43" s="362" t="s">
        <v>542</v>
      </c>
      <c r="K43" s="336" t="s">
        <v>708</v>
      </c>
      <c r="L43" s="96"/>
    </row>
    <row r="44" spans="1:12" ht="24.75" customHeight="1" x14ac:dyDescent="0.25">
      <c r="A44" s="99" t="s">
        <v>206</v>
      </c>
      <c r="B44" s="98" t="s">
        <v>203</v>
      </c>
      <c r="C44" s="365">
        <v>42916</v>
      </c>
      <c r="D44" s="365">
        <v>42977</v>
      </c>
      <c r="E44" s="362" t="s">
        <v>542</v>
      </c>
      <c r="F44" s="362" t="s">
        <v>542</v>
      </c>
      <c r="G44" s="362" t="s">
        <v>542</v>
      </c>
      <c r="H44" s="362" t="s">
        <v>542</v>
      </c>
      <c r="I44" s="362" t="s">
        <v>542</v>
      </c>
      <c r="J44" s="362" t="s">
        <v>542</v>
      </c>
      <c r="K44" s="336" t="s">
        <v>708</v>
      </c>
      <c r="L44" s="96"/>
    </row>
    <row r="45" spans="1:12" ht="90.75" customHeight="1" x14ac:dyDescent="0.25">
      <c r="A45" s="99" t="s">
        <v>204</v>
      </c>
      <c r="B45" s="98" t="s">
        <v>460</v>
      </c>
      <c r="C45" s="362" t="s">
        <v>542</v>
      </c>
      <c r="D45" s="362" t="s">
        <v>542</v>
      </c>
      <c r="E45" s="362" t="s">
        <v>542</v>
      </c>
      <c r="F45" s="362" t="s">
        <v>542</v>
      </c>
      <c r="G45" s="362" t="s">
        <v>542</v>
      </c>
      <c r="H45" s="362" t="s">
        <v>542</v>
      </c>
      <c r="I45" s="362" t="s">
        <v>542</v>
      </c>
      <c r="J45" s="362" t="s">
        <v>542</v>
      </c>
      <c r="K45" s="336" t="s">
        <v>708</v>
      </c>
      <c r="L45" s="96"/>
    </row>
    <row r="46" spans="1:12" ht="167.25" customHeight="1" x14ac:dyDescent="0.25">
      <c r="A46" s="99" t="s">
        <v>202</v>
      </c>
      <c r="B46" s="98" t="s">
        <v>458</v>
      </c>
      <c r="C46" s="362" t="s">
        <v>542</v>
      </c>
      <c r="D46" s="362" t="s">
        <v>542</v>
      </c>
      <c r="E46" s="362" t="s">
        <v>542</v>
      </c>
      <c r="F46" s="362" t="s">
        <v>542</v>
      </c>
      <c r="G46" s="362" t="s">
        <v>542</v>
      </c>
      <c r="H46" s="362" t="s">
        <v>542</v>
      </c>
      <c r="I46" s="362" t="s">
        <v>542</v>
      </c>
      <c r="J46" s="362" t="s">
        <v>542</v>
      </c>
      <c r="K46" s="336" t="s">
        <v>708</v>
      </c>
      <c r="L46" s="96"/>
    </row>
    <row r="47" spans="1:12" ht="30.75" customHeight="1" x14ac:dyDescent="0.25">
      <c r="A47" s="99" t="s">
        <v>200</v>
      </c>
      <c r="B47" s="98" t="s">
        <v>201</v>
      </c>
      <c r="C47" s="365">
        <v>42977</v>
      </c>
      <c r="D47" s="365">
        <v>43008</v>
      </c>
      <c r="E47" s="362" t="s">
        <v>542</v>
      </c>
      <c r="F47" s="362" t="s">
        <v>542</v>
      </c>
      <c r="G47" s="362" t="s">
        <v>542</v>
      </c>
      <c r="H47" s="362" t="s">
        <v>542</v>
      </c>
      <c r="I47" s="362" t="s">
        <v>542</v>
      </c>
      <c r="J47" s="362" t="s">
        <v>542</v>
      </c>
      <c r="K47" s="336" t="s">
        <v>708</v>
      </c>
      <c r="L47" s="96"/>
    </row>
    <row r="48" spans="1:12" ht="37.5" customHeight="1" x14ac:dyDescent="0.25">
      <c r="A48" s="99" t="s">
        <v>470</v>
      </c>
      <c r="B48" s="100" t="s">
        <v>199</v>
      </c>
      <c r="C48" s="97"/>
      <c r="D48" s="363"/>
      <c r="E48" s="362"/>
      <c r="F48" s="362"/>
      <c r="G48" s="362"/>
      <c r="H48" s="362"/>
      <c r="I48" s="362"/>
      <c r="J48" s="362"/>
      <c r="K48" s="336"/>
      <c r="L48" s="96"/>
    </row>
    <row r="49" spans="1:12" ht="35.25" customHeight="1" x14ac:dyDescent="0.25">
      <c r="A49" s="99">
        <v>4</v>
      </c>
      <c r="B49" s="98" t="s">
        <v>197</v>
      </c>
      <c r="C49" s="365">
        <v>42977</v>
      </c>
      <c r="D49" s="365">
        <v>43008</v>
      </c>
      <c r="E49" s="362" t="s">
        <v>542</v>
      </c>
      <c r="F49" s="362" t="s">
        <v>542</v>
      </c>
      <c r="G49" s="362" t="s">
        <v>542</v>
      </c>
      <c r="H49" s="362" t="s">
        <v>542</v>
      </c>
      <c r="I49" s="362" t="s">
        <v>542</v>
      </c>
      <c r="J49" s="362" t="s">
        <v>542</v>
      </c>
      <c r="K49" s="336" t="s">
        <v>708</v>
      </c>
      <c r="L49" s="96"/>
    </row>
    <row r="50" spans="1:12" ht="86.25" customHeight="1" x14ac:dyDescent="0.25">
      <c r="A50" s="99" t="s">
        <v>198</v>
      </c>
      <c r="B50" s="98" t="s">
        <v>459</v>
      </c>
      <c r="C50" s="365">
        <v>43008</v>
      </c>
      <c r="D50" s="365">
        <v>43038</v>
      </c>
      <c r="E50" s="362" t="s">
        <v>542</v>
      </c>
      <c r="F50" s="362" t="s">
        <v>542</v>
      </c>
      <c r="G50" s="362" t="s">
        <v>542</v>
      </c>
      <c r="H50" s="362" t="s">
        <v>542</v>
      </c>
      <c r="I50" s="362" t="s">
        <v>542</v>
      </c>
      <c r="J50" s="362" t="s">
        <v>542</v>
      </c>
      <c r="K50" s="336" t="s">
        <v>708</v>
      </c>
      <c r="L50" s="96"/>
    </row>
    <row r="51" spans="1:12" ht="77.25" customHeight="1" x14ac:dyDescent="0.25">
      <c r="A51" s="99" t="s">
        <v>196</v>
      </c>
      <c r="B51" s="98" t="s">
        <v>461</v>
      </c>
      <c r="C51" s="365">
        <v>43008</v>
      </c>
      <c r="D51" s="365">
        <v>43038</v>
      </c>
      <c r="E51" s="362" t="s">
        <v>542</v>
      </c>
      <c r="F51" s="362" t="s">
        <v>542</v>
      </c>
      <c r="G51" s="362" t="s">
        <v>542</v>
      </c>
      <c r="H51" s="362" t="s">
        <v>542</v>
      </c>
      <c r="I51" s="362" t="s">
        <v>542</v>
      </c>
      <c r="J51" s="362" t="s">
        <v>542</v>
      </c>
      <c r="K51" s="336" t="s">
        <v>708</v>
      </c>
      <c r="L51" s="96"/>
    </row>
    <row r="52" spans="1:12" ht="71.25" customHeight="1" x14ac:dyDescent="0.25">
      <c r="A52" s="99" t="s">
        <v>194</v>
      </c>
      <c r="B52" s="98" t="s">
        <v>195</v>
      </c>
      <c r="C52" s="365">
        <v>43008</v>
      </c>
      <c r="D52" s="365">
        <v>43038</v>
      </c>
      <c r="E52" s="362" t="s">
        <v>542</v>
      </c>
      <c r="F52" s="362" t="s">
        <v>542</v>
      </c>
      <c r="G52" s="362" t="s">
        <v>542</v>
      </c>
      <c r="H52" s="362" t="s">
        <v>542</v>
      </c>
      <c r="I52" s="362" t="s">
        <v>542</v>
      </c>
      <c r="J52" s="362" t="s">
        <v>542</v>
      </c>
      <c r="K52" s="336" t="s">
        <v>708</v>
      </c>
      <c r="L52" s="96"/>
    </row>
    <row r="53" spans="1:12" ht="48" customHeight="1" x14ac:dyDescent="0.25">
      <c r="A53" s="99" t="s">
        <v>192</v>
      </c>
      <c r="B53" s="161" t="s">
        <v>462</v>
      </c>
      <c r="C53" s="365">
        <v>43008</v>
      </c>
      <c r="D53" s="365">
        <v>43038</v>
      </c>
      <c r="E53" s="362" t="s">
        <v>542</v>
      </c>
      <c r="F53" s="362" t="s">
        <v>542</v>
      </c>
      <c r="G53" s="362" t="s">
        <v>542</v>
      </c>
      <c r="H53" s="362" t="s">
        <v>542</v>
      </c>
      <c r="I53" s="362" t="s">
        <v>542</v>
      </c>
      <c r="J53" s="362" t="s">
        <v>542</v>
      </c>
      <c r="K53" s="336" t="s">
        <v>708</v>
      </c>
      <c r="L53" s="96"/>
    </row>
    <row r="54" spans="1:12" ht="46.5" customHeight="1" x14ac:dyDescent="0.25">
      <c r="A54" s="99" t="s">
        <v>463</v>
      </c>
      <c r="B54" s="98" t="s">
        <v>193</v>
      </c>
      <c r="C54" s="365">
        <v>43008</v>
      </c>
      <c r="D54" s="365">
        <v>43038</v>
      </c>
      <c r="E54" s="362" t="s">
        <v>542</v>
      </c>
      <c r="F54" s="362" t="s">
        <v>542</v>
      </c>
      <c r="G54" s="362" t="s">
        <v>542</v>
      </c>
      <c r="H54" s="362" t="s">
        <v>542</v>
      </c>
      <c r="I54" s="362" t="s">
        <v>542</v>
      </c>
      <c r="J54" s="362" t="s">
        <v>542</v>
      </c>
      <c r="K54" s="336" t="s">
        <v>708</v>
      </c>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2017-05-05T14:05:42Z</dcterms:modified>
</cp:coreProperties>
</file>