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8"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_FilterDatabase" localSheetId="11" hidden="1">'8. Общие сведения'!$A$32:$WVJ$143</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сведения'!$A$1:$B$143</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62913"/>
</workbook>
</file>

<file path=xl/calcChain.xml><?xml version="1.0" encoding="utf-8"?>
<calcChain xmlns="http://schemas.openxmlformats.org/spreadsheetml/2006/main">
  <c r="AE33" i="15" l="1"/>
  <c r="AE28" i="15"/>
  <c r="AD30" i="15"/>
  <c r="B112" i="53" l="1"/>
  <c r="B63" i="53" l="1"/>
  <c r="B108" i="53" l="1"/>
  <c r="A15" i="58" l="1"/>
  <c r="A12" i="58"/>
  <c r="A9" i="58"/>
  <c r="A5" i="58"/>
  <c r="D141" i="58"/>
  <c r="C141" i="58"/>
  <c r="B141" i="58"/>
  <c r="E140" i="58"/>
  <c r="F140" i="58" s="1"/>
  <c r="C139" i="58"/>
  <c r="D139" i="58" s="1"/>
  <c r="E139" i="58" s="1"/>
  <c r="F139" i="58" s="1"/>
  <c r="G139" i="58" s="1"/>
  <c r="H139" i="58" s="1"/>
  <c r="I139" i="58" s="1"/>
  <c r="J139" i="58" s="1"/>
  <c r="K139" i="58" s="1"/>
  <c r="L139" i="58" s="1"/>
  <c r="M139" i="58" s="1"/>
  <c r="N139" i="58" s="1"/>
  <c r="O139" i="58" s="1"/>
  <c r="P139" i="58" s="1"/>
  <c r="Q139" i="58" s="1"/>
  <c r="R139" i="58" s="1"/>
  <c r="S139" i="58" s="1"/>
  <c r="T139" i="58" s="1"/>
  <c r="U139" i="58" s="1"/>
  <c r="V139" i="58" s="1"/>
  <c r="W139" i="58" s="1"/>
  <c r="X139" i="58" s="1"/>
  <c r="Y139" i="58" s="1"/>
  <c r="Z139" i="58" s="1"/>
  <c r="AA139" i="58" s="1"/>
  <c r="AB139" i="58" s="1"/>
  <c r="AC139" i="58" s="1"/>
  <c r="AD139" i="58" s="1"/>
  <c r="AE139" i="58" s="1"/>
  <c r="AF139" i="58" s="1"/>
  <c r="AG139" i="58" s="1"/>
  <c r="AH139" i="58" s="1"/>
  <c r="AI139" i="58" s="1"/>
  <c r="AJ139" i="58" s="1"/>
  <c r="AK139" i="58" s="1"/>
  <c r="AL139" i="58" s="1"/>
  <c r="AM139" i="58" s="1"/>
  <c r="AN139" i="58" s="1"/>
  <c r="AO139" i="58" s="1"/>
  <c r="AP139" i="58" s="1"/>
  <c r="AQ139" i="58" s="1"/>
  <c r="AR139" i="58" s="1"/>
  <c r="AS139" i="58" s="1"/>
  <c r="AT139" i="58" s="1"/>
  <c r="AU139" i="58" s="1"/>
  <c r="AV139" i="58" s="1"/>
  <c r="AW139" i="58" s="1"/>
  <c r="AX139" i="58" s="1"/>
  <c r="AY139" i="58" s="1"/>
  <c r="C137" i="58"/>
  <c r="D137" i="58" s="1"/>
  <c r="E137" i="58" s="1"/>
  <c r="F137" i="58" s="1"/>
  <c r="G136" i="58"/>
  <c r="H136" i="58" s="1"/>
  <c r="I136" i="58" s="1"/>
  <c r="J136" i="58" s="1"/>
  <c r="K136" i="58" s="1"/>
  <c r="L136" i="58" s="1"/>
  <c r="M136" i="58" s="1"/>
  <c r="N136" i="58" s="1"/>
  <c r="O136" i="58" s="1"/>
  <c r="P136" i="58" s="1"/>
  <c r="Q136" i="58" s="1"/>
  <c r="R136" i="58" s="1"/>
  <c r="S136" i="58" s="1"/>
  <c r="T136" i="58" s="1"/>
  <c r="U136" i="58" s="1"/>
  <c r="V136" i="58" s="1"/>
  <c r="W136" i="58" s="1"/>
  <c r="X136" i="58" s="1"/>
  <c r="Y136" i="58" s="1"/>
  <c r="Z136" i="58" s="1"/>
  <c r="AA136" i="58" s="1"/>
  <c r="C135" i="58"/>
  <c r="D135" i="58" s="1"/>
  <c r="E135" i="58" s="1"/>
  <c r="F135" i="58" s="1"/>
  <c r="G135" i="58" s="1"/>
  <c r="H135" i="58" s="1"/>
  <c r="I135" i="58" s="1"/>
  <c r="J135" i="58" s="1"/>
  <c r="K135" i="58" s="1"/>
  <c r="L135" i="58" s="1"/>
  <c r="M135" i="58" s="1"/>
  <c r="N135" i="58" s="1"/>
  <c r="O135" i="58" s="1"/>
  <c r="P135" i="58" s="1"/>
  <c r="Q135" i="58" s="1"/>
  <c r="R135" i="58" s="1"/>
  <c r="S135" i="58" s="1"/>
  <c r="T135" i="58" s="1"/>
  <c r="U135" i="58" s="1"/>
  <c r="V135" i="58" s="1"/>
  <c r="W135" i="58" s="1"/>
  <c r="X135" i="58" s="1"/>
  <c r="Y135" i="58" s="1"/>
  <c r="Z135" i="58" s="1"/>
  <c r="AA135" i="58" s="1"/>
  <c r="AB135" i="58" s="1"/>
  <c r="AC135" i="58" s="1"/>
  <c r="AD135" i="58" s="1"/>
  <c r="AE135" i="58" s="1"/>
  <c r="AF135" i="58" s="1"/>
  <c r="AG135" i="58" s="1"/>
  <c r="AH135" i="58" s="1"/>
  <c r="AI135" i="58" s="1"/>
  <c r="AJ135" i="58" s="1"/>
  <c r="AK135" i="58" s="1"/>
  <c r="AL135" i="58" s="1"/>
  <c r="AM135" i="58" s="1"/>
  <c r="AN135" i="58" s="1"/>
  <c r="AO135" i="58" s="1"/>
  <c r="AP135" i="58" s="1"/>
  <c r="AQ135" i="58" s="1"/>
  <c r="AR135" i="58" s="1"/>
  <c r="AS135" i="58" s="1"/>
  <c r="AT135" i="58" s="1"/>
  <c r="AU135" i="58" s="1"/>
  <c r="AV135" i="58" s="1"/>
  <c r="AW135" i="58" s="1"/>
  <c r="AX135" i="58" s="1"/>
  <c r="AY135" i="58" s="1"/>
  <c r="G119" i="58"/>
  <c r="G118" i="58"/>
  <c r="G120" i="58" s="1"/>
  <c r="D118" i="58"/>
  <c r="B118" i="58"/>
  <c r="B112" i="58"/>
  <c r="D107" i="58"/>
  <c r="E107" i="58" s="1"/>
  <c r="F107" i="58" s="1"/>
  <c r="G107" i="58" s="1"/>
  <c r="H107" i="58" s="1"/>
  <c r="I107" i="58" s="1"/>
  <c r="J107" i="58" s="1"/>
  <c r="K107" i="58" s="1"/>
  <c r="L107" i="58" s="1"/>
  <c r="M107" i="58" s="1"/>
  <c r="N107" i="58" s="1"/>
  <c r="O107" i="58" s="1"/>
  <c r="P107" i="58" s="1"/>
  <c r="Q107" i="58" s="1"/>
  <c r="R107" i="58" s="1"/>
  <c r="S107" i="58" s="1"/>
  <c r="T107" i="58" s="1"/>
  <c r="U107" i="58" s="1"/>
  <c r="V107" i="58" s="1"/>
  <c r="W107" i="58" s="1"/>
  <c r="X107" i="58" s="1"/>
  <c r="Y107" i="58" s="1"/>
  <c r="Z107" i="58" s="1"/>
  <c r="AA107" i="58" s="1"/>
  <c r="AB107" i="58" s="1"/>
  <c r="AC107" i="58" s="1"/>
  <c r="AD107" i="58" s="1"/>
  <c r="AE107" i="58" s="1"/>
  <c r="AF107" i="58" s="1"/>
  <c r="AG107" i="58" s="1"/>
  <c r="AH107" i="58" s="1"/>
  <c r="AI107" i="58" s="1"/>
  <c r="AJ107" i="58" s="1"/>
  <c r="AK107" i="58" s="1"/>
  <c r="AL107" i="58" s="1"/>
  <c r="AM107" i="58" s="1"/>
  <c r="AN107" i="58" s="1"/>
  <c r="AO107" i="58" s="1"/>
  <c r="AP107"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F91" i="58" s="1"/>
  <c r="AG91" i="58" s="1"/>
  <c r="AH91" i="58" s="1"/>
  <c r="AI91" i="58" s="1"/>
  <c r="AJ91" i="58" s="1"/>
  <c r="AK91" i="58" s="1"/>
  <c r="AL91" i="58" s="1"/>
  <c r="AM91" i="58" s="1"/>
  <c r="AN91" i="58" s="1"/>
  <c r="AO91" i="58" s="1"/>
  <c r="AP91" i="58" s="1"/>
  <c r="B76" i="58"/>
  <c r="B74" i="58"/>
  <c r="A62" i="58"/>
  <c r="B60" i="58"/>
  <c r="C58" i="58"/>
  <c r="C74" i="58" s="1"/>
  <c r="B52" i="58"/>
  <c r="B47" i="58"/>
  <c r="B45" i="58"/>
  <c r="B44" i="58"/>
  <c r="B27" i="58"/>
  <c r="E48" i="58" l="1"/>
  <c r="M48" i="58"/>
  <c r="I48" i="58"/>
  <c r="Q48" i="58"/>
  <c r="C48" i="58"/>
  <c r="G48" i="58"/>
  <c r="K48" i="58"/>
  <c r="O48" i="58"/>
  <c r="S48" i="58"/>
  <c r="B46" i="58"/>
  <c r="B48" i="58"/>
  <c r="D48" i="58"/>
  <c r="F48" i="58"/>
  <c r="H48" i="58"/>
  <c r="J48" i="58"/>
  <c r="L48" i="58"/>
  <c r="N48" i="58"/>
  <c r="P48" i="58"/>
  <c r="R48" i="58"/>
  <c r="I118" i="58"/>
  <c r="I120" i="58" s="1"/>
  <c r="C109" i="58" s="1"/>
  <c r="D58" i="58"/>
  <c r="C52" i="58"/>
  <c r="C47" i="58"/>
  <c r="AB136" i="58"/>
  <c r="T48" i="58"/>
  <c r="G137" i="58"/>
  <c r="H137" i="58" s="1"/>
  <c r="E141" i="58"/>
  <c r="F141" i="58"/>
  <c r="G140" i="58"/>
  <c r="G141" i="58" s="1"/>
  <c r="D109" i="58" l="1"/>
  <c r="C108" i="58"/>
  <c r="D74" i="58"/>
  <c r="D52" i="58"/>
  <c r="E58" i="58"/>
  <c r="D47" i="58"/>
  <c r="I137" i="58"/>
  <c r="B49" i="58"/>
  <c r="AC136" i="58"/>
  <c r="U48" i="58"/>
  <c r="H140" i="58"/>
  <c r="H141" i="58" s="1"/>
  <c r="E109" i="58" l="1"/>
  <c r="D108" i="58"/>
  <c r="E47" i="58"/>
  <c r="E52" i="58"/>
  <c r="F58" i="58"/>
  <c r="E74" i="58"/>
  <c r="AD136" i="58"/>
  <c r="V48" i="58"/>
  <c r="I140" i="58"/>
  <c r="I141" i="58" s="1"/>
  <c r="B73" i="58" s="1"/>
  <c r="B85" i="58" s="1"/>
  <c r="J137" i="58"/>
  <c r="C49" i="58"/>
  <c r="F109" i="58" l="1"/>
  <c r="E108" i="58"/>
  <c r="F52" i="58"/>
  <c r="F47" i="58"/>
  <c r="F74" i="58"/>
  <c r="G58" i="58"/>
  <c r="C50" i="58"/>
  <c r="C59" i="58" s="1"/>
  <c r="AE136" i="58"/>
  <c r="W48" i="58"/>
  <c r="K137" i="58"/>
  <c r="D49" i="58"/>
  <c r="J140" i="58"/>
  <c r="J141" i="58" s="1"/>
  <c r="C73" i="58" s="1"/>
  <c r="C85" i="58" s="1"/>
  <c r="C99" i="58" s="1"/>
  <c r="F108" i="58" l="1"/>
  <c r="G109" i="58"/>
  <c r="H58" i="58"/>
  <c r="G47" i="58"/>
  <c r="G74" i="58"/>
  <c r="G52" i="58"/>
  <c r="D50" i="58"/>
  <c r="D59" i="58" s="1"/>
  <c r="L137" i="58"/>
  <c r="E49" i="58"/>
  <c r="AF136" i="58"/>
  <c r="X48" i="58"/>
  <c r="K140" i="58"/>
  <c r="K141" i="58" s="1"/>
  <c r="D73" i="58" s="1"/>
  <c r="D85" i="58" s="1"/>
  <c r="D99" i="58" s="1"/>
  <c r="G108" i="58" l="1"/>
  <c r="H109" i="58"/>
  <c r="H52" i="58"/>
  <c r="H74" i="58"/>
  <c r="H47" i="58"/>
  <c r="I58" i="58"/>
  <c r="E50" i="58"/>
  <c r="E59" i="58" s="1"/>
  <c r="M137" i="58"/>
  <c r="F49" i="58"/>
  <c r="D80" i="58"/>
  <c r="L140" i="58"/>
  <c r="AG136" i="58"/>
  <c r="Y48" i="58"/>
  <c r="I109" i="58" l="1"/>
  <c r="H108" i="58"/>
  <c r="I52" i="58"/>
  <c r="I74" i="58"/>
  <c r="J58" i="58"/>
  <c r="I47" i="58"/>
  <c r="M140" i="58"/>
  <c r="M141" i="58" s="1"/>
  <c r="F73" i="58" s="1"/>
  <c r="F85" i="58" s="1"/>
  <c r="F99" i="58" s="1"/>
  <c r="N137" i="58"/>
  <c r="G49" i="58"/>
  <c r="L141" i="58"/>
  <c r="E73" i="58" s="1"/>
  <c r="E85" i="58" s="1"/>
  <c r="E99" i="58" s="1"/>
  <c r="E80" i="58"/>
  <c r="AH136" i="58"/>
  <c r="Z48" i="58"/>
  <c r="F50" i="58"/>
  <c r="F59" i="58" s="1"/>
  <c r="J109" i="58" l="1"/>
  <c r="I108" i="58"/>
  <c r="K58" i="58"/>
  <c r="J47" i="58"/>
  <c r="J74" i="58"/>
  <c r="J52" i="58"/>
  <c r="AI136" i="58"/>
  <c r="AA48" i="58"/>
  <c r="F80" i="58"/>
  <c r="G50" i="58"/>
  <c r="G59" i="58" s="1"/>
  <c r="O137" i="58"/>
  <c r="H49" i="58"/>
  <c r="N140" i="58"/>
  <c r="N141" i="58" s="1"/>
  <c r="G73" i="58" s="1"/>
  <c r="G85" i="58" s="1"/>
  <c r="G99" i="58" s="1"/>
  <c r="J108" i="58" l="1"/>
  <c r="K109" i="58"/>
  <c r="K52" i="58"/>
  <c r="K47" i="58"/>
  <c r="K74" i="58"/>
  <c r="L58" i="58"/>
  <c r="P137" i="58"/>
  <c r="I49" i="58"/>
  <c r="G80" i="58"/>
  <c r="H50" i="58"/>
  <c r="H59" i="58" s="1"/>
  <c r="O140" i="58"/>
  <c r="O141" i="58" s="1"/>
  <c r="H73" i="58" s="1"/>
  <c r="H85" i="58" s="1"/>
  <c r="H99" i="58" s="1"/>
  <c r="AJ136" i="58"/>
  <c r="AB48" i="58"/>
  <c r="K108" i="58" l="1"/>
  <c r="L109" i="58"/>
  <c r="M58" i="58"/>
  <c r="L74" i="58"/>
  <c r="L52" i="58"/>
  <c r="L47" i="58"/>
  <c r="Q137" i="58"/>
  <c r="J49" i="58"/>
  <c r="AK136" i="58"/>
  <c r="AC48" i="58"/>
  <c r="P140" i="58"/>
  <c r="H80" i="58"/>
  <c r="I50" i="58"/>
  <c r="I59" i="58" s="1"/>
  <c r="L108" i="58" l="1"/>
  <c r="M109" i="58"/>
  <c r="M52" i="58"/>
  <c r="M74" i="58"/>
  <c r="M47" i="58"/>
  <c r="N58" i="58"/>
  <c r="I80" i="58"/>
  <c r="Q140" i="58"/>
  <c r="P141" i="58"/>
  <c r="I73" i="58" s="1"/>
  <c r="I85" i="58" s="1"/>
  <c r="I99" i="58" s="1"/>
  <c r="AL136" i="58"/>
  <c r="AD48" i="58"/>
  <c r="J50" i="58"/>
  <c r="J59" i="58" s="1"/>
  <c r="R137" i="58"/>
  <c r="K49" i="58"/>
  <c r="N109" i="58" l="1"/>
  <c r="M108" i="58"/>
  <c r="N74" i="58"/>
  <c r="O58" i="58"/>
  <c r="N52" i="58"/>
  <c r="N47" i="58"/>
  <c r="J80" i="58"/>
  <c r="R140" i="58"/>
  <c r="R141" i="58" s="1"/>
  <c r="K73" i="58" s="1"/>
  <c r="K85" i="58" s="1"/>
  <c r="K99" i="58" s="1"/>
  <c r="AM136" i="58"/>
  <c r="AE48" i="58"/>
  <c r="K50" i="58"/>
  <c r="K59" i="58" s="1"/>
  <c r="S137" i="58"/>
  <c r="L49" i="58"/>
  <c r="Q141" i="58"/>
  <c r="J73" i="58" s="1"/>
  <c r="J85" i="58" s="1"/>
  <c r="J99" i="58" s="1"/>
  <c r="N108" i="58" l="1"/>
  <c r="O109" i="58"/>
  <c r="O74" i="58"/>
  <c r="O47" i="58"/>
  <c r="P58" i="58"/>
  <c r="O52" i="58"/>
  <c r="L50" i="58"/>
  <c r="L59" i="58" s="1"/>
  <c r="K80" i="58"/>
  <c r="T137" i="58"/>
  <c r="M49" i="58"/>
  <c r="AN136" i="58"/>
  <c r="AF48" i="58"/>
  <c r="S140" i="58"/>
  <c r="S141" i="58" s="1"/>
  <c r="L73" i="58" s="1"/>
  <c r="L85" i="58" s="1"/>
  <c r="L99" i="58" s="1"/>
  <c r="P109" i="58" l="1"/>
  <c r="O108" i="58"/>
  <c r="P74" i="58"/>
  <c r="P52" i="58"/>
  <c r="Q58" i="58"/>
  <c r="P47" i="58"/>
  <c r="AO136" i="58"/>
  <c r="AG48" i="58"/>
  <c r="M50" i="58"/>
  <c r="M59" i="58" s="1"/>
  <c r="T140" i="58"/>
  <c r="T141" i="58" s="1"/>
  <c r="M73" i="58" s="1"/>
  <c r="M85" i="58" s="1"/>
  <c r="M99" i="58" s="1"/>
  <c r="U137" i="58"/>
  <c r="N49" i="58"/>
  <c r="L80" i="58"/>
  <c r="P108" i="58" l="1"/>
  <c r="Q109" i="58"/>
  <c r="Q74" i="58"/>
  <c r="Q52" i="58"/>
  <c r="Q47" i="58"/>
  <c r="R58" i="58"/>
  <c r="V137" i="58"/>
  <c r="O49" i="58"/>
  <c r="M80" i="58"/>
  <c r="N50" i="58"/>
  <c r="N59" i="58" s="1"/>
  <c r="U140" i="58"/>
  <c r="U141" i="58" s="1"/>
  <c r="N73" i="58" s="1"/>
  <c r="N85" i="58" s="1"/>
  <c r="N99" i="58" s="1"/>
  <c r="AP136" i="58"/>
  <c r="AH48" i="58"/>
  <c r="R109" i="58" l="1"/>
  <c r="Q108" i="58"/>
  <c r="R52" i="58"/>
  <c r="R74" i="58"/>
  <c r="R47" i="58"/>
  <c r="S58" i="58"/>
  <c r="N80" i="58"/>
  <c r="V140" i="58"/>
  <c r="V141" i="58" s="1"/>
  <c r="O73" i="58" s="1"/>
  <c r="O85" i="58" s="1"/>
  <c r="O99" i="58" s="1"/>
  <c r="O50" i="58"/>
  <c r="O59" i="58" s="1"/>
  <c r="AQ136" i="58"/>
  <c r="AI48" i="58"/>
  <c r="W137" i="58"/>
  <c r="P49" i="58"/>
  <c r="R108" i="58" l="1"/>
  <c r="S109" i="58"/>
  <c r="S47" i="58"/>
  <c r="S74" i="58"/>
  <c r="T58" i="58"/>
  <c r="S52" i="58"/>
  <c r="AR136" i="58"/>
  <c r="AJ48" i="58"/>
  <c r="O80" i="58"/>
  <c r="P50" i="58"/>
  <c r="P59" i="58" s="1"/>
  <c r="X137" i="58"/>
  <c r="Q49" i="58"/>
  <c r="W140" i="58"/>
  <c r="W141" i="58" s="1"/>
  <c r="P73" i="58" s="1"/>
  <c r="P85" i="58" s="1"/>
  <c r="P99" i="58" s="1"/>
  <c r="S108" i="58" l="1"/>
  <c r="T109" i="58"/>
  <c r="T47" i="58"/>
  <c r="T52" i="58"/>
  <c r="T74" i="58"/>
  <c r="U58" i="58"/>
  <c r="P80" i="58"/>
  <c r="X140" i="58"/>
  <c r="X141" i="58" s="1"/>
  <c r="Q73" i="58" s="1"/>
  <c r="Q85" i="58" s="1"/>
  <c r="Q99" i="58" s="1"/>
  <c r="Q50" i="58"/>
  <c r="Q59" i="58" s="1"/>
  <c r="AS136" i="58"/>
  <c r="AK48" i="58"/>
  <c r="Y137" i="58"/>
  <c r="R49" i="58"/>
  <c r="T108" i="58" l="1"/>
  <c r="U109" i="58"/>
  <c r="V58" i="58"/>
  <c r="U52" i="58"/>
  <c r="U47" i="58"/>
  <c r="U74" i="58"/>
  <c r="R50" i="58"/>
  <c r="R59" i="58" s="1"/>
  <c r="Z137" i="58"/>
  <c r="S49" i="58"/>
  <c r="AT136" i="58"/>
  <c r="AL48" i="58"/>
  <c r="Q80" i="58"/>
  <c r="Y140" i="58"/>
  <c r="Y141" i="58" s="1"/>
  <c r="R73" i="58" s="1"/>
  <c r="R85" i="58" s="1"/>
  <c r="R99" i="58" s="1"/>
  <c r="V109" i="58" l="1"/>
  <c r="U108" i="58"/>
  <c r="V47" i="58"/>
  <c r="W58" i="58"/>
  <c r="V52" i="58"/>
  <c r="V74" i="58"/>
  <c r="Z140" i="58"/>
  <c r="Z141" i="58" s="1"/>
  <c r="S73" i="58" s="1"/>
  <c r="S85" i="58" s="1"/>
  <c r="S99" i="58" s="1"/>
  <c r="AU136" i="58"/>
  <c r="AM48" i="58"/>
  <c r="S50" i="58"/>
  <c r="S59" i="58" s="1"/>
  <c r="AA137" i="58"/>
  <c r="T49" i="58"/>
  <c r="R80" i="58"/>
  <c r="V108" i="58" l="1"/>
  <c r="W109" i="58"/>
  <c r="W52" i="58"/>
  <c r="W47" i="58"/>
  <c r="W74" i="58"/>
  <c r="X58" i="58"/>
  <c r="AB137" i="58"/>
  <c r="U49" i="58"/>
  <c r="AV136" i="58"/>
  <c r="AN48" i="58"/>
  <c r="T50" i="58"/>
  <c r="T59" i="58" s="1"/>
  <c r="S80" i="58"/>
  <c r="AA140" i="58"/>
  <c r="AA141" i="58" s="1"/>
  <c r="T73" i="58" s="1"/>
  <c r="T85" i="58" s="1"/>
  <c r="T99" i="58" s="1"/>
  <c r="W108" i="58" l="1"/>
  <c r="X109" i="58"/>
  <c r="X47" i="58"/>
  <c r="X74" i="58"/>
  <c r="X52" i="58"/>
  <c r="Y58" i="58"/>
  <c r="T80" i="58"/>
  <c r="U50" i="58"/>
  <c r="U59" i="58" s="1"/>
  <c r="AC137" i="58"/>
  <c r="V49" i="58"/>
  <c r="AW136" i="58"/>
  <c r="AO48" i="58"/>
  <c r="AB140" i="58"/>
  <c r="X108" i="58" l="1"/>
  <c r="Y109" i="58"/>
  <c r="Z58" i="58"/>
  <c r="Y52" i="58"/>
  <c r="Y47" i="58"/>
  <c r="Y74" i="58"/>
  <c r="AX136" i="58"/>
  <c r="AY136" i="58" s="1"/>
  <c r="AP48" i="58"/>
  <c r="U80" i="58"/>
  <c r="AC140" i="58"/>
  <c r="V50" i="58"/>
  <c r="V59" i="58" s="1"/>
  <c r="AB141" i="58"/>
  <c r="U73" i="58" s="1"/>
  <c r="U85" i="58" s="1"/>
  <c r="U99" i="58" s="1"/>
  <c r="AD137" i="58"/>
  <c r="W49" i="58"/>
  <c r="Z109" i="58" l="1"/>
  <c r="Y108" i="58"/>
  <c r="AA58" i="58"/>
  <c r="Z47" i="58"/>
  <c r="Z74" i="58"/>
  <c r="Z52" i="58"/>
  <c r="AD140" i="58"/>
  <c r="AD141" i="58" s="1"/>
  <c r="W73" i="58" s="1"/>
  <c r="W85" i="58" s="1"/>
  <c r="W99" i="58" s="1"/>
  <c r="W50" i="58"/>
  <c r="W59" i="58" s="1"/>
  <c r="AC141" i="58"/>
  <c r="V73" i="58" s="1"/>
  <c r="V85" i="58" s="1"/>
  <c r="V99" i="58" s="1"/>
  <c r="AE137" i="58"/>
  <c r="X49" i="58"/>
  <c r="V80" i="58"/>
  <c r="AA109" i="58" l="1"/>
  <c r="Z108" i="58"/>
  <c r="AA47" i="58"/>
  <c r="AB58" i="58"/>
  <c r="AA74" i="58"/>
  <c r="AA52" i="58"/>
  <c r="X50" i="58"/>
  <c r="X59" i="58" s="1"/>
  <c r="AF137" i="58"/>
  <c r="Y49" i="58"/>
  <c r="W80" i="58"/>
  <c r="AE140" i="58"/>
  <c r="AE141" i="58" s="1"/>
  <c r="X73" i="58" s="1"/>
  <c r="X85" i="58" s="1"/>
  <c r="X99" i="58" s="1"/>
  <c r="AB109" i="58" l="1"/>
  <c r="AA108" i="58"/>
  <c r="AB47" i="58"/>
  <c r="AB52" i="58"/>
  <c r="AC58" i="58"/>
  <c r="AB74" i="58"/>
  <c r="AG137" i="58"/>
  <c r="Z49" i="58"/>
  <c r="Y50" i="58"/>
  <c r="Y59" i="58" s="1"/>
  <c r="AF140" i="58"/>
  <c r="X80" i="58"/>
  <c r="AB108" i="58" l="1"/>
  <c r="AC109" i="58"/>
  <c r="AC52" i="58"/>
  <c r="AC47" i="58"/>
  <c r="AC74" i="58"/>
  <c r="AD58" i="58"/>
  <c r="AG140" i="58"/>
  <c r="Y80" i="58"/>
  <c r="Z50" i="58"/>
  <c r="Z59" i="58" s="1"/>
  <c r="AF141" i="58"/>
  <c r="Y73" i="58" s="1"/>
  <c r="Y85" i="58" s="1"/>
  <c r="Y99" i="58" s="1"/>
  <c r="AH137" i="58"/>
  <c r="AA49" i="58"/>
  <c r="AC108" i="58" l="1"/>
  <c r="AD109" i="58"/>
  <c r="AE58" i="58"/>
  <c r="AD52" i="58"/>
  <c r="AD47" i="58"/>
  <c r="AD74" i="58"/>
  <c r="AA50" i="58"/>
  <c r="AA59" i="58" s="1"/>
  <c r="Z80" i="58"/>
  <c r="AH140" i="58"/>
  <c r="AI137" i="58"/>
  <c r="AB49" i="58"/>
  <c r="AG141" i="58"/>
  <c r="Z73" i="58" s="1"/>
  <c r="Z85" i="58" s="1"/>
  <c r="Z99" i="58" s="1"/>
  <c r="AD108" i="58" l="1"/>
  <c r="AE109" i="58"/>
  <c r="AE74" i="58"/>
  <c r="AF58" i="58"/>
  <c r="AE52" i="58"/>
  <c r="AE47" i="58"/>
  <c r="AI140" i="58"/>
  <c r="AB50" i="58"/>
  <c r="AB59" i="58" s="1"/>
  <c r="AH141" i="58"/>
  <c r="AA73" i="58" s="1"/>
  <c r="AA85" i="58" s="1"/>
  <c r="AA99" i="58" s="1"/>
  <c r="AA80" i="58"/>
  <c r="AJ137" i="58"/>
  <c r="AC49" i="58"/>
  <c r="AE108" i="58" l="1"/>
  <c r="AF109" i="58"/>
  <c r="AF74" i="58"/>
  <c r="AF52" i="58"/>
  <c r="AG58" i="58"/>
  <c r="AF47" i="58"/>
  <c r="AC50" i="58"/>
  <c r="AC59" i="58" s="1"/>
  <c r="AJ140" i="58"/>
  <c r="AJ141" i="58" s="1"/>
  <c r="AC73" i="58" s="1"/>
  <c r="AC85" i="58" s="1"/>
  <c r="AC99" i="58" s="1"/>
  <c r="AK137" i="58"/>
  <c r="AD49" i="58"/>
  <c r="AB80" i="58"/>
  <c r="AI141" i="58"/>
  <c r="AB73" i="58" s="1"/>
  <c r="AB85" i="58" s="1"/>
  <c r="AB99" i="58" s="1"/>
  <c r="AG109" i="58" l="1"/>
  <c r="AF108" i="58"/>
  <c r="AG74" i="58"/>
  <c r="AH58" i="58"/>
  <c r="AG52" i="58"/>
  <c r="AG47" i="58"/>
  <c r="AK140" i="58"/>
  <c r="AK141" i="58" s="1"/>
  <c r="AD73" i="58" s="1"/>
  <c r="AD85" i="58" s="1"/>
  <c r="AD99" i="58" s="1"/>
  <c r="AL137" i="58"/>
  <c r="AE49" i="58"/>
  <c r="AC80" i="58"/>
  <c r="AD50" i="58"/>
  <c r="AD59" i="58" s="1"/>
  <c r="AH109" i="58" l="1"/>
  <c r="AG108" i="58"/>
  <c r="AH74" i="58"/>
  <c r="AI58" i="58"/>
  <c r="AH52" i="58"/>
  <c r="AH47" i="58"/>
  <c r="AE50" i="58"/>
  <c r="AE59" i="58" s="1"/>
  <c r="AM137" i="58"/>
  <c r="AF49" i="58"/>
  <c r="AD80" i="58"/>
  <c r="AL140" i="58"/>
  <c r="AH108" i="58" l="1"/>
  <c r="AI109" i="58"/>
  <c r="AI74" i="58"/>
  <c r="AJ58" i="58"/>
  <c r="AI52" i="58"/>
  <c r="AI47" i="58"/>
  <c r="AM140" i="58"/>
  <c r="AM141" i="58" s="1"/>
  <c r="AF73" i="58" s="1"/>
  <c r="AF85" i="58" s="1"/>
  <c r="AF99" i="58" s="1"/>
  <c r="AL141" i="58"/>
  <c r="AE73" i="58" s="1"/>
  <c r="AE85" i="58" s="1"/>
  <c r="AE99" i="58" s="1"/>
  <c r="AF50" i="58"/>
  <c r="AF59" i="58" s="1"/>
  <c r="AN137" i="58"/>
  <c r="AG49" i="58"/>
  <c r="AE80" i="58"/>
  <c r="AJ109" i="58" l="1"/>
  <c r="AI108" i="58"/>
  <c r="AK58" i="58"/>
  <c r="AJ47" i="58"/>
  <c r="AJ52" i="58"/>
  <c r="AJ74" i="58"/>
  <c r="AO137" i="58"/>
  <c r="AH49" i="58"/>
  <c r="AG50" i="58"/>
  <c r="AG59" i="58" s="1"/>
  <c r="AF80" i="58"/>
  <c r="AN140" i="58"/>
  <c r="AN141" i="58" s="1"/>
  <c r="AG73" i="58" s="1"/>
  <c r="AG85" i="58" s="1"/>
  <c r="AG99" i="58" s="1"/>
  <c r="AK109" i="58" l="1"/>
  <c r="AJ108" i="58"/>
  <c r="AL58" i="58"/>
  <c r="AK52" i="58"/>
  <c r="AK47" i="58"/>
  <c r="AK74" i="58"/>
  <c r="AG80" i="58"/>
  <c r="AH50" i="58"/>
  <c r="AH59" i="58" s="1"/>
  <c r="AO140" i="58"/>
  <c r="AP137" i="58"/>
  <c r="AI49" i="58"/>
  <c r="AK108" i="58" l="1"/>
  <c r="AL109" i="58"/>
  <c r="AL47" i="58"/>
  <c r="AL74" i="58"/>
  <c r="AM58" i="58"/>
  <c r="AL52" i="58"/>
  <c r="AI50" i="58"/>
  <c r="AI59" i="58" s="1"/>
  <c r="AP140" i="58"/>
  <c r="AP141" i="58" s="1"/>
  <c r="AI73" i="58" s="1"/>
  <c r="AI85" i="58" s="1"/>
  <c r="AI99" i="58" s="1"/>
  <c r="AH80" i="58"/>
  <c r="AQ137" i="58"/>
  <c r="AJ49" i="58"/>
  <c r="AO141" i="58"/>
  <c r="AH73" i="58" s="1"/>
  <c r="AH85" i="58" s="1"/>
  <c r="AH99" i="58" s="1"/>
  <c r="AL108" i="58" l="1"/>
  <c r="AM109" i="58"/>
  <c r="AM74" i="58"/>
  <c r="AM47" i="58"/>
  <c r="AN58" i="58"/>
  <c r="AM52" i="58"/>
  <c r="AJ50" i="58"/>
  <c r="AJ59" i="58" s="1"/>
  <c r="AK49" i="58"/>
  <c r="AR137" i="58"/>
  <c r="AI80" i="58"/>
  <c r="AQ140" i="58"/>
  <c r="AM108" i="58" l="1"/>
  <c r="AN109" i="58"/>
  <c r="AN74" i="58"/>
  <c r="AN52" i="58"/>
  <c r="AN47" i="58"/>
  <c r="AO58" i="58"/>
  <c r="AR140" i="58"/>
  <c r="AS137" i="58"/>
  <c r="AL49" i="58"/>
  <c r="AK50" i="58"/>
  <c r="AK59" i="58" s="1"/>
  <c r="AJ80" i="58"/>
  <c r="AQ141" i="58"/>
  <c r="AJ73" i="58" s="1"/>
  <c r="AJ85" i="58" s="1"/>
  <c r="AJ99" i="58" s="1"/>
  <c r="AN108" i="58" l="1"/>
  <c r="AO109" i="58"/>
  <c r="AP58" i="58"/>
  <c r="AO74" i="58"/>
  <c r="AO52" i="58"/>
  <c r="AO47" i="58"/>
  <c r="AK80" i="58"/>
  <c r="AT137" i="58"/>
  <c r="AM49" i="58"/>
  <c r="AL50" i="58"/>
  <c r="AL59" i="58" s="1"/>
  <c r="AS140" i="58"/>
  <c r="AR141" i="58"/>
  <c r="AK73" i="58" s="1"/>
  <c r="AK85" i="58" s="1"/>
  <c r="AK99" i="58" s="1"/>
  <c r="AP109" i="58" l="1"/>
  <c r="AP108" i="58" s="1"/>
  <c r="AO108" i="58"/>
  <c r="AP52" i="58"/>
  <c r="AP47" i="58"/>
  <c r="AP74" i="58"/>
  <c r="AM50" i="58"/>
  <c r="AM59" i="58" s="1"/>
  <c r="AL80" i="58"/>
  <c r="AU137" i="58"/>
  <c r="AN49" i="58"/>
  <c r="AT140" i="58"/>
  <c r="AT141" i="58" s="1"/>
  <c r="AM73" i="58" s="1"/>
  <c r="AM85" i="58" s="1"/>
  <c r="AM99" i="58" s="1"/>
  <c r="AS141" i="58"/>
  <c r="AL73" i="58" s="1"/>
  <c r="AL85" i="58" s="1"/>
  <c r="AL99" i="58" s="1"/>
  <c r="AV137" i="58" l="1"/>
  <c r="AO49" i="58"/>
  <c r="AM80" i="58"/>
  <c r="AU140" i="58"/>
  <c r="AU141" i="58" s="1"/>
  <c r="AN73" i="58" s="1"/>
  <c r="AN85" i="58" s="1"/>
  <c r="AN99" i="58" s="1"/>
  <c r="AN50" i="58"/>
  <c r="AN59" i="58" s="1"/>
  <c r="AO50" i="58" l="1"/>
  <c r="AO59" i="58" s="1"/>
  <c r="AV140" i="58"/>
  <c r="AW137" i="58"/>
  <c r="AX137" i="58" s="1"/>
  <c r="AY137" i="58" s="1"/>
  <c r="AP49" i="58"/>
  <c r="AN80" i="58"/>
  <c r="AP50" i="58" l="1"/>
  <c r="AP59" i="58" s="1"/>
  <c r="AW140" i="58"/>
  <c r="AW141" i="58" s="1"/>
  <c r="AP73" i="58" s="1"/>
  <c r="AP85" i="58" s="1"/>
  <c r="AP99" i="58" s="1"/>
  <c r="AO80" i="58"/>
  <c r="AV141" i="58"/>
  <c r="AO73" i="58" s="1"/>
  <c r="AO85" i="58" s="1"/>
  <c r="AO99" i="58" s="1"/>
  <c r="AP80" i="58" l="1"/>
  <c r="AX140" i="58"/>
  <c r="AY140" i="58" l="1"/>
  <c r="AY141" i="58" s="1"/>
  <c r="AX141" i="58"/>
  <c r="B88" i="53" l="1"/>
  <c r="B32" i="53"/>
  <c r="B45" i="53"/>
  <c r="B104" i="53"/>
  <c r="B73" i="53"/>
  <c r="B118" i="53" s="1"/>
  <c r="B92" i="53" l="1"/>
  <c r="B120" i="53" l="1"/>
  <c r="B58" i="53" l="1"/>
  <c r="AE30" i="15" l="1"/>
  <c r="AC30" i="15"/>
  <c r="AB30" i="15"/>
  <c r="AA30" i="15"/>
  <c r="Z30" i="15"/>
  <c r="Y30" i="15"/>
  <c r="X30" i="15"/>
  <c r="W30" i="15"/>
  <c r="U30" i="15"/>
  <c r="T30" i="15"/>
  <c r="S30" i="15"/>
  <c r="R30" i="15"/>
  <c r="Q30" i="15"/>
  <c r="P30" i="15"/>
  <c r="O30" i="15"/>
  <c r="N30" i="15"/>
  <c r="M30" i="15"/>
  <c r="L30" i="15"/>
  <c r="K30" i="15"/>
  <c r="J30" i="15"/>
  <c r="I30" i="15"/>
  <c r="H30" i="15"/>
  <c r="G30" i="15"/>
  <c r="V30" i="15"/>
  <c r="AF25" i="15"/>
  <c r="AG25" i="15"/>
  <c r="AF26" i="15"/>
  <c r="AG26" i="15"/>
  <c r="AF27" i="15"/>
  <c r="AG27" i="15"/>
  <c r="AF28" i="15"/>
  <c r="AG28" i="15"/>
  <c r="AF29" i="15"/>
  <c r="AG29"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I52" i="15" s="1"/>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W24" i="15"/>
  <c r="V24" i="15"/>
  <c r="U24" i="15"/>
  <c r="T24" i="15"/>
  <c r="U23" i="15"/>
  <c r="V23" i="15" s="1"/>
  <c r="W23" i="15" s="1"/>
  <c r="X23" i="15" s="1"/>
  <c r="Y23" i="15" s="1"/>
  <c r="Z23" i="15" s="1"/>
  <c r="AA23" i="15" s="1"/>
  <c r="AB23" i="15" s="1"/>
  <c r="AC23" i="15" s="1"/>
  <c r="AD23" i="15" s="1"/>
  <c r="AE23" i="15" s="1"/>
  <c r="AF23" i="15" s="1"/>
  <c r="AG23" i="15" s="1"/>
  <c r="AA24" i="15"/>
  <c r="Z24" i="15"/>
  <c r="Y24" i="15"/>
  <c r="X24" i="15"/>
  <c r="AG30" i="15" l="1"/>
  <c r="AI30" i="15" s="1"/>
  <c r="AF30" i="15"/>
  <c r="AD35" i="5" l="1"/>
  <c r="B29" i="53" s="1"/>
  <c r="S24" i="15" l="1"/>
  <c r="B134" i="53" l="1"/>
  <c r="AT26" i="5"/>
  <c r="D31" i="5" l="1"/>
  <c r="D32" i="5" s="1"/>
  <c r="L31" i="5"/>
  <c r="L32" i="5" s="1"/>
  <c r="K26" i="5" l="1"/>
  <c r="K31" i="5" s="1"/>
  <c r="K32" i="5" s="1"/>
  <c r="I23" i="12" l="1"/>
  <c r="J23" i="12"/>
  <c r="S23" i="12"/>
  <c r="H23" i="12"/>
  <c r="C49" i="7" l="1"/>
  <c r="D24" i="15"/>
  <c r="E24" i="15"/>
  <c r="F24" i="15"/>
  <c r="G24" i="15"/>
  <c r="H24" i="15"/>
  <c r="I24" i="15"/>
  <c r="J24" i="15"/>
  <c r="K24" i="15"/>
  <c r="L24" i="15"/>
  <c r="M24" i="15"/>
  <c r="N24" i="15"/>
  <c r="O24" i="15"/>
  <c r="P24" i="15"/>
  <c r="Q24" i="15"/>
  <c r="R24" i="15"/>
  <c r="AB24" i="15"/>
  <c r="AF24" i="15" s="1"/>
  <c r="AC24" i="15"/>
  <c r="AD24" i="15"/>
  <c r="AG24" i="15" s="1"/>
  <c r="AE24" i="15"/>
  <c r="C24" i="15"/>
  <c r="A5" i="53"/>
  <c r="AI24" i="15" l="1"/>
  <c r="C48" i="7"/>
  <c r="B126" i="58" l="1"/>
  <c r="B27" i="53"/>
  <c r="C40" i="7"/>
  <c r="B22" i="53"/>
  <c r="A15" i="53"/>
  <c r="B21" i="53" s="1"/>
  <c r="A12" i="53"/>
  <c r="A9" i="53"/>
  <c r="B117" i="53" l="1"/>
  <c r="B110" i="53"/>
  <c r="B60" i="53"/>
  <c r="B106" i="53"/>
  <c r="B80" i="53"/>
  <c r="B114" i="53"/>
  <c r="B90" i="53"/>
  <c r="B87" i="53"/>
  <c r="B76" i="53"/>
  <c r="B102" i="53"/>
  <c r="B85" i="53"/>
  <c r="B72" i="53"/>
  <c r="B98" i="53"/>
  <c r="B86" i="53"/>
  <c r="B68" i="53"/>
  <c r="B94" i="53"/>
  <c r="B38" i="53"/>
  <c r="B119" i="53"/>
  <c r="B25" i="58"/>
  <c r="B29" i="58"/>
  <c r="B81" i="58"/>
  <c r="B50" i="58"/>
  <c r="B59" i="58" s="1"/>
  <c r="B30" i="53"/>
  <c r="B34" i="53"/>
  <c r="B51" i="53"/>
  <c r="B55" i="53"/>
  <c r="B42" i="53"/>
  <c r="B47" i="53"/>
  <c r="B64" i="53"/>
  <c r="C23" i="6"/>
  <c r="B80" i="58" l="1"/>
  <c r="B79" i="58"/>
  <c r="B66" i="58"/>
  <c r="B68" i="58" s="1"/>
  <c r="C80" i="58"/>
  <c r="AQ81" i="58"/>
  <c r="B99" i="58"/>
  <c r="AQ99" i="58" s="1"/>
  <c r="A100" i="58" s="1"/>
  <c r="C67" i="58"/>
  <c r="B54" i="58"/>
  <c r="C61" i="58"/>
  <c r="C60" i="58" s="1"/>
  <c r="C66" i="58" s="1"/>
  <c r="D61" i="58"/>
  <c r="D60" i="58" s="1"/>
  <c r="D66" i="58" s="1"/>
  <c r="E61" i="58"/>
  <c r="E60" i="58" s="1"/>
  <c r="E66" i="58" s="1"/>
  <c r="F61" i="58"/>
  <c r="F60" i="58" s="1"/>
  <c r="F66" i="58" s="1"/>
  <c r="G61" i="58"/>
  <c r="G60" i="58" s="1"/>
  <c r="G66" i="58" s="1"/>
  <c r="H61" i="58"/>
  <c r="H60" i="58" s="1"/>
  <c r="H66" i="58" s="1"/>
  <c r="I61" i="58"/>
  <c r="I60" i="58" s="1"/>
  <c r="I66" i="58" s="1"/>
  <c r="J61" i="58"/>
  <c r="J60" i="58" s="1"/>
  <c r="J66" i="58" s="1"/>
  <c r="K61" i="58"/>
  <c r="K60" i="58" s="1"/>
  <c r="K66" i="58" s="1"/>
  <c r="L61" i="58"/>
  <c r="L60" i="58" s="1"/>
  <c r="L66" i="58" s="1"/>
  <c r="M61" i="58"/>
  <c r="M60" i="58" s="1"/>
  <c r="M66" i="58" s="1"/>
  <c r="N61" i="58"/>
  <c r="N60" i="58" s="1"/>
  <c r="N66" i="58" s="1"/>
  <c r="O61" i="58"/>
  <c r="O60" i="58" s="1"/>
  <c r="O66" i="58" s="1"/>
  <c r="P61" i="58"/>
  <c r="P60" i="58" s="1"/>
  <c r="P66" i="58" s="1"/>
  <c r="Q61" i="58"/>
  <c r="Q60" i="58" s="1"/>
  <c r="Q66" i="58" s="1"/>
  <c r="R61" i="58"/>
  <c r="R60" i="58" s="1"/>
  <c r="R66" i="58" s="1"/>
  <c r="S61" i="58"/>
  <c r="S60" i="58" s="1"/>
  <c r="S66" i="58" s="1"/>
  <c r="T61" i="58"/>
  <c r="T60" i="58" s="1"/>
  <c r="T66" i="58" s="1"/>
  <c r="U61" i="58"/>
  <c r="U60" i="58" s="1"/>
  <c r="U66" i="58" s="1"/>
  <c r="V61" i="58"/>
  <c r="V60" i="58" s="1"/>
  <c r="V66" i="58" s="1"/>
  <c r="W61" i="58"/>
  <c r="W60" i="58" s="1"/>
  <c r="W66" i="58" s="1"/>
  <c r="X61" i="58"/>
  <c r="X60" i="58" s="1"/>
  <c r="X66" i="58" s="1"/>
  <c r="Y61" i="58"/>
  <c r="Y60" i="58" s="1"/>
  <c r="Y66" i="58" s="1"/>
  <c r="Z61" i="58"/>
  <c r="Z60" i="58" s="1"/>
  <c r="Z66" i="58" s="1"/>
  <c r="AA61" i="58"/>
  <c r="AA60" i="58" s="1"/>
  <c r="AA66" i="58" s="1"/>
  <c r="AB61" i="58"/>
  <c r="AB60" i="58" s="1"/>
  <c r="AB66" i="58" s="1"/>
  <c r="AC61" i="58"/>
  <c r="AC60" i="58" s="1"/>
  <c r="AC66" i="58" s="1"/>
  <c r="AD61" i="58"/>
  <c r="AD60" i="58" s="1"/>
  <c r="AD66" i="58" s="1"/>
  <c r="AE61" i="58"/>
  <c r="AE60" i="58" s="1"/>
  <c r="AE66" i="58" s="1"/>
  <c r="AF61" i="58"/>
  <c r="AF60" i="58" s="1"/>
  <c r="AF66" i="58" s="1"/>
  <c r="AG61" i="58"/>
  <c r="AG60" i="58" s="1"/>
  <c r="AG66" i="58" s="1"/>
  <c r="AH61" i="58"/>
  <c r="AH60" i="58" s="1"/>
  <c r="AH66" i="58" s="1"/>
  <c r="AI61" i="58"/>
  <c r="AI60" i="58" s="1"/>
  <c r="AI66" i="58" s="1"/>
  <c r="AJ61" i="58"/>
  <c r="AJ60" i="58" s="1"/>
  <c r="AJ66" i="58" s="1"/>
  <c r="AK61" i="58"/>
  <c r="AK60" i="58" s="1"/>
  <c r="AK66" i="58" s="1"/>
  <c r="AL61" i="58"/>
  <c r="AL60" i="58" s="1"/>
  <c r="AL66" i="58" s="1"/>
  <c r="AM61" i="58"/>
  <c r="AM60" i="58" s="1"/>
  <c r="AM66" i="58" s="1"/>
  <c r="AN61" i="58"/>
  <c r="AN60" i="58" s="1"/>
  <c r="AN66" i="58" s="1"/>
  <c r="AO61" i="58"/>
  <c r="AO60" i="58" s="1"/>
  <c r="AO66" i="58" s="1"/>
  <c r="AP61" i="58"/>
  <c r="AP60" i="58" s="1"/>
  <c r="AP66" i="58" s="1"/>
  <c r="B83" i="53"/>
  <c r="A15" i="12"/>
  <c r="F68" i="58" l="1"/>
  <c r="C68" i="58"/>
  <c r="C75" i="58" s="1"/>
  <c r="F75" i="58"/>
  <c r="B55" i="58"/>
  <c r="B56" i="58" s="1"/>
  <c r="B69" i="58" s="1"/>
  <c r="B77" i="58" s="1"/>
  <c r="B75" i="58"/>
  <c r="C76" i="58"/>
  <c r="D67" i="58"/>
  <c r="D68" i="58" s="1"/>
  <c r="F76" i="58"/>
  <c r="C79" i="58"/>
  <c r="A8" i="17"/>
  <c r="E9" i="14"/>
  <c r="B82" i="58" l="1"/>
  <c r="B70" i="58"/>
  <c r="B71" i="58" s="1"/>
  <c r="B78" i="58" s="1"/>
  <c r="B83" i="58" s="1"/>
  <c r="D79" i="58"/>
  <c r="E79" i="58" s="1"/>
  <c r="F79" i="58" s="1"/>
  <c r="D75" i="58"/>
  <c r="D76" i="58"/>
  <c r="E67" i="58"/>
  <c r="C53" i="58"/>
  <c r="P23" i="15"/>
  <c r="Q23" i="15" s="1"/>
  <c r="R23" i="15" s="1"/>
  <c r="S23" i="15" s="1"/>
  <c r="B72" i="58" l="1"/>
  <c r="G79" i="58"/>
  <c r="H79" i="58" s="1"/>
  <c r="I79" i="58" s="1"/>
  <c r="C55" i="58"/>
  <c r="C56" i="58" s="1"/>
  <c r="C69" i="58" s="1"/>
  <c r="B86" i="58"/>
  <c r="B84" i="58"/>
  <c r="B89" i="58" s="1"/>
  <c r="B88" i="58"/>
  <c r="E76" i="58"/>
  <c r="F67" i="58"/>
  <c r="E68" i="58"/>
  <c r="A15" i="5"/>
  <c r="A12" i="5"/>
  <c r="A9" i="5"/>
  <c r="B26" i="5" s="1"/>
  <c r="B31" i="5" s="1"/>
  <c r="B32"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C77" i="58" l="1"/>
  <c r="C70" i="58"/>
  <c r="C71" i="58" s="1"/>
  <c r="E75" i="58"/>
  <c r="G67" i="58"/>
  <c r="D53" i="58"/>
  <c r="C82" i="58"/>
  <c r="B87" i="58"/>
  <c r="B90" i="58" s="1"/>
  <c r="J79"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5" i="58" l="1"/>
  <c r="D56" i="58" s="1"/>
  <c r="D69" i="58" s="1"/>
  <c r="K79" i="58"/>
  <c r="H67" i="58"/>
  <c r="G76" i="58"/>
  <c r="G68" i="58"/>
  <c r="C72" i="58"/>
  <c r="C78" i="58"/>
  <c r="C83" i="58" s="1"/>
  <c r="I67" i="58" l="1"/>
  <c r="H76" i="58"/>
  <c r="H68" i="58"/>
  <c r="D77" i="58"/>
  <c r="D70" i="58"/>
  <c r="D71" i="58" s="1"/>
  <c r="C86" i="58"/>
  <c r="C88" i="58"/>
  <c r="C84" i="58"/>
  <c r="C89" i="58" s="1"/>
  <c r="L79" i="58"/>
  <c r="M79" i="58" s="1"/>
  <c r="N79" i="58" s="1"/>
  <c r="O79" i="58" s="1"/>
  <c r="P79" i="58" s="1"/>
  <c r="Q79" i="58" s="1"/>
  <c r="R79" i="58" s="1"/>
  <c r="S79" i="58" s="1"/>
  <c r="T79" i="58" s="1"/>
  <c r="U79" i="58" s="1"/>
  <c r="V79" i="58" s="1"/>
  <c r="W79" i="58" s="1"/>
  <c r="X79" i="58" s="1"/>
  <c r="Y79" i="58" s="1"/>
  <c r="Z79" i="58" s="1"/>
  <c r="AA79" i="58" s="1"/>
  <c r="AB79" i="58" s="1"/>
  <c r="AC79" i="58" s="1"/>
  <c r="AD79" i="58" s="1"/>
  <c r="AE79" i="58" s="1"/>
  <c r="AF79" i="58" s="1"/>
  <c r="AG79" i="58" s="1"/>
  <c r="AH79" i="58" s="1"/>
  <c r="AI79" i="58" s="1"/>
  <c r="AJ79" i="58" s="1"/>
  <c r="AK79" i="58" s="1"/>
  <c r="AL79" i="58" s="1"/>
  <c r="AM79" i="58" s="1"/>
  <c r="AN79" i="58" s="1"/>
  <c r="AO79" i="58" s="1"/>
  <c r="AP79" i="58" s="1"/>
  <c r="E53" i="58"/>
  <c r="D82" i="58"/>
  <c r="G75" i="58"/>
  <c r="C87" i="58" l="1"/>
  <c r="C90" i="58" s="1"/>
  <c r="H75" i="58"/>
  <c r="D72" i="58"/>
  <c r="D78" i="58"/>
  <c r="D83" i="58" s="1"/>
  <c r="E55" i="58"/>
  <c r="E56" i="58" s="1"/>
  <c r="E69" i="58" s="1"/>
  <c r="I76" i="58"/>
  <c r="J67" i="58"/>
  <c r="I68" i="58"/>
  <c r="E77" i="58" l="1"/>
  <c r="E70" i="58"/>
  <c r="D86" i="58"/>
  <c r="D88" i="58"/>
  <c r="D84" i="58"/>
  <c r="D89" i="58" s="1"/>
  <c r="I75" i="58"/>
  <c r="J76" i="58"/>
  <c r="K67" i="58"/>
  <c r="J68" i="58"/>
  <c r="F53" i="58"/>
  <c r="E82" i="58"/>
  <c r="K76" i="58" l="1"/>
  <c r="L67" i="58"/>
  <c r="K68" i="58"/>
  <c r="F55" i="58"/>
  <c r="F82" i="58" s="1"/>
  <c r="D87" i="58"/>
  <c r="D90" i="58" s="1"/>
  <c r="E71" i="58"/>
  <c r="J75" i="58"/>
  <c r="G53" i="58" l="1"/>
  <c r="F56" i="58"/>
  <c r="F69" i="58" s="1"/>
  <c r="F70" i="58" s="1"/>
  <c r="G55" i="58"/>
  <c r="G82" i="58" s="1"/>
  <c r="L76" i="58"/>
  <c r="M67" i="58"/>
  <c r="L68" i="58"/>
  <c r="E78" i="58"/>
  <c r="E83" i="58" s="1"/>
  <c r="K75" i="58"/>
  <c r="E72" i="58"/>
  <c r="F77" i="58" l="1"/>
  <c r="L75" i="58"/>
  <c r="M76" i="58"/>
  <c r="N67" i="58"/>
  <c r="M68" i="58"/>
  <c r="H53" i="58"/>
  <c r="E86" i="58"/>
  <c r="E84" i="58"/>
  <c r="E89" i="58" s="1"/>
  <c r="E88" i="58"/>
  <c r="G56" i="58"/>
  <c r="G69" i="58" s="1"/>
  <c r="F71" i="58"/>
  <c r="E87" i="58" l="1"/>
  <c r="E90" i="58" s="1"/>
  <c r="O67" i="58"/>
  <c r="N76" i="58"/>
  <c r="N68" i="58"/>
  <c r="H55" i="58"/>
  <c r="H82" i="58" s="1"/>
  <c r="F78" i="58"/>
  <c r="F83" i="58" s="1"/>
  <c r="G77" i="58"/>
  <c r="G70" i="58"/>
  <c r="G71" i="58" s="1"/>
  <c r="G72" i="58" s="1"/>
  <c r="F72" i="58"/>
  <c r="M75" i="58"/>
  <c r="G78" i="58" l="1"/>
  <c r="G83" i="58" s="1"/>
  <c r="G86" i="58" s="1"/>
  <c r="N75" i="58"/>
  <c r="H56" i="58"/>
  <c r="H69" i="58" s="1"/>
  <c r="F84" i="58"/>
  <c r="F89" i="58" s="1"/>
  <c r="F86" i="58"/>
  <c r="F88" i="58"/>
  <c r="I53" i="58"/>
  <c r="O76" i="58"/>
  <c r="P67" i="58"/>
  <c r="O68" i="58"/>
  <c r="G88" i="58" l="1"/>
  <c r="G84" i="58"/>
  <c r="G89" i="58" s="1"/>
  <c r="P76" i="58"/>
  <c r="Q67" i="58"/>
  <c r="P68" i="58"/>
  <c r="I55" i="58"/>
  <c r="H77" i="58"/>
  <c r="H70" i="58"/>
  <c r="H71" i="58" s="1"/>
  <c r="O75" i="58"/>
  <c r="G87" i="58"/>
  <c r="F87" i="58"/>
  <c r="F90" i="58" s="1"/>
  <c r="G90" i="58" l="1"/>
  <c r="P75" i="58"/>
  <c r="Q76" i="58"/>
  <c r="R67" i="58"/>
  <c r="Q68" i="58"/>
  <c r="J53" i="58"/>
  <c r="I82" i="58"/>
  <c r="H72" i="58"/>
  <c r="H78" i="58"/>
  <c r="H83" i="58" s="1"/>
  <c r="I56" i="58"/>
  <c r="I69" i="58" s="1"/>
  <c r="H86" i="58" l="1"/>
  <c r="H87" i="58" s="1"/>
  <c r="H90" i="58" s="1"/>
  <c r="H88" i="58"/>
  <c r="H84" i="58"/>
  <c r="H89" i="58" s="1"/>
  <c r="Q75" i="58"/>
  <c r="R76" i="58"/>
  <c r="S67" i="58"/>
  <c r="R68" i="58"/>
  <c r="I77" i="58"/>
  <c r="I70" i="58"/>
  <c r="J55" i="58"/>
  <c r="J82" i="58" s="1"/>
  <c r="K53" i="58" l="1"/>
  <c r="K55" i="58" s="1"/>
  <c r="K56" i="58" s="1"/>
  <c r="K69" i="58" s="1"/>
  <c r="J56" i="58"/>
  <c r="J69" i="58" s="1"/>
  <c r="J77" i="58" s="1"/>
  <c r="R75" i="58"/>
  <c r="S76" i="58"/>
  <c r="T67" i="58"/>
  <c r="S68" i="58"/>
  <c r="I71" i="58"/>
  <c r="I78" i="58" s="1"/>
  <c r="I83" i="58" s="1"/>
  <c r="J70" i="58" l="1"/>
  <c r="K77" i="58"/>
  <c r="K70" i="58"/>
  <c r="S75" i="58"/>
  <c r="J71" i="58"/>
  <c r="J78" i="58" s="1"/>
  <c r="J83" i="58" s="1"/>
  <c r="I86" i="58"/>
  <c r="I87" i="58" s="1"/>
  <c r="I90" i="58" s="1"/>
  <c r="I88" i="58"/>
  <c r="I84" i="58"/>
  <c r="I89" i="58" s="1"/>
  <c r="L53" i="58"/>
  <c r="K82" i="58"/>
  <c r="T76" i="58"/>
  <c r="U67" i="58"/>
  <c r="T68" i="58"/>
  <c r="I72" i="58"/>
  <c r="J72" i="58" l="1"/>
  <c r="T75" i="58"/>
  <c r="L55" i="58"/>
  <c r="L56" i="58" s="1"/>
  <c r="L69" i="58" s="1"/>
  <c r="K71" i="58"/>
  <c r="K78" i="58" s="1"/>
  <c r="K83" i="58" s="1"/>
  <c r="U76" i="58"/>
  <c r="V67" i="58"/>
  <c r="U68" i="58"/>
  <c r="J86" i="58"/>
  <c r="J87" i="58" s="1"/>
  <c r="J90" i="58" s="1"/>
  <c r="J88" i="58"/>
  <c r="J84" i="58"/>
  <c r="J89" i="58" s="1"/>
  <c r="M53" i="58" l="1"/>
  <c r="L82" i="58"/>
  <c r="U75" i="58"/>
  <c r="K86" i="58"/>
  <c r="K87" i="58" s="1"/>
  <c r="K90" i="58" s="1"/>
  <c r="K84" i="58"/>
  <c r="K89" i="58" s="1"/>
  <c r="K88" i="58"/>
  <c r="V76" i="58"/>
  <c r="W67" i="58"/>
  <c r="V68" i="58"/>
  <c r="L77" i="58"/>
  <c r="L70" i="58"/>
  <c r="K72" i="58"/>
  <c r="L71" i="58" l="1"/>
  <c r="L78" i="58" s="1"/>
  <c r="L83" i="58" s="1"/>
  <c r="V75" i="58"/>
  <c r="X67" i="58"/>
  <c r="W76" i="58"/>
  <c r="W68" i="58"/>
  <c r="M55" i="58"/>
  <c r="L72" i="58" l="1"/>
  <c r="N53" i="58"/>
  <c r="M82" i="58"/>
  <c r="M56" i="58"/>
  <c r="M69" i="58" s="1"/>
  <c r="Y67" i="58"/>
  <c r="X76" i="58"/>
  <c r="X68" i="58"/>
  <c r="W75" i="58"/>
  <c r="L86" i="58"/>
  <c r="L87" i="58" s="1"/>
  <c r="L88" i="58"/>
  <c r="B105" i="58" s="1"/>
  <c r="L84" i="58"/>
  <c r="L89" i="58" s="1"/>
  <c r="G28" i="58" s="1"/>
  <c r="C105" i="58" s="1"/>
  <c r="Y76" i="58" l="1"/>
  <c r="Z67" i="58"/>
  <c r="Y68" i="58"/>
  <c r="M77" i="58"/>
  <c r="M70" i="58"/>
  <c r="X75" i="58"/>
  <c r="L90" i="58"/>
  <c r="G29" i="58" s="1"/>
  <c r="D105" i="58" s="1"/>
  <c r="G30" i="58"/>
  <c r="A105" i="58" s="1"/>
  <c r="N55" i="58"/>
  <c r="N56" i="58" s="1"/>
  <c r="N69" i="58" s="1"/>
  <c r="N77" i="58" l="1"/>
  <c r="N70" i="58"/>
  <c r="Y75" i="58"/>
  <c r="O53" i="58"/>
  <c r="N82" i="58"/>
  <c r="AA67" i="58"/>
  <c r="Z76" i="58"/>
  <c r="Z68" i="58"/>
  <c r="M71" i="58"/>
  <c r="M78" i="58" s="1"/>
  <c r="M83" i="58" s="1"/>
  <c r="M72" i="58" l="1"/>
  <c r="AB67" i="58"/>
  <c r="AA76" i="58"/>
  <c r="AA68" i="58"/>
  <c r="AQ67" i="58"/>
  <c r="M86" i="58"/>
  <c r="M87" i="58" s="1"/>
  <c r="M90" i="58" s="1"/>
  <c r="M88" i="58"/>
  <c r="M84" i="58"/>
  <c r="M89" i="58" s="1"/>
  <c r="N71" i="58"/>
  <c r="N78" i="58" s="1"/>
  <c r="N83" i="58" s="1"/>
  <c r="Z75" i="58"/>
  <c r="O55" i="58"/>
  <c r="O56" i="58" s="1"/>
  <c r="O69" i="58" s="1"/>
  <c r="N72" i="58" l="1"/>
  <c r="O77" i="58"/>
  <c r="O70" i="58"/>
  <c r="AB76" i="58"/>
  <c r="AC67" i="58"/>
  <c r="AB68" i="58"/>
  <c r="AA75" i="58"/>
  <c r="P53" i="58"/>
  <c r="O82" i="58"/>
  <c r="N86" i="58"/>
  <c r="N87" i="58" s="1"/>
  <c r="N90" i="58" s="1"/>
  <c r="N88" i="58"/>
  <c r="N84" i="58"/>
  <c r="N89" i="58" s="1"/>
  <c r="P55" i="58" l="1"/>
  <c r="P82" i="58" s="1"/>
  <c r="AC76" i="58"/>
  <c r="AD67" i="58"/>
  <c r="AC68" i="58"/>
  <c r="O71" i="58"/>
  <c r="O78" i="58" s="1"/>
  <c r="O83" i="58" s="1"/>
  <c r="AB75" i="58"/>
  <c r="O72" i="58" l="1"/>
  <c r="O86" i="58"/>
  <c r="O87" i="58" s="1"/>
  <c r="O90" i="58" s="1"/>
  <c r="O84" i="58"/>
  <c r="O89" i="58" s="1"/>
  <c r="O88" i="58"/>
  <c r="Q53" i="58"/>
  <c r="AC75" i="58"/>
  <c r="P56" i="58"/>
  <c r="P69" i="58" s="1"/>
  <c r="AD76" i="58"/>
  <c r="AE67" i="58"/>
  <c r="AD68" i="58"/>
  <c r="Q55" i="58" l="1"/>
  <c r="Q82" i="58" s="1"/>
  <c r="P77" i="58"/>
  <c r="P70" i="58"/>
  <c r="AD75" i="58"/>
  <c r="AF67" i="58"/>
  <c r="AE76" i="58"/>
  <c r="AE68" i="58"/>
  <c r="AF76" i="58" l="1"/>
  <c r="AG67" i="58"/>
  <c r="AF68" i="58"/>
  <c r="AR67" i="58"/>
  <c r="P71" i="58"/>
  <c r="P78" i="58" s="1"/>
  <c r="P83" i="58" s="1"/>
  <c r="R53" i="58"/>
  <c r="AE75" i="58"/>
  <c r="Q56" i="58"/>
  <c r="Q69" i="58" s="1"/>
  <c r="P86" i="58" l="1"/>
  <c r="P87" i="58" s="1"/>
  <c r="P90" i="58" s="1"/>
  <c r="P88" i="58"/>
  <c r="P84" i="58"/>
  <c r="P89" i="58" s="1"/>
  <c r="R55" i="58"/>
  <c r="R56" i="58" s="1"/>
  <c r="R69" i="58" s="1"/>
  <c r="AF75" i="58"/>
  <c r="Q77" i="58"/>
  <c r="Q70" i="58"/>
  <c r="P72" i="58"/>
  <c r="AH67" i="58"/>
  <c r="AG76" i="58"/>
  <c r="AG68" i="58"/>
  <c r="AI67" i="58" l="1"/>
  <c r="AH76" i="58"/>
  <c r="AH68" i="58"/>
  <c r="AG75" i="58"/>
  <c r="Q71" i="58"/>
  <c r="Q78" i="58" s="1"/>
  <c r="Q83" i="58" s="1"/>
  <c r="R77" i="58"/>
  <c r="R70" i="58"/>
  <c r="S53" i="58"/>
  <c r="R82" i="58"/>
  <c r="S55" i="58" l="1"/>
  <c r="AI76" i="58"/>
  <c r="AJ67" i="58"/>
  <c r="AI68" i="58"/>
  <c r="Q72" i="58"/>
  <c r="Q86" i="58"/>
  <c r="Q87" i="58" s="1"/>
  <c r="Q90" i="58" s="1"/>
  <c r="Q88" i="58"/>
  <c r="Q84" i="58"/>
  <c r="Q89" i="58" s="1"/>
  <c r="AH75" i="58"/>
  <c r="R71" i="58"/>
  <c r="R78" i="58" s="1"/>
  <c r="R83" i="58" s="1"/>
  <c r="R72" i="58" l="1"/>
  <c r="AK67" i="58"/>
  <c r="AJ76" i="58"/>
  <c r="AJ68" i="58"/>
  <c r="AI75" i="58"/>
  <c r="T53" i="58"/>
  <c r="S82" i="58"/>
  <c r="R86" i="58"/>
  <c r="R87" i="58" s="1"/>
  <c r="R90" i="58" s="1"/>
  <c r="R88" i="58"/>
  <c r="R84" i="58"/>
  <c r="R89" i="58" s="1"/>
  <c r="S56" i="58"/>
  <c r="S69" i="58" s="1"/>
  <c r="AL67" i="58" l="1"/>
  <c r="AK76" i="58"/>
  <c r="AK68" i="58"/>
  <c r="S77" i="58"/>
  <c r="S70" i="58"/>
  <c r="AJ75" i="58"/>
  <c r="T55" i="58"/>
  <c r="T82" i="58" s="1"/>
  <c r="AK75" i="58" l="1"/>
  <c r="T56" i="58"/>
  <c r="T69" i="58" s="1"/>
  <c r="U53" i="58"/>
  <c r="S71" i="58"/>
  <c r="S78" i="58" s="1"/>
  <c r="S83" i="58" s="1"/>
  <c r="AM67" i="58"/>
  <c r="AL76" i="58"/>
  <c r="AL68" i="58"/>
  <c r="S72" i="58" l="1"/>
  <c r="AL75" i="58"/>
  <c r="U55" i="58"/>
  <c r="U82" i="58" s="1"/>
  <c r="AN67" i="58"/>
  <c r="AM76" i="58"/>
  <c r="AM68" i="58"/>
  <c r="T77" i="58"/>
  <c r="T70" i="58"/>
  <c r="S86" i="58"/>
  <c r="S87" i="58" s="1"/>
  <c r="S90" i="58" s="1"/>
  <c r="S88" i="58"/>
  <c r="S84" i="58"/>
  <c r="S89" i="58" s="1"/>
  <c r="AM75" i="58" l="1"/>
  <c r="U56" i="58"/>
  <c r="U69" i="58" s="1"/>
  <c r="T71" i="58"/>
  <c r="T78" i="58" s="1"/>
  <c r="T83" i="58" s="1"/>
  <c r="AN76" i="58"/>
  <c r="AO67" i="58"/>
  <c r="AN68" i="58"/>
  <c r="V53" i="58"/>
  <c r="T86" i="58" l="1"/>
  <c r="T87" i="58" s="1"/>
  <c r="T90" i="58" s="1"/>
  <c r="T84" i="58"/>
  <c r="T89" i="58" s="1"/>
  <c r="T88" i="58"/>
  <c r="U77" i="58"/>
  <c r="U70" i="58"/>
  <c r="AN75" i="58"/>
  <c r="AO76" i="58"/>
  <c r="AP67" i="58"/>
  <c r="AO68" i="58"/>
  <c r="V55" i="58"/>
  <c r="V56" i="58" s="1"/>
  <c r="V69" i="58" s="1"/>
  <c r="T72" i="58"/>
  <c r="V77" i="58" l="1"/>
  <c r="V70" i="58"/>
  <c r="W53" i="58"/>
  <c r="V82" i="58"/>
  <c r="AO75" i="58"/>
  <c r="AP76" i="58"/>
  <c r="AP68" i="58"/>
  <c r="AS67" i="58"/>
  <c r="U71" i="58"/>
  <c r="U78" i="58" s="1"/>
  <c r="U83" i="58" s="1"/>
  <c r="U72" i="58" l="1"/>
  <c r="AP75" i="58"/>
  <c r="U86" i="58"/>
  <c r="U87" i="58" s="1"/>
  <c r="U90" i="58" s="1"/>
  <c r="U88" i="58"/>
  <c r="U84" i="58"/>
  <c r="U89" i="58" s="1"/>
  <c r="W55" i="58"/>
  <c r="W82" i="58" s="1"/>
  <c r="V71" i="58"/>
  <c r="V78" i="58" s="1"/>
  <c r="V83" i="58" s="1"/>
  <c r="W56" i="58" l="1"/>
  <c r="W69" i="58" s="1"/>
  <c r="W77" i="58" s="1"/>
  <c r="X53" i="58"/>
  <c r="V72" i="58"/>
  <c r="X55" i="58"/>
  <c r="X82" i="58" s="1"/>
  <c r="V86" i="58"/>
  <c r="V87" i="58" s="1"/>
  <c r="V90" i="58" s="1"/>
  <c r="V88" i="58"/>
  <c r="V84" i="58"/>
  <c r="V89" i="58" s="1"/>
  <c r="W70" i="58" l="1"/>
  <c r="W71" i="58" s="1"/>
  <c r="W78" i="58" s="1"/>
  <c r="W83" i="58" s="1"/>
  <c r="Y53" i="58"/>
  <c r="X56" i="58"/>
  <c r="X69" i="58" s="1"/>
  <c r="W72" i="58" l="1"/>
  <c r="X77" i="58"/>
  <c r="X70" i="58"/>
  <c r="W86" i="58"/>
  <c r="W87" i="58" s="1"/>
  <c r="W90" i="58" s="1"/>
  <c r="W88" i="58"/>
  <c r="W84" i="58"/>
  <c r="W89" i="58" s="1"/>
  <c r="Y55" i="58"/>
  <c r="Y82" i="58" s="1"/>
  <c r="Z53" i="58" l="1"/>
  <c r="Y56" i="58"/>
  <c r="Y69" i="58" s="1"/>
  <c r="Y70" i="58" s="1"/>
  <c r="Z55" i="58"/>
  <c r="Z56" i="58" s="1"/>
  <c r="Z69" i="58" s="1"/>
  <c r="X71" i="58"/>
  <c r="X78" i="58" s="1"/>
  <c r="X83" i="58" s="1"/>
  <c r="Y77" i="58" l="1"/>
  <c r="X72" i="58"/>
  <c r="Y71" i="58"/>
  <c r="Y78" i="58" s="1"/>
  <c r="Y83" i="58" s="1"/>
  <c r="Z77" i="58"/>
  <c r="Z70" i="58"/>
  <c r="X86" i="58"/>
  <c r="X87" i="58" s="1"/>
  <c r="X90" i="58" s="1"/>
  <c r="X84" i="58"/>
  <c r="X89" i="58" s="1"/>
  <c r="X88" i="58"/>
  <c r="AA53" i="58"/>
  <c r="Z82" i="58"/>
  <c r="Y72" i="58" l="1"/>
  <c r="AA55" i="58"/>
  <c r="AA82" i="58" s="1"/>
  <c r="Z71" i="58"/>
  <c r="Z78" i="58" s="1"/>
  <c r="Z83" i="58" s="1"/>
  <c r="Y86" i="58"/>
  <c r="Y87" i="58" s="1"/>
  <c r="Y90" i="58" s="1"/>
  <c r="Y84" i="58"/>
  <c r="Y89" i="58" s="1"/>
  <c r="Y88" i="58"/>
  <c r="AB53" i="58" l="1"/>
  <c r="AB55" i="58" s="1"/>
  <c r="AB82" i="58" s="1"/>
  <c r="AA56" i="58"/>
  <c r="AA69" i="58" s="1"/>
  <c r="AA70" i="58" s="1"/>
  <c r="Z86" i="58"/>
  <c r="Z87" i="58" s="1"/>
  <c r="Z90" i="58" s="1"/>
  <c r="Z84" i="58"/>
  <c r="Z89" i="58" s="1"/>
  <c r="Z88" i="58"/>
  <c r="Z72" i="58"/>
  <c r="AC53" i="58" l="1"/>
  <c r="AC55" i="58" s="1"/>
  <c r="AC82" i="58" s="1"/>
  <c r="AA77" i="58"/>
  <c r="AA71" i="58"/>
  <c r="AA78" i="58" s="1"/>
  <c r="AB56" i="58"/>
  <c r="AB69" i="58" s="1"/>
  <c r="AA83" i="58" l="1"/>
  <c r="AA84" i="58" s="1"/>
  <c r="AA89" i="58" s="1"/>
  <c r="AC56" i="58"/>
  <c r="AC69" i="58" s="1"/>
  <c r="AC77" i="58" s="1"/>
  <c r="AB77" i="58"/>
  <c r="AB70" i="58"/>
  <c r="AA72" i="58"/>
  <c r="AD53" i="58"/>
  <c r="AA86" i="58" l="1"/>
  <c r="AA87" i="58" s="1"/>
  <c r="AA90" i="58" s="1"/>
  <c r="AA88" i="58"/>
  <c r="AC70" i="58"/>
  <c r="AB71" i="58"/>
  <c r="AB78" i="58" s="1"/>
  <c r="AB83" i="58" s="1"/>
  <c r="AD55" i="58"/>
  <c r="AD82" i="58" s="1"/>
  <c r="AC71" i="58"/>
  <c r="AC78" i="58" l="1"/>
  <c r="AC83" i="58" s="1"/>
  <c r="AC86" i="58" s="1"/>
  <c r="AE53" i="58"/>
  <c r="AE55" i="58" s="1"/>
  <c r="AE82" i="58" s="1"/>
  <c r="AC72" i="58"/>
  <c r="AB72" i="58"/>
  <c r="AC84" i="58"/>
  <c r="AD56" i="58"/>
  <c r="AD69" i="58" s="1"/>
  <c r="AB86" i="58"/>
  <c r="AB87" i="58" s="1"/>
  <c r="AB90" i="58" s="1"/>
  <c r="AB88" i="58"/>
  <c r="AB84" i="58"/>
  <c r="AB89" i="58" s="1"/>
  <c r="AC88" i="58" l="1"/>
  <c r="AE56" i="58"/>
  <c r="AE69" i="58" s="1"/>
  <c r="AE77" i="58" s="1"/>
  <c r="AF53" i="58"/>
  <c r="AF55" i="58" s="1"/>
  <c r="AF82" i="58" s="1"/>
  <c r="AC87" i="58"/>
  <c r="AC90" i="58" s="1"/>
  <c r="AD77" i="58"/>
  <c r="AD70" i="58"/>
  <c r="AC89" i="58"/>
  <c r="AE70" i="58" l="1"/>
  <c r="AG53" i="58"/>
  <c r="AF56" i="58"/>
  <c r="AF69" i="58" s="1"/>
  <c r="AD71" i="58"/>
  <c r="AD78" i="58" s="1"/>
  <c r="AD83" i="58" s="1"/>
  <c r="AE71" i="58"/>
  <c r="AE72" i="58" s="1"/>
  <c r="AD72" i="58" l="1"/>
  <c r="AD86" i="58"/>
  <c r="AD87" i="58" s="1"/>
  <c r="AD90" i="58" s="1"/>
  <c r="AD84" i="58"/>
  <c r="AD89" i="58" s="1"/>
  <c r="AD88" i="58"/>
  <c r="AF77" i="58"/>
  <c r="AF70" i="58"/>
  <c r="AE78" i="58"/>
  <c r="AE83" i="58" s="1"/>
  <c r="AG55" i="58"/>
  <c r="AG56" i="58" s="1"/>
  <c r="AG69" i="58" s="1"/>
  <c r="AG77" i="58" l="1"/>
  <c r="AG70" i="58"/>
  <c r="AH53" i="58"/>
  <c r="AG82" i="58"/>
  <c r="AE86" i="58"/>
  <c r="AE87" i="58" s="1"/>
  <c r="AE90" i="58" s="1"/>
  <c r="AE84" i="58"/>
  <c r="AE89" i="58" s="1"/>
  <c r="AE88" i="58"/>
  <c r="AF71" i="58"/>
  <c r="AF78" i="58" s="1"/>
  <c r="AF83" i="58" s="1"/>
  <c r="AF72" i="58" l="1"/>
  <c r="AF86" i="58"/>
  <c r="AF87" i="58" s="1"/>
  <c r="AF90" i="58" s="1"/>
  <c r="AF88" i="58"/>
  <c r="AF84" i="58"/>
  <c r="AF89" i="58" s="1"/>
  <c r="AH55" i="58"/>
  <c r="AH82" i="58" s="1"/>
  <c r="AG71" i="58"/>
  <c r="AG78" i="58" s="1"/>
  <c r="AG83" i="58" s="1"/>
  <c r="AG72" i="58" l="1"/>
  <c r="AG86" i="58"/>
  <c r="AG87" i="58" s="1"/>
  <c r="AG90" i="58" s="1"/>
  <c r="AG84" i="58"/>
  <c r="AG89" i="58" s="1"/>
  <c r="AG88" i="58"/>
  <c r="AI53" i="58"/>
  <c r="AH56" i="58"/>
  <c r="AH69" i="58" s="1"/>
  <c r="AI55" i="58" l="1"/>
  <c r="AI56" i="58" s="1"/>
  <c r="AI69" i="58" s="1"/>
  <c r="AH77" i="58"/>
  <c r="AH70" i="58"/>
  <c r="AI77" i="58" l="1"/>
  <c r="AI70" i="58"/>
  <c r="AH71" i="58"/>
  <c r="AH78" i="58" s="1"/>
  <c r="AH83" i="58" s="1"/>
  <c r="AJ53" i="58"/>
  <c r="AI82" i="58"/>
  <c r="AH72" i="58" l="1"/>
  <c r="AH86" i="58"/>
  <c r="AH87" i="58" s="1"/>
  <c r="AH90" i="58" s="1"/>
  <c r="AH84" i="58"/>
  <c r="AH89" i="58" s="1"/>
  <c r="AH88" i="58"/>
  <c r="AI71" i="58"/>
  <c r="AI78" i="58" s="1"/>
  <c r="AI83" i="58" s="1"/>
  <c r="AJ55" i="58"/>
  <c r="AJ82" i="58" s="1"/>
  <c r="AJ56" i="58" l="1"/>
  <c r="AJ69" i="58" s="1"/>
  <c r="AJ70" i="58" s="1"/>
  <c r="AK53" i="58"/>
  <c r="AK55" i="58" s="1"/>
  <c r="AK56" i="58" s="1"/>
  <c r="AK69" i="58" s="1"/>
  <c r="AI86" i="58"/>
  <c r="AI87" i="58" s="1"/>
  <c r="AI90" i="58" s="1"/>
  <c r="AI84" i="58"/>
  <c r="AI89" i="58" s="1"/>
  <c r="AI88" i="58"/>
  <c r="AI72" i="58"/>
  <c r="AJ77" i="58" l="1"/>
  <c r="AK77" i="58"/>
  <c r="AK70" i="58"/>
  <c r="AL53" i="58"/>
  <c r="AK82" i="58"/>
  <c r="AJ71" i="58"/>
  <c r="AJ78" i="58" s="1"/>
  <c r="AJ83" i="58" s="1"/>
  <c r="AL55" i="58" l="1"/>
  <c r="AL82" i="58" s="1"/>
  <c r="AJ72" i="58"/>
  <c r="AK71" i="58"/>
  <c r="AK78" i="58" s="1"/>
  <c r="AK83" i="58" s="1"/>
  <c r="AJ86" i="58"/>
  <c r="AJ87" i="58" s="1"/>
  <c r="AJ90" i="58" s="1"/>
  <c r="AJ84" i="58"/>
  <c r="AJ89" i="58" s="1"/>
  <c r="AJ88" i="58"/>
  <c r="AL56" i="58" l="1"/>
  <c r="AL69" i="58" s="1"/>
  <c r="AL77" i="58" s="1"/>
  <c r="AK72" i="58"/>
  <c r="AM53" i="58"/>
  <c r="AK86" i="58"/>
  <c r="AK87" i="58" s="1"/>
  <c r="AK90" i="58" s="1"/>
  <c r="AK88" i="58"/>
  <c r="AK84" i="58"/>
  <c r="AK89" i="58" s="1"/>
  <c r="AL70" i="58" l="1"/>
  <c r="AL71" i="58" s="1"/>
  <c r="AL78" i="58" s="1"/>
  <c r="AL83" i="58" s="1"/>
  <c r="AM55" i="58"/>
  <c r="AM56" i="58" s="1"/>
  <c r="AM69" i="58" s="1"/>
  <c r="AL72" i="58" l="1"/>
  <c r="AL86" i="58"/>
  <c r="AL87" i="58" s="1"/>
  <c r="AL90" i="58" s="1"/>
  <c r="AL84" i="58"/>
  <c r="AL89" i="58" s="1"/>
  <c r="AL88" i="58"/>
  <c r="AM77" i="58"/>
  <c r="AM70" i="58"/>
  <c r="AN53" i="58"/>
  <c r="AM82" i="58"/>
  <c r="AN55" i="58" l="1"/>
  <c r="AN82" i="58" s="1"/>
  <c r="AM71" i="58"/>
  <c r="AM78" i="58" s="1"/>
  <c r="AM83" i="58" s="1"/>
  <c r="AM86" i="58" l="1"/>
  <c r="AM87" i="58" s="1"/>
  <c r="AM90" i="58" s="1"/>
  <c r="AM88" i="58"/>
  <c r="AM84" i="58"/>
  <c r="AM89" i="58" s="1"/>
  <c r="AN56" i="58"/>
  <c r="AN69" i="58" s="1"/>
  <c r="AO53" i="58"/>
  <c r="AM72" i="58"/>
  <c r="AN77" i="58" l="1"/>
  <c r="AN70" i="58"/>
  <c r="AO55" i="58"/>
  <c r="AO56" i="58" s="1"/>
  <c r="AO69" i="58" s="1"/>
  <c r="AP53" i="58" l="1"/>
  <c r="AO82" i="58"/>
  <c r="AN71" i="58"/>
  <c r="AN78" i="58" s="1"/>
  <c r="AN83" i="58" s="1"/>
  <c r="AO77" i="58"/>
  <c r="AO70" i="58"/>
  <c r="AN72" i="58" l="1"/>
  <c r="AN86" i="58"/>
  <c r="AN87" i="58" s="1"/>
  <c r="AN90" i="58" s="1"/>
  <c r="AN88" i="58"/>
  <c r="AN84" i="58"/>
  <c r="AN89" i="58" s="1"/>
  <c r="AO71" i="58"/>
  <c r="AO78" i="58" s="1"/>
  <c r="AO83" i="58" s="1"/>
  <c r="AP55" i="58"/>
  <c r="AP82" i="58" s="1"/>
  <c r="AO86" i="58" l="1"/>
  <c r="AO87" i="58" s="1"/>
  <c r="AO90" i="58" s="1"/>
  <c r="AO84" i="58"/>
  <c r="AO89" i="58" s="1"/>
  <c r="AO88" i="58"/>
  <c r="AP56" i="58"/>
  <c r="AP69" i="58" s="1"/>
  <c r="AO72" i="58"/>
  <c r="AP77" i="58" l="1"/>
  <c r="AP70" i="58"/>
  <c r="AP71" i="58" l="1"/>
  <c r="AP78" i="58" s="1"/>
  <c r="AP83" i="58" s="1"/>
  <c r="AP86" i="58" l="1"/>
  <c r="AP87" i="58" s="1"/>
  <c r="AP88" i="58"/>
  <c r="AP84" i="58"/>
  <c r="AP89" i="58" s="1"/>
  <c r="AP72" i="58"/>
  <c r="A101" i="58" l="1"/>
  <c r="B102" i="58" s="1"/>
  <c r="AP90" i="58"/>
</calcChain>
</file>

<file path=xl/sharedStrings.xml><?xml version="1.0" encoding="utf-8"?>
<sst xmlns="http://schemas.openxmlformats.org/spreadsheetml/2006/main" count="1256" uniqueCount="758">
  <si>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</si>
  <si>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</si>
  <si>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</si>
  <si>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</si>
  <si>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</si>
  <si>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</si>
  <si>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</si>
  <si>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</si>
  <si>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</si>
  <si>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</si>
  <si>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</si>
  <si>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</si>
  <si>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</si>
  <si>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</si>
  <si>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</si>
  <si>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</si>
  <si>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</si>
  <si>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</si>
  <si>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</si>
  <si>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</si>
  <si>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</si>
  <si>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</si>
  <si>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</si>
  <si>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</si>
  <si>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</si>
  <si>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</si>
  <si>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</si>
  <si>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</si>
  <si>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</si>
  <si>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</si>
  <si>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</si>
  <si>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</si>
  <si>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</si>
  <si>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</si>
  <si>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</si>
  <si>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</si>
  <si>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</si>
  <si>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</si>
  <si>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</si>
  <si>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</si>
  <si>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</si>
  <si>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</si>
  <si>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</si>
  <si>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</si>
  <si>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</si>
  <si>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</si>
  <si>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</si>
  <si>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</si>
  <si>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</si>
  <si>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</si>
  <si>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</si>
  <si>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</si>
  <si>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</si>
  <si>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</si>
  <si>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</si>
  <si>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</si>
  <si>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</si>
  <si>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</si>
  <si>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</si>
  <si>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</si>
  <si>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</si>
  <si>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</si>
  <si>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</si>
  <si>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</si>
  <si>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</si>
  <si>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</si>
  <si>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</si>
  <si>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</si>
  <si>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</si>
  <si>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</si>
  <si>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</si>
  <si>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</si>
  <si>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</si>
  <si>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</si>
  <si>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</si>
  <si>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</si>
  <si>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</si>
  <si>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</si>
  <si>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</si>
  <si>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</si>
  <si>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</si>
  <si>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</si>
  <si>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</si>
  <si>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</si>
  <si>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</si>
  <si>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</si>
  <si>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</si>
  <si>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</si>
  <si>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</si>
  <si>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</si>
  <si>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</si>
  <si>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</si>
  <si>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</si>
  <si>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</si>
  <si>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</si>
  <si>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</si>
  <si>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</si>
  <si>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</si>
  <si>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</si>
  <si>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</si>
  <si>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</si>
  <si>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</si>
  <si>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</si>
  <si>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</si>
  <si>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</si>
  <si>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</si>
  <si>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</si>
  <si>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</si>
  <si>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</si>
  <si>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</si>
  <si>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</si>
  <si>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</si>
  <si>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</si>
  <si>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</si>
  <si>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</si>
  <si>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</si>
  <si>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</si>
  <si>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</si>
  <si>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</si>
  <si>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</si>
  <si>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</si>
  <si>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</si>
  <si>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</si>
  <si>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</si>
  <si>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</si>
  <si>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</si>
  <si>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</si>
  <si>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</si>
  <si>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</si>
  <si>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</si>
  <si>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</si>
  <si>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</si>
  <si>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</si>
  <si>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</si>
  <si>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</si>
  <si>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</si>
  <si>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</si>
  <si>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</si>
  <si>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</si>
  <si>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</si>
  <si>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</si>
  <si>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</si>
  <si>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</si>
  <si>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</si>
  <si>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</si>
  <si>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</si>
  <si>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</si>
  <si>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</si>
  <si>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</si>
  <si>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</si>
  <si>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</si>
  <si>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</si>
  <si>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</si>
  <si>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</si>
  <si>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</si>
  <si>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</si>
  <si>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</si>
  <si>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</si>
  <si>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</si>
  <si>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</si>
  <si>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</si>
  <si>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</si>
  <si>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</si>
  <si>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</si>
  <si>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</si>
  <si>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</si>
  <si>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</si>
  <si>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</si>
  <si>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</si>
  <si>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</si>
  <si>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</si>
  <si>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</si>
  <si>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</si>
  <si>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</si>
  <si>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</si>
  <si>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</si>
  <si>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</si>
  <si>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</si>
  <si>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</si>
  <si>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</si>
  <si>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</si>
  <si>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</si>
  <si>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</si>
  <si>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</si>
  <si>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</si>
  <si>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</si>
  <si>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</si>
  <si>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</si>
  <si>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</si>
  <si>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</si>
  <si>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</si>
  <si>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</si>
  <si>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</si>
  <si>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</si>
  <si>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</si>
  <si>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</si>
  <si>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</si>
  <si>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</si>
  <si>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</si>
  <si>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</si>
  <si>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</si>
  <si>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</si>
  <si>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</si>
  <si>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</si>
  <si>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</si>
  <si>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</si>
  <si>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</si>
  <si>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</si>
  <si>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</si>
  <si>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</si>
  <si>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</si>
  <si>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</si>
  <si>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</si>
  <si>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</si>
  <si>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</si>
  <si>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</si>
  <si>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</si>
  <si>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</si>
  <si>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</si>
  <si>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</si>
  <si>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</si>
  <si>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</si>
  <si>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</si>
  <si>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</si>
  <si>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</si>
  <si>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</si>
  <si>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</si>
  <si>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</si>
  <si>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</si>
  <si>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</si>
  <si>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</si>
  <si>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</si>
  <si>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</si>
  <si>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</si>
  <si>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</si>
  <si>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</si>
  <si>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</si>
  <si>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</si>
  <si>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</si>
  <si>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</si>
  <si>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</si>
  <si>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</si>
  <si>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</si>
  <si>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</si>
  <si>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</si>
  <si>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</si>
  <si>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</si>
  <si>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</si>
  <si>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</si>
  <si>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</si>
  <si>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</si>
  <si>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</si>
  <si>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</si>
  <si>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</si>
  <si>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</si>
  <si>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</si>
  <si>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</si>
  <si>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</si>
  <si>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</si>
  <si>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</si>
  <si>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</si>
  <si>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</si>
  <si>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</si>
  <si>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</si>
  <si>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</si>
  <si>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</si>
  <si>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</si>
  <si>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</si>
  <si>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</si>
  <si>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</si>
  <si>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</si>
  <si>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</si>
  <si>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</si>
  <si>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</si>
  <si>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</si>
  <si>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</si>
  <si>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</si>
  <si>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</si>
  <si>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</si>
  <si>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</si>
  <si>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</si>
  <si>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</si>
  <si>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</si>
  <si>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</si>
  <si>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</si>
  <si>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</si>
  <si>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</si>
  <si>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</si>
  <si>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</si>
  <si>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</si>
  <si>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</si>
  <si>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</si>
  <si>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</si>
  <si>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</si>
  <si>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</si>
  <si>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</si>
  <si>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</si>
  <si>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</si>
  <si>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</si>
  <si>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</si>
  <si>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</si>
  <si>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</si>
  <si>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</si>
  <si>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</si>
  <si>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</si>
  <si>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</si>
  <si>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</si>
  <si>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</si>
  <si>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</si>
  <si>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</si>
  <si>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</si>
  <si>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</si>
  <si>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</si>
  <si>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</si>
  <si>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</si>
  <si>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</si>
  <si>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</si>
  <si>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</si>
  <si>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</si>
  <si>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</si>
  <si>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</si>
  <si>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</si>
  <si>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</si>
  <si>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</si>
  <si>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</si>
  <si>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</si>
  <si>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</si>
  <si>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</si>
  <si>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</si>
  <si>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</si>
  <si>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</si>
  <si>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</si>
  <si>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</si>
  <si>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</si>
  <si>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</si>
  <si>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</si>
  <si>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</si>
  <si>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</si>
  <si>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</si>
  <si>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</si>
  <si>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</si>
  <si>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</si>
  <si>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</si>
  <si>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</si>
  <si>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</si>
  <si>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</si>
  <si>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</si>
  <si>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</si>
  <si>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</si>
  <si>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</si>
  <si>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</si>
  <si>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</si>
  <si>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</si>
  <si>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</si>
  <si>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</si>
  <si>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</si>
  <si>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</si>
  <si>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</si>
  <si>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</si>
  <si>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</si>
  <si>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</si>
  <si>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</si>
  <si>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</si>
  <si>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</si>
  <si>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</si>
  <si>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</si>
  <si>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</si>
  <si>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</si>
  <si>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</si>
  <si>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</si>
  <si>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</si>
  <si>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</si>
  <si>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</si>
  <si>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</si>
  <si>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</si>
  <si>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</si>
  <si>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</si>
  <si>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</si>
  <si>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</si>
  <si>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</si>
  <si>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</si>
  <si>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</si>
  <si>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</si>
  <si>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</si>
  <si>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</si>
  <si>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</si>
  <si>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</si>
  <si>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</si>
  <si>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</si>
  <si>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</si>
  <si>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</si>
  <si>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</si>
  <si>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</si>
  <si>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</si>
  <si>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</si>
  <si>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</si>
  <si>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</si>
  <si>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</si>
  <si>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</si>
  <si>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</si>
  <si>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</si>
  <si>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</si>
  <si>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</si>
  <si>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</si>
  <si>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</si>
  <si>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</si>
  <si>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</si>
  <si>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</si>
  <si>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</si>
  <si>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</si>
  <si>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</si>
  <si>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</si>
  <si>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</si>
  <si>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</si>
  <si>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</si>
  <si>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</si>
  <si>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</si>
  <si>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</si>
  <si>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</si>
  <si>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</si>
  <si>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</si>
  <si>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</si>
  <si>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</si>
  <si>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</si>
  <si>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</si>
  <si>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</si>
  <si>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</si>
  <si>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</si>
  <si>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</si>
  <si>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</si>
  <si>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</si>
  <si>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</si>
  <si>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</si>
  <si>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</si>
  <si>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</si>
  <si>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</si>
  <si>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</si>
  <si>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</si>
  <si>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</si>
  <si>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</si>
  <si>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</si>
  <si>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</si>
  <si>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</si>
  <si>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</si>
  <si>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</si>
  <si>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</si>
  <si>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</si>
  <si>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</si>
  <si>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</si>
  <si>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</si>
  <si>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</si>
  <si>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</si>
  <si>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</si>
  <si>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</si>
  <si>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</si>
  <si>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</si>
  <si>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</si>
  <si>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</si>
  <si>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</si>
  <si>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</si>
  <si>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</si>
  <si>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</si>
  <si>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</si>
  <si>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</si>
  <si>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</si>
  <si>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</si>
  <si>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</si>
  <si>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</si>
  <si>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</si>
  <si>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</si>
  <si>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</si>
  <si>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</si>
  <si>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</si>
  <si>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</si>
  <si>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</si>
  <si>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</si>
  <si>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</si>
  <si>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</si>
  <si>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</si>
  <si>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</si>
  <si>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</si>
  <si>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</si>
  <si>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</si>
  <si>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</si>
  <si>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</si>
  <si>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</si>
  <si>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</si>
  <si>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</si>
  <si>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</si>
  <si>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</si>
  <si>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</si>
  <si>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</si>
  <si>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</si>
  <si>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</si>
  <si>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</si>
  <si>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</si>
  <si>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</si>
  <si>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</si>
  <si>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</si>
  <si>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</si>
  <si>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</si>
  <si>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</si>
  <si>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</si>
  <si>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</si>
  <si>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</si>
  <si>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</si>
  <si>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</si>
  <si>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</si>
  <si>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</si>
  <si>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</si>
  <si>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</si>
  <si>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</si>
  <si>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</si>
  <si>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</si>
  <si>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</si>
  <si>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</si>
  <si>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</si>
  <si>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</si>
  <si>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</si>
  <si>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</si>
  <si>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</si>
  <si>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</si>
  <si>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</si>
  <si>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</si>
  <si>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</si>
  <si>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</si>
  <si>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</si>
  <si>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</si>
  <si>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</si>
  <si>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</si>
  <si>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</si>
  <si>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</si>
  <si>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</si>
  <si>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</si>
  <si>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</si>
  <si>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</si>
  <si>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</si>
  <si>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</si>
  <si>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</si>
  <si>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</si>
  <si>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</si>
  <si>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</si>
  <si>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</si>
  <si>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</si>
  <si>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</si>
  <si>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</si>
  <si>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</si>
  <si>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</si>
  <si>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</si>
  <si>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</si>
  <si>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</si>
  <si>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</si>
  <si>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</si>
  <si>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</si>
  <si>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</si>
  <si>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</si>
  <si>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</si>
  <si>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</si>
  <si>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</si>
  <si>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</si>
  <si>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</si>
  <si>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</si>
  <si>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</si>
  <si>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</si>
  <si>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</si>
  <si>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</si>
  <si>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</si>
  <si>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</si>
  <si>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</si>
  <si>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</si>
  <si>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</si>
  <si>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</si>
  <si>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</si>
  <si>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</si>
  <si>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</si>
  <si>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</si>
  <si>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</si>
  <si>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</si>
  <si>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</si>
  <si>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</si>
  <si>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</si>
  <si>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</si>
  <si>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</si>
  <si>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</si>
  <si>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</si>
  <si>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</si>
  <si>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</si>
  <si>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</si>
  <si>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</si>
  <si>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</si>
  <si>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</si>
  <si>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</si>
  <si>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</si>
  <si>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</si>
  <si>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</si>
  <si>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</si>
  <si>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</si>
  <si>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</si>
  <si>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</si>
  <si>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</si>
  <si>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</si>
  <si>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</si>
  <si>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</si>
  <si>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</si>
  <si>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</si>
  <si>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</si>
  <si>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</si>
  <si>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</si>
  <si>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</si>
  <si>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</si>
  <si>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</si>
  <si>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</si>
  <si>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</si>
  <si>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</si>
  <si>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</si>
  <si>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</si>
  <si>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</si>
  <si>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</si>
  <si>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</si>
  <si>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</si>
  <si>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</si>
  <si>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</si>
  <si>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</si>
  <si>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</si>
  <si>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</si>
  <si>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</si>
  <si>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</si>
  <si>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</si>
  <si>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</si>
  <si>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</si>
  <si>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</si>
  <si>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</si>
  <si>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</si>
  <si>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</si>
  <si>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</si>
  <si>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</si>
  <si>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</si>
  <si>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</si>
  <si>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</si>
  <si>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</si>
  <si>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</si>
  <si>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</si>
  <si>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</si>
  <si>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</si>
  <si>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</si>
  <si>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2017 год</t>
  </si>
  <si>
    <t>2018 год</t>
  </si>
  <si>
    <t>2019 год</t>
  </si>
  <si>
    <t>нд</t>
  </si>
  <si>
    <t>КЛ</t>
  </si>
  <si>
    <t>договоры технологического присоединения</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</si>
  <si>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</si>
  <si>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</si>
  <si>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</si>
  <si>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</si>
  <si>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</si>
  <si>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</si>
  <si>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</si>
  <si>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</si>
  <si>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</si>
  <si>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</si>
  <si>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</si>
  <si>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</si>
  <si>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</si>
  <si>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</si>
  <si>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</si>
  <si>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</si>
  <si>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</si>
  <si>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</si>
  <si>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</si>
  <si>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</si>
  <si>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 траншее</t>
  </si>
  <si>
    <t>H_17-0361</t>
  </si>
  <si>
    <t>Строительство РП 15 кВ, КЛ 15кВ от ПС В-67 (инв. № 5147867), КЛ 15 кВ от абонентской КТП № 7 в г. Пионерском, ул. Портовая</t>
  </si>
  <si>
    <t>2748/05/16 от 27.12.2016</t>
  </si>
  <si>
    <t>В КС...</t>
  </si>
  <si>
    <t>238590, Калининградская обл, Пионерский г, Портовая ул, 1</t>
  </si>
  <si>
    <t>Международный морской терминал</t>
  </si>
  <si>
    <t xml:space="preserve">7.1.Нижние контактные соединения выключателя (В) в ячейке КЛ 15 кВ на I секции РУ 15 кВ РПнового (п. 10.1)    </t>
  </si>
  <si>
    <t>15 кВ</t>
  </si>
  <si>
    <t>В доступном для эксплуатационно-технического обслуживания персоналом Филиала АО ''Янтарьэнерго'' ''Западные электрические сети'' месте, построить 2-х секционный распределительный пункт 15 кВ (тип РП, оборудования, количество ячеек определить на стадии проектирования)., Выполнить проектирование, монтаж КЛ 15 кВ (ориентировочно 1,0 км) кабелем с изоляцией из сшитого полиэтилена расчетного сечения от I секции РУ 15 кВ ПС В-67 до I секции РПновый (п. 10.1),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Проложить КЛ 15 кВ (ориентировочно 2,1 км) от РУ 15 кВ КТП №7 до II секции РПновый (п. 10.1) в соответствии с Договором №03-07/16ТП об осуществлении технологического присоединения к электрическим сетям АО «Западная энергетическая компания»., Существующие кабельные линии КЛ 15-315 и КЛ 15-316 вывести из РП В-66 и вывести из работы., Объём работ по выполнению пп.10.1, 10.2, 10.4 определить техническим заданием (ТЗ).</t>
  </si>
  <si>
    <t>КЛ 15 кВ</t>
  </si>
  <si>
    <t>КЛ 15 кВ РП 15 кВ новый- ПС В-67</t>
  </si>
  <si>
    <t>РП 15 кВ новый</t>
  </si>
  <si>
    <t>КРУ-15 "D-24PL"</t>
  </si>
  <si>
    <t>2 линейных, 
2 вводных, 
1 СВ</t>
  </si>
  <si>
    <t>Строительство РП 15 кВ, КЛ 15кВ от ПС В-67 (инв. № 5147867), КЛ 15 кВ от абонентской КТП № 7  протяженностью 0,541 км в г. Пионерском, ул. Портовая</t>
  </si>
  <si>
    <t>2,72 млн.руб./км</t>
  </si>
  <si>
    <t>КРУ 15 кВ -5 шт.</t>
  </si>
  <si>
    <t>0,541 (0,541) км</t>
  </si>
  <si>
    <t>КалининградПромСтройПроект договор № 536 от 11.07.2017</t>
  </si>
  <si>
    <t>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</si>
  <si>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</si>
  <si>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</si>
  <si>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ПСД, утв. Приказом 62 от 31.01.2018</t>
  </si>
  <si>
    <t>новое строительство</t>
  </si>
  <si>
    <t>Возможно реализовать в установленный срок</t>
  </si>
  <si>
    <t>Сметная стоимость проекта в ценах 2019 года с НДС, млн. руб.</t>
  </si>
  <si>
    <t>ГП</t>
  </si>
  <si>
    <t>Поставк и монтаж на подготовленный фундамент РП 15 кВ для объекта  «Строительство РП 15 кВ, КЛ 15кВ от ПС В-67 (инв. № 5147867), КЛ 15 кВ от абонентской КТП № 7 в г. Пионерском, ул. Портовая»</t>
  </si>
  <si>
    <t>ПСД</t>
  </si>
  <si>
    <t>ВЗ</t>
  </si>
  <si>
    <t>ООК ЕП</t>
  </si>
  <si>
    <t>"Элмонт" ООО</t>
  </si>
  <si>
    <t>996946</t>
  </si>
  <si>
    <t>b2b-mrsk.ru</t>
  </si>
  <si>
    <t>21.05.2018</t>
  </si>
  <si>
    <t>"Орион" ООО</t>
  </si>
  <si>
    <t>"Легир Плюс" ООО</t>
  </si>
  <si>
    <t>"БалтЭнергоМаш" ООО</t>
  </si>
  <si>
    <t>"ТЭ СПб" ООО</t>
  </si>
  <si>
    <t>СМР</t>
  </si>
  <si>
    <t xml:space="preserve">Выполнение строительно-монтажных работ по объекту «Строительство РП 15 кВ, КЛ 15кВ от ПС В-67 (инв. № 5147867), КЛ 15 кВ от абонентской КТП № 7 в г. Пионерском, ул. Портовая». </t>
  </si>
  <si>
    <t>ОЗП ЕП</t>
  </si>
  <si>
    <t>1024189</t>
  </si>
  <si>
    <t>18.07.2018</t>
  </si>
  <si>
    <t>ПИР</t>
  </si>
  <si>
    <t>РРД по объекту «Строительство РП 15 кВ, КЛ 15кВ от ПС В-67 (инв. № 5147867), КЛ 15 кВ от абонентской КТП № 7 в г. Пионерском, ул. Портовая».</t>
  </si>
  <si>
    <t>УР</t>
  </si>
  <si>
    <t>ОЗП</t>
  </si>
  <si>
    <t>"КПСП" ООО</t>
  </si>
  <si>
    <t>31705123000</t>
  </si>
  <si>
    <t>rosseti.ru</t>
  </si>
  <si>
    <t>17.07.2017</t>
  </si>
  <si>
    <t>НДС не предусмотрен</t>
  </si>
  <si>
    <t>"ОЭнТ-Центр" ООО</t>
  </si>
  <si>
    <t>"ОРИОН" ООО</t>
  </si>
  <si>
    <t>ООО "Элмонт" договор № 649 от 08.06.2018</t>
  </si>
  <si>
    <t>РП 15 кВ с КРУ-15 "D-24PL"</t>
  </si>
  <si>
    <t>ООО "Элмонт" договор № 649 от 08.06.2018 в ценах 2019 года с НДС, млн. руб.</t>
  </si>
  <si>
    <t>д/с 1 от 29.10.2018, д/с 2 от 13.05.2019</t>
  </si>
  <si>
    <t xml:space="preserve"> по состоянию на 01.01.2020</t>
  </si>
  <si>
    <t xml:space="preserve">факт 2020 года </t>
  </si>
  <si>
    <t>2021 год</t>
  </si>
  <si>
    <t>2022 год</t>
  </si>
  <si>
    <t>2023 год</t>
  </si>
  <si>
    <t>ФГУП "Росморпорт" договор № КУ-211/17 от 01.12.2017 в ценах 2017 года с НДС, млн. руб.</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</si>
  <si>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</si>
  <si>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</si>
  <si>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</si>
  <si>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2019 года с НДС, млн рублей</t>
  </si>
  <si>
    <t>ООО "Элмонт" договор № 994 от 18.07.2018, д/с 1 от 29.10.2018, д/с 2 от 13.05.2019 в ценах 2018 года с НДС, млн. руб.</t>
  </si>
  <si>
    <t>ООО "ГЕОИД" договор № 504 от 14.05.2018 в ценах 2018 года без НДС, млн. руб.</t>
  </si>
  <si>
    <t>АО "ЗАПАДНАЯ ЭНЕРГЕТИЧЕСКАЯ КОМПАНИЯ" договор № 03-07/16ТП от 06.03.2017 в ценах 2017 года с НДС, млн. руб.</t>
  </si>
  <si>
    <t>ООО "ЕВРОПА" договор № 31807063135 от 17.01.2019 в ценах 2019 года без НДС, млн. руб.</t>
  </si>
  <si>
    <t>ООО "ЭНЕРГОМАШ-РЗА" без договора в ценах 2019 года с НДС, млн рублей</t>
  </si>
  <si>
    <t>ООО "Таврида Электрик СПб" без договора в ценах 2019 года без НДС, млн рублей</t>
  </si>
  <si>
    <t>ООО "Таврида Электрик СПб" договор № Д-155 К-14 от 11.06.20214 в ценах 2014 года без НДС, млн рублей</t>
  </si>
  <si>
    <t>Содержание дирекции заказчика-застройщика в ценах 2019, 2021 годов с НДС, млн рублей</t>
  </si>
  <si>
    <t>ИП Боброва Светлана Анатольевна без договора в ценах 2021 года с НДС, млн. руб.</t>
  </si>
  <si>
    <t>ООО "АПАТИТ" договор № 031/20 от 31.03.2021 в ценах 2021 года без НДС, млн. руб.</t>
  </si>
  <si>
    <t xml:space="preserve">ООО "Элмонт" договор № 994 от 18.07.2018, д/с 1 от 29.10.2018, д/с 2 от 13.05.2019; ООО "АПАТИТ" договор № 031/20 от 31.03.2021 </t>
  </si>
  <si>
    <t>Год раскрытия информации: 2023 год</t>
  </si>
  <si>
    <t>2023</t>
  </si>
  <si>
    <t>КалининградПромСтройПроект договор № 536 от 11.07.2017 в ценах 2017 года без НДС, млн. руб.</t>
  </si>
  <si>
    <t>ООО "КалининградЭнергоСервис" без договора в ценах 2019 года без НДС, млн. руб.</t>
  </si>
  <si>
    <t xml:space="preserve"> по состоянию на 01.01.2023</t>
  </si>
  <si>
    <t>Акционерное общество "Россети Янтарь" ДЗО  ПАО "Россети"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</si>
</sst>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cellStyleXfs>
  <cellXfs count="5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50" xfId="62" applyFont="1" applyFill="1" applyBorder="1"/>
    <xf numFmtId="0" fontId="62" fillId="0" borderId="50" xfId="62" applyFont="1" applyFill="1" applyBorder="1"/>
    <xf numFmtId="10" fontId="62" fillId="0" borderId="50" xfId="62" applyNumberFormat="1" applyFont="1" applyFill="1" applyBorder="1"/>
    <xf numFmtId="0" fontId="11" fillId="0" borderId="1" xfId="62" applyFont="1" applyBorder="1" applyAlignment="1">
      <alignment horizontal="center" vertical="center" wrapText="1"/>
    </xf>
    <xf numFmtId="2" fontId="37" fillId="0" borderId="1" xfId="49" applyNumberFormat="1" applyFont="1" applyBorder="1" applyAlignment="1">
      <alignment horizontal="center" vertical="center" wrapText="1"/>
    </xf>
    <xf numFmtId="0" fontId="39" fillId="0" borderId="1" xfId="1" applyFont="1" applyBorder="1" applyAlignment="1">
      <alignment horizontal="center" vertical="center" wrapText="1"/>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7" fillId="0" borderId="47"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76" fontId="40" fillId="0" borderId="33" xfId="2" applyNumberFormat="1" applyFont="1" applyFill="1" applyBorder="1" applyAlignment="1">
      <alignment vertical="top" wrapText="1"/>
    </xf>
    <xf numFmtId="14" fontId="40" fillId="0" borderId="35"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68" fontId="36" fillId="0" borderId="0" xfId="49" applyNumberFormat="1" applyFont="1"/>
    <xf numFmtId="4" fontId="42" fillId="0" borderId="39"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43" fontId="11" fillId="0" borderId="0" xfId="71" applyFont="1" applyFill="1"/>
    <xf numFmtId="43" fontId="11" fillId="0" borderId="0" xfId="2" applyNumberFormat="1" applyFill="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76"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3549-4DD0-AF23-66CA57A7CAE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3549-4DD0-AF23-66CA57A7CAE8}"/>
            </c:ext>
          </c:extLst>
        </c:ser>
        <c:dLbls>
          <c:showLegendKey val="0"/>
          <c:showVal val="0"/>
          <c:showCatName val="0"/>
          <c:showSerName val="0"/>
          <c:showPercent val="0"/>
          <c:showBubbleSize val="0"/>
        </c:dLbls>
        <c:smooth val="0"/>
        <c:axId val="227471696"/>
        <c:axId val="227471304"/>
      </c:lineChart>
      <c:catAx>
        <c:axId val="227471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471304"/>
        <c:crosses val="autoZero"/>
        <c:auto val="1"/>
        <c:lblAlgn val="ctr"/>
        <c:lblOffset val="100"/>
        <c:noMultiLvlLbl val="0"/>
      </c:catAx>
      <c:valAx>
        <c:axId val="227471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7471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07" customWidth="1"/>
    <col min="2" max="2" width="53.5703125" style="307" customWidth="1"/>
    <col min="3" max="3" width="86.710937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4" customFormat="1" ht="18.75" customHeight="1" x14ac:dyDescent="0.2">
      <c r="A1" s="288"/>
      <c r="C1" s="289" t="s">
        <v>66</v>
      </c>
    </row>
    <row r="2" spans="1:22" s="14" customFormat="1" ht="18.75" customHeight="1" x14ac:dyDescent="0.3">
      <c r="A2" s="288"/>
      <c r="C2" s="290" t="s">
        <v>8</v>
      </c>
    </row>
    <row r="3" spans="1:22" s="14" customFormat="1" ht="18.75" x14ac:dyDescent="0.3">
      <c r="A3" s="291"/>
      <c r="C3" s="290" t="s">
        <v>65</v>
      </c>
    </row>
    <row r="4" spans="1:22" s="14" customFormat="1" ht="18.75" x14ac:dyDescent="0.3">
      <c r="A4" s="291"/>
      <c r="H4" s="290"/>
    </row>
    <row r="5" spans="1:22" s="14" customFormat="1" ht="15.75" x14ac:dyDescent="0.25">
      <c r="A5" s="415" t="s">
        <v>752</v>
      </c>
      <c r="B5" s="415"/>
      <c r="C5" s="415"/>
      <c r="D5" s="160"/>
      <c r="E5" s="160"/>
      <c r="F5" s="160"/>
      <c r="G5" s="160"/>
      <c r="H5" s="160"/>
      <c r="I5" s="160"/>
      <c r="J5" s="160"/>
    </row>
    <row r="6" spans="1:22" s="14" customFormat="1" ht="18.75" x14ac:dyDescent="0.3">
      <c r="A6" s="291"/>
      <c r="H6" s="290"/>
    </row>
    <row r="7" spans="1:22" s="14" customFormat="1" ht="18.75" x14ac:dyDescent="0.2">
      <c r="A7" s="419" t="s">
        <v>7</v>
      </c>
      <c r="B7" s="419"/>
      <c r="C7" s="419"/>
      <c r="D7" s="292"/>
      <c r="E7" s="292"/>
      <c r="F7" s="292"/>
      <c r="G7" s="292"/>
      <c r="H7" s="292"/>
      <c r="I7" s="292"/>
      <c r="J7" s="292"/>
      <c r="K7" s="292"/>
      <c r="L7" s="292"/>
      <c r="M7" s="292"/>
      <c r="N7" s="292"/>
      <c r="O7" s="292"/>
      <c r="P7" s="292"/>
      <c r="Q7" s="292"/>
      <c r="R7" s="292"/>
      <c r="S7" s="292"/>
      <c r="T7" s="292"/>
      <c r="U7" s="292"/>
      <c r="V7" s="292"/>
    </row>
    <row r="8" spans="1:22" s="14" customFormat="1" ht="18.75" x14ac:dyDescent="0.2">
      <c r="A8" s="293"/>
      <c r="B8" s="293"/>
      <c r="C8" s="293"/>
      <c r="D8" s="293"/>
      <c r="E8" s="293"/>
      <c r="F8" s="293"/>
      <c r="G8" s="293"/>
      <c r="H8" s="293"/>
      <c r="I8" s="292"/>
      <c r="J8" s="292"/>
      <c r="K8" s="292"/>
      <c r="L8" s="292"/>
      <c r="M8" s="292"/>
      <c r="N8" s="292"/>
      <c r="O8" s="292"/>
      <c r="P8" s="292"/>
      <c r="Q8" s="292"/>
      <c r="R8" s="292"/>
      <c r="S8" s="292"/>
      <c r="T8" s="292"/>
      <c r="U8" s="292"/>
      <c r="V8" s="292"/>
    </row>
    <row r="9" spans="1:22" s="14" customFormat="1" ht="18.75" x14ac:dyDescent="0.2">
      <c r="A9" s="420" t="s">
        <v>757</v>
      </c>
      <c r="B9" s="420"/>
      <c r="C9" s="420"/>
      <c r="D9" s="294"/>
      <c r="E9" s="294"/>
      <c r="F9" s="294"/>
      <c r="G9" s="294"/>
      <c r="H9" s="294"/>
      <c r="I9" s="292"/>
      <c r="J9" s="292"/>
      <c r="K9" s="292"/>
      <c r="L9" s="292"/>
      <c r="M9" s="292"/>
      <c r="N9" s="292"/>
      <c r="O9" s="292"/>
      <c r="P9" s="292"/>
      <c r="Q9" s="292"/>
      <c r="R9" s="292"/>
      <c r="S9" s="292"/>
      <c r="T9" s="292"/>
      <c r="U9" s="292"/>
      <c r="V9" s="292"/>
    </row>
    <row r="10" spans="1:22" s="14" customFormat="1" ht="18.75" x14ac:dyDescent="0.2">
      <c r="A10" s="416" t="s">
        <v>6</v>
      </c>
      <c r="B10" s="416"/>
      <c r="C10" s="416"/>
      <c r="D10" s="295"/>
      <c r="E10" s="295"/>
      <c r="F10" s="295"/>
      <c r="G10" s="295"/>
      <c r="H10" s="295"/>
      <c r="I10" s="292"/>
      <c r="J10" s="292"/>
      <c r="K10" s="292"/>
      <c r="L10" s="292"/>
      <c r="M10" s="292"/>
      <c r="N10" s="292"/>
      <c r="O10" s="292"/>
      <c r="P10" s="292"/>
      <c r="Q10" s="292"/>
      <c r="R10" s="292"/>
      <c r="S10" s="292"/>
      <c r="T10" s="292"/>
      <c r="U10" s="292"/>
      <c r="V10" s="292"/>
    </row>
    <row r="11" spans="1:22" s="14" customFormat="1" ht="18.75" x14ac:dyDescent="0.2">
      <c r="A11" s="293"/>
      <c r="B11" s="293"/>
      <c r="C11" s="293"/>
      <c r="D11" s="293"/>
      <c r="E11" s="293"/>
      <c r="F11" s="293"/>
      <c r="G11" s="293"/>
      <c r="H11" s="293"/>
      <c r="I11" s="292"/>
      <c r="J11" s="292"/>
      <c r="K11" s="292"/>
      <c r="L11" s="292"/>
      <c r="M11" s="292"/>
      <c r="N11" s="292"/>
      <c r="O11" s="292"/>
      <c r="P11" s="292"/>
      <c r="Q11" s="292"/>
      <c r="R11" s="292"/>
      <c r="S11" s="292"/>
      <c r="T11" s="292"/>
      <c r="U11" s="292"/>
      <c r="V11" s="292"/>
    </row>
    <row r="12" spans="1:22" s="14" customFormat="1" ht="18.75" x14ac:dyDescent="0.2">
      <c r="A12" s="418" t="s">
        <v>672</v>
      </c>
      <c r="B12" s="418"/>
      <c r="C12" s="418"/>
      <c r="D12" s="294"/>
      <c r="E12" s="294"/>
      <c r="F12" s="294"/>
      <c r="G12" s="294"/>
      <c r="H12" s="294"/>
      <c r="I12" s="292"/>
      <c r="J12" s="292"/>
      <c r="K12" s="292"/>
      <c r="L12" s="292"/>
      <c r="M12" s="292"/>
      <c r="N12" s="292"/>
      <c r="O12" s="292"/>
      <c r="P12" s="292"/>
      <c r="Q12" s="292"/>
      <c r="R12" s="292"/>
      <c r="S12" s="292"/>
      <c r="T12" s="292"/>
      <c r="U12" s="292"/>
      <c r="V12" s="292"/>
    </row>
    <row r="13" spans="1:22" s="14" customFormat="1" ht="18.75" x14ac:dyDescent="0.2">
      <c r="A13" s="416" t="s">
        <v>5</v>
      </c>
      <c r="B13" s="416"/>
      <c r="C13" s="416"/>
      <c r="D13" s="295"/>
      <c r="E13" s="295"/>
      <c r="F13" s="295"/>
      <c r="G13" s="295"/>
      <c r="H13" s="295"/>
      <c r="I13" s="292"/>
      <c r="J13" s="292"/>
      <c r="K13" s="292"/>
      <c r="L13" s="292"/>
      <c r="M13" s="292"/>
      <c r="N13" s="292"/>
      <c r="O13" s="292"/>
      <c r="P13" s="292"/>
      <c r="Q13" s="292"/>
      <c r="R13" s="292"/>
      <c r="S13" s="292"/>
      <c r="T13" s="292"/>
      <c r="U13" s="292"/>
      <c r="V13" s="292"/>
    </row>
    <row r="14" spans="1:22" s="296" customFormat="1" ht="15.75" customHeight="1" x14ac:dyDescent="0.2">
      <c r="A14" s="286"/>
      <c r="B14" s="286"/>
      <c r="C14" s="286"/>
      <c r="D14" s="286"/>
      <c r="E14" s="286"/>
      <c r="F14" s="286"/>
      <c r="G14" s="286"/>
      <c r="H14" s="286"/>
      <c r="I14" s="286"/>
      <c r="J14" s="286"/>
      <c r="K14" s="286"/>
      <c r="L14" s="286"/>
      <c r="M14" s="286"/>
      <c r="N14" s="286"/>
      <c r="O14" s="286"/>
      <c r="P14" s="286"/>
      <c r="Q14" s="286"/>
      <c r="R14" s="286"/>
      <c r="S14" s="286"/>
      <c r="T14" s="286"/>
      <c r="U14" s="286"/>
      <c r="V14" s="286"/>
    </row>
    <row r="15" spans="1:22" s="297" customFormat="1" ht="41.25" customHeight="1" x14ac:dyDescent="0.2">
      <c r="A15" s="421" t="s">
        <v>673</v>
      </c>
      <c r="B15" s="422"/>
      <c r="C15" s="422"/>
      <c r="D15" s="294"/>
      <c r="E15" s="294"/>
      <c r="F15" s="294"/>
      <c r="G15" s="294"/>
      <c r="H15" s="294"/>
      <c r="I15" s="294"/>
      <c r="J15" s="294"/>
      <c r="K15" s="294"/>
      <c r="L15" s="294"/>
      <c r="M15" s="294"/>
      <c r="N15" s="294"/>
      <c r="O15" s="294"/>
      <c r="P15" s="294"/>
      <c r="Q15" s="294"/>
      <c r="R15" s="294"/>
      <c r="S15" s="294"/>
      <c r="T15" s="294"/>
      <c r="U15" s="294"/>
      <c r="V15" s="294"/>
    </row>
    <row r="16" spans="1:22" s="297" customFormat="1" ht="15" customHeight="1" x14ac:dyDescent="0.2">
      <c r="A16" s="416" t="s">
        <v>4</v>
      </c>
      <c r="B16" s="416"/>
      <c r="C16" s="416"/>
      <c r="D16" s="295"/>
      <c r="E16" s="295"/>
      <c r="F16" s="295"/>
      <c r="G16" s="295"/>
      <c r="H16" s="295"/>
      <c r="I16" s="295"/>
      <c r="J16" s="295"/>
      <c r="K16" s="295"/>
      <c r="L16" s="295"/>
      <c r="M16" s="295"/>
      <c r="N16" s="295"/>
      <c r="O16" s="295"/>
      <c r="P16" s="295"/>
      <c r="Q16" s="295"/>
      <c r="R16" s="295"/>
      <c r="S16" s="295"/>
      <c r="T16" s="295"/>
      <c r="U16" s="295"/>
      <c r="V16" s="295"/>
    </row>
    <row r="17" spans="1:22" s="297" customFormat="1" ht="15" customHeight="1" x14ac:dyDescent="0.2">
      <c r="A17" s="298"/>
      <c r="B17" s="298"/>
      <c r="C17" s="298"/>
      <c r="D17" s="298"/>
      <c r="E17" s="298"/>
      <c r="F17" s="298"/>
      <c r="G17" s="298"/>
      <c r="H17" s="298"/>
      <c r="I17" s="298"/>
      <c r="J17" s="298"/>
      <c r="K17" s="298"/>
      <c r="L17" s="298"/>
      <c r="M17" s="298"/>
      <c r="N17" s="298"/>
      <c r="O17" s="298"/>
      <c r="P17" s="298"/>
      <c r="Q17" s="298"/>
      <c r="R17" s="298"/>
      <c r="S17" s="298"/>
    </row>
    <row r="18" spans="1:22" s="297" customFormat="1" ht="15" customHeight="1" x14ac:dyDescent="0.2">
      <c r="A18" s="417" t="s">
        <v>511</v>
      </c>
      <c r="B18" s="418"/>
      <c r="C18" s="418"/>
      <c r="D18" s="299"/>
      <c r="E18" s="299"/>
      <c r="F18" s="299"/>
      <c r="G18" s="299"/>
      <c r="H18" s="299"/>
      <c r="I18" s="299"/>
      <c r="J18" s="299"/>
      <c r="K18" s="299"/>
      <c r="L18" s="299"/>
      <c r="M18" s="299"/>
      <c r="N18" s="299"/>
      <c r="O18" s="299"/>
      <c r="P18" s="299"/>
      <c r="Q18" s="299"/>
      <c r="R18" s="299"/>
      <c r="S18" s="299"/>
      <c r="T18" s="299"/>
      <c r="U18" s="299"/>
      <c r="V18" s="299"/>
    </row>
    <row r="19" spans="1:22" s="297" customFormat="1" ht="15" customHeight="1" x14ac:dyDescent="0.2">
      <c r="A19" s="295"/>
      <c r="B19" s="295"/>
      <c r="C19" s="295"/>
      <c r="D19" s="295"/>
      <c r="E19" s="295"/>
      <c r="F19" s="295"/>
      <c r="G19" s="295"/>
      <c r="H19" s="295"/>
      <c r="I19" s="298"/>
      <c r="J19" s="298"/>
      <c r="K19" s="298"/>
      <c r="L19" s="298"/>
      <c r="M19" s="298"/>
      <c r="N19" s="298"/>
      <c r="O19" s="298"/>
      <c r="P19" s="298"/>
      <c r="Q19" s="298"/>
      <c r="R19" s="298"/>
      <c r="S19" s="298"/>
    </row>
    <row r="20" spans="1:22" s="297" customFormat="1" ht="39.75" customHeight="1" x14ac:dyDescent="0.2">
      <c r="A20" s="32" t="s">
        <v>3</v>
      </c>
      <c r="B20" s="300" t="s">
        <v>64</v>
      </c>
      <c r="C20" s="301" t="s">
        <v>63</v>
      </c>
      <c r="D20" s="302"/>
      <c r="E20" s="302"/>
      <c r="F20" s="302"/>
      <c r="G20" s="302"/>
      <c r="H20" s="302"/>
      <c r="I20" s="286"/>
      <c r="J20" s="286"/>
      <c r="K20" s="286"/>
      <c r="L20" s="286"/>
      <c r="M20" s="286"/>
      <c r="N20" s="286"/>
      <c r="O20" s="286"/>
      <c r="P20" s="286"/>
      <c r="Q20" s="286"/>
      <c r="R20" s="286"/>
      <c r="S20" s="286"/>
      <c r="T20" s="303"/>
      <c r="U20" s="303"/>
      <c r="V20" s="303"/>
    </row>
    <row r="21" spans="1:22" s="297" customFormat="1" ht="16.5" customHeight="1" x14ac:dyDescent="0.2">
      <c r="A21" s="301">
        <v>1</v>
      </c>
      <c r="B21" s="300">
        <v>2</v>
      </c>
      <c r="C21" s="301">
        <v>3</v>
      </c>
      <c r="D21" s="302"/>
      <c r="E21" s="302"/>
      <c r="F21" s="302"/>
      <c r="G21" s="302"/>
      <c r="H21" s="302"/>
      <c r="I21" s="286"/>
      <c r="J21" s="286"/>
      <c r="K21" s="286"/>
      <c r="L21" s="286"/>
      <c r="M21" s="286"/>
      <c r="N21" s="286"/>
      <c r="O21" s="286"/>
      <c r="P21" s="286"/>
      <c r="Q21" s="286"/>
      <c r="R21" s="286"/>
      <c r="S21" s="286"/>
      <c r="T21" s="303"/>
      <c r="U21" s="303"/>
      <c r="V21" s="303"/>
    </row>
    <row r="22" spans="1:22" s="297" customFormat="1" ht="39" customHeight="1" x14ac:dyDescent="0.2">
      <c r="A22" s="25" t="s">
        <v>62</v>
      </c>
      <c r="B22" s="304" t="s">
        <v>347</v>
      </c>
      <c r="C22" s="157" t="s">
        <v>586</v>
      </c>
      <c r="D22" s="302" t="s">
        <v>582</v>
      </c>
      <c r="E22" s="302"/>
      <c r="F22" s="302"/>
      <c r="G22" s="302"/>
      <c r="H22" s="302"/>
      <c r="I22" s="286"/>
      <c r="J22" s="286"/>
      <c r="K22" s="286"/>
      <c r="L22" s="286"/>
      <c r="M22" s="286"/>
      <c r="N22" s="286"/>
      <c r="O22" s="286"/>
      <c r="P22" s="286"/>
      <c r="Q22" s="286"/>
      <c r="R22" s="286"/>
      <c r="S22" s="286"/>
      <c r="T22" s="303"/>
      <c r="U22" s="303"/>
      <c r="V22" s="303"/>
    </row>
    <row r="23" spans="1:22" s="297" customFormat="1" ht="78.75" x14ac:dyDescent="0.2">
      <c r="A23" s="25" t="s">
        <v>61</v>
      </c>
      <c r="B23" s="33" t="s">
        <v>623</v>
      </c>
      <c r="C23" s="385" t="s">
        <v>692</v>
      </c>
      <c r="D23" s="302" t="s">
        <v>572</v>
      </c>
      <c r="E23" s="302"/>
      <c r="F23" s="302"/>
      <c r="G23" s="302"/>
      <c r="H23" s="302"/>
      <c r="I23" s="286"/>
      <c r="J23" s="286"/>
      <c r="K23" s="286"/>
      <c r="L23" s="286"/>
      <c r="M23" s="286"/>
      <c r="N23" s="286"/>
      <c r="O23" s="286"/>
      <c r="P23" s="286"/>
      <c r="Q23" s="286"/>
      <c r="R23" s="286"/>
      <c r="S23" s="286"/>
      <c r="T23" s="303"/>
      <c r="U23" s="303"/>
      <c r="V23" s="303"/>
    </row>
    <row r="24" spans="1:22" s="297" customFormat="1" ht="22.5" customHeight="1" x14ac:dyDescent="0.2">
      <c r="A24" s="412"/>
      <c r="B24" s="413"/>
      <c r="C24" s="414"/>
      <c r="D24" s="302"/>
      <c r="E24" s="302"/>
      <c r="F24" s="302"/>
      <c r="G24" s="302"/>
      <c r="H24" s="302"/>
      <c r="I24" s="286"/>
      <c r="J24" s="286"/>
      <c r="K24" s="286"/>
      <c r="L24" s="286"/>
      <c r="M24" s="286"/>
      <c r="N24" s="286"/>
      <c r="O24" s="286"/>
      <c r="P24" s="286"/>
      <c r="Q24" s="286"/>
      <c r="R24" s="286"/>
      <c r="S24" s="286"/>
      <c r="T24" s="303"/>
      <c r="U24" s="303"/>
      <c r="V24" s="303"/>
    </row>
    <row r="25" spans="1:22" s="297" customFormat="1" ht="58.5" customHeight="1" x14ac:dyDescent="0.2">
      <c r="A25" s="25" t="s">
        <v>60</v>
      </c>
      <c r="B25" s="157" t="s">
        <v>460</v>
      </c>
      <c r="C25" s="32" t="s">
        <v>648</v>
      </c>
      <c r="D25" s="302"/>
      <c r="E25" s="302"/>
      <c r="F25" s="302"/>
      <c r="G25" s="302"/>
      <c r="H25" s="286"/>
      <c r="I25" s="286"/>
      <c r="J25" s="286"/>
      <c r="K25" s="286"/>
      <c r="L25" s="286"/>
      <c r="M25" s="286"/>
      <c r="N25" s="286"/>
      <c r="O25" s="286"/>
      <c r="P25" s="286"/>
      <c r="Q25" s="286"/>
      <c r="R25" s="286"/>
      <c r="S25" s="303"/>
      <c r="T25" s="303"/>
      <c r="U25" s="303"/>
      <c r="V25" s="303"/>
    </row>
    <row r="26" spans="1:22" s="297" customFormat="1" ht="42.75" customHeight="1" x14ac:dyDescent="0.2">
      <c r="A26" s="25" t="s">
        <v>59</v>
      </c>
      <c r="B26" s="157" t="s">
        <v>72</v>
      </c>
      <c r="C26" s="32" t="s">
        <v>529</v>
      </c>
      <c r="D26" s="302"/>
      <c r="E26" s="302"/>
      <c r="F26" s="302"/>
      <c r="G26" s="302"/>
      <c r="H26" s="286"/>
      <c r="I26" s="286"/>
      <c r="J26" s="286"/>
      <c r="K26" s="286"/>
      <c r="L26" s="286"/>
      <c r="M26" s="286"/>
      <c r="N26" s="286"/>
      <c r="O26" s="286"/>
      <c r="P26" s="286"/>
      <c r="Q26" s="286"/>
      <c r="R26" s="286"/>
      <c r="S26" s="303"/>
      <c r="T26" s="303"/>
      <c r="U26" s="303"/>
      <c r="V26" s="303"/>
    </row>
    <row r="27" spans="1:22" s="297" customFormat="1" ht="51.75" customHeight="1" x14ac:dyDescent="0.2">
      <c r="A27" s="25" t="s">
        <v>57</v>
      </c>
      <c r="B27" s="157" t="s">
        <v>71</v>
      </c>
      <c r="C27" s="305" t="s">
        <v>631</v>
      </c>
      <c r="D27" s="302"/>
      <c r="E27" s="302"/>
      <c r="F27" s="302"/>
      <c r="G27" s="302"/>
      <c r="H27" s="286"/>
      <c r="I27" s="286"/>
      <c r="J27" s="286"/>
      <c r="K27" s="286"/>
      <c r="L27" s="286"/>
      <c r="M27" s="286"/>
      <c r="N27" s="286"/>
      <c r="O27" s="286"/>
      <c r="P27" s="286"/>
      <c r="Q27" s="286"/>
      <c r="R27" s="286"/>
      <c r="S27" s="303"/>
      <c r="T27" s="303"/>
      <c r="U27" s="303"/>
      <c r="V27" s="303"/>
    </row>
    <row r="28" spans="1:22" s="297" customFormat="1" ht="42.75" customHeight="1" x14ac:dyDescent="0.2">
      <c r="A28" s="25" t="s">
        <v>56</v>
      </c>
      <c r="B28" s="157" t="s">
        <v>461</v>
      </c>
      <c r="C28" s="32" t="s">
        <v>531</v>
      </c>
      <c r="D28" s="302"/>
      <c r="E28" s="302"/>
      <c r="F28" s="302"/>
      <c r="G28" s="302"/>
      <c r="H28" s="286"/>
      <c r="I28" s="286"/>
      <c r="J28" s="286"/>
      <c r="K28" s="286"/>
      <c r="L28" s="286"/>
      <c r="M28" s="286"/>
      <c r="N28" s="286"/>
      <c r="O28" s="286"/>
      <c r="P28" s="286"/>
      <c r="Q28" s="286"/>
      <c r="R28" s="286"/>
      <c r="S28" s="303"/>
      <c r="T28" s="303"/>
      <c r="U28" s="303"/>
      <c r="V28" s="303"/>
    </row>
    <row r="29" spans="1:22" s="297" customFormat="1" ht="51.75" customHeight="1" x14ac:dyDescent="0.2">
      <c r="A29" s="25" t="s">
        <v>54</v>
      </c>
      <c r="B29" s="157" t="s">
        <v>462</v>
      </c>
      <c r="C29" s="32" t="s">
        <v>531</v>
      </c>
      <c r="D29" s="302"/>
      <c r="E29" s="302"/>
      <c r="F29" s="302"/>
      <c r="G29" s="302"/>
      <c r="H29" s="286"/>
      <c r="I29" s="286"/>
      <c r="J29" s="286"/>
      <c r="K29" s="286"/>
      <c r="L29" s="286"/>
      <c r="M29" s="286"/>
      <c r="N29" s="286"/>
      <c r="O29" s="286"/>
      <c r="P29" s="286"/>
      <c r="Q29" s="286"/>
      <c r="R29" s="286"/>
      <c r="S29" s="303"/>
      <c r="T29" s="303"/>
      <c r="U29" s="303"/>
      <c r="V29" s="303"/>
    </row>
    <row r="30" spans="1:22" s="297" customFormat="1" ht="51.75" customHeight="1" x14ac:dyDescent="0.2">
      <c r="A30" s="25" t="s">
        <v>52</v>
      </c>
      <c r="B30" s="157" t="s">
        <v>463</v>
      </c>
      <c r="C30" s="32" t="s">
        <v>531</v>
      </c>
      <c r="D30" s="302"/>
      <c r="E30" s="302"/>
      <c r="F30" s="302"/>
      <c r="G30" s="302"/>
      <c r="H30" s="286"/>
      <c r="I30" s="286"/>
      <c r="J30" s="286"/>
      <c r="K30" s="286"/>
      <c r="L30" s="286"/>
      <c r="M30" s="286"/>
      <c r="N30" s="286"/>
      <c r="O30" s="286"/>
      <c r="P30" s="286"/>
      <c r="Q30" s="286"/>
      <c r="R30" s="286"/>
      <c r="S30" s="303"/>
      <c r="T30" s="303"/>
      <c r="U30" s="303"/>
      <c r="V30" s="303"/>
    </row>
    <row r="31" spans="1:22" s="297" customFormat="1" ht="51.75" customHeight="1" x14ac:dyDescent="0.2">
      <c r="A31" s="25" t="s">
        <v>70</v>
      </c>
      <c r="B31" s="157" t="s">
        <v>464</v>
      </c>
      <c r="C31" s="32" t="s">
        <v>531</v>
      </c>
      <c r="D31" s="302"/>
      <c r="E31" s="302"/>
      <c r="F31" s="302"/>
      <c r="G31" s="302"/>
      <c r="H31" s="286"/>
      <c r="I31" s="286"/>
      <c r="J31" s="286"/>
      <c r="K31" s="286"/>
      <c r="L31" s="286"/>
      <c r="M31" s="286"/>
      <c r="N31" s="286"/>
      <c r="O31" s="286"/>
      <c r="P31" s="286"/>
      <c r="Q31" s="286"/>
      <c r="R31" s="286"/>
      <c r="S31" s="303"/>
      <c r="T31" s="303"/>
      <c r="U31" s="303"/>
      <c r="V31" s="303"/>
    </row>
    <row r="32" spans="1:22" s="297" customFormat="1" ht="51.75" customHeight="1" x14ac:dyDescent="0.2">
      <c r="A32" s="25" t="s">
        <v>68</v>
      </c>
      <c r="B32" s="157" t="s">
        <v>465</v>
      </c>
      <c r="C32" s="32" t="s">
        <v>531</v>
      </c>
      <c r="D32" s="302"/>
      <c r="E32" s="302"/>
      <c r="F32" s="302"/>
      <c r="G32" s="302"/>
      <c r="H32" s="286"/>
      <c r="I32" s="286"/>
      <c r="J32" s="286"/>
      <c r="K32" s="286"/>
      <c r="L32" s="286"/>
      <c r="M32" s="286"/>
      <c r="N32" s="286"/>
      <c r="O32" s="286"/>
      <c r="P32" s="286"/>
      <c r="Q32" s="286"/>
      <c r="R32" s="286"/>
      <c r="S32" s="303"/>
      <c r="T32" s="303"/>
      <c r="U32" s="303"/>
      <c r="V32" s="303"/>
    </row>
    <row r="33" spans="1:22" s="297" customFormat="1" ht="101.25" customHeight="1" x14ac:dyDescent="0.2">
      <c r="A33" s="25" t="s">
        <v>67</v>
      </c>
      <c r="B33" s="157" t="s">
        <v>466</v>
      </c>
      <c r="C33" s="342" t="s">
        <v>693</v>
      </c>
      <c r="D33" s="302"/>
      <c r="E33" s="302"/>
      <c r="F33" s="302"/>
      <c r="G33" s="302"/>
      <c r="H33" s="286"/>
      <c r="I33" s="286"/>
      <c r="J33" s="286"/>
      <c r="K33" s="286"/>
      <c r="L33" s="286"/>
      <c r="M33" s="286"/>
      <c r="N33" s="286"/>
      <c r="O33" s="286"/>
      <c r="P33" s="286"/>
      <c r="Q33" s="286"/>
      <c r="R33" s="286"/>
      <c r="S33" s="303"/>
      <c r="T33" s="303"/>
      <c r="U33" s="303"/>
      <c r="V33" s="303"/>
    </row>
    <row r="34" spans="1:22" ht="111" customHeight="1" x14ac:dyDescent="0.25">
      <c r="A34" s="25" t="s">
        <v>480</v>
      </c>
      <c r="B34" s="157" t="s">
        <v>467</v>
      </c>
      <c r="C34" s="343" t="s">
        <v>531</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5" t="s">
        <v>470</v>
      </c>
      <c r="B35" s="157" t="s">
        <v>69</v>
      </c>
      <c r="C35" s="32" t="s">
        <v>635</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5" t="s">
        <v>481</v>
      </c>
      <c r="B36" s="157" t="s">
        <v>468</v>
      </c>
      <c r="C36" s="32" t="s">
        <v>531</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5" t="s">
        <v>471</v>
      </c>
      <c r="B37" s="157" t="s">
        <v>469</v>
      </c>
      <c r="C37" s="32" t="s">
        <v>532</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5" t="s">
        <v>482</v>
      </c>
      <c r="B38" s="157" t="s">
        <v>228</v>
      </c>
      <c r="C38" s="32" t="s">
        <v>635</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412"/>
      <c r="B39" s="413"/>
      <c r="C39" s="414"/>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5" t="s">
        <v>472</v>
      </c>
      <c r="B40" s="157" t="s">
        <v>524</v>
      </c>
      <c r="C40" s="308" t="str">
        <f>CONCATENATE("∆L15тп_лэп = ",'3.2 паспорт Техсостояние ЛЭП'!R25," км; SТПпотр=",ROUND('2. паспорт  ТП'!H23,3)," МВт; Nсд_тпр=",'2. паспорт  ТП'!A22," договор; Фтз=",ROUND('5. анализ эконом эфф'!B122,2)," млн.руб.")</f>
        <v>∆L15тп_лэп = 0,541 км; SТПпотр=2,729 МВт; Nсд_тпр=1 договор; Фтз=47,19 млн.руб.</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5" t="s">
        <v>483</v>
      </c>
      <c r="B41" s="157" t="s">
        <v>506</v>
      </c>
      <c r="C41" s="308" t="s">
        <v>636</v>
      </c>
      <c r="D41" s="306" t="s">
        <v>643</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5" t="s">
        <v>473</v>
      </c>
      <c r="B42" s="157" t="s">
        <v>521</v>
      </c>
      <c r="C42" s="308" t="s">
        <v>636</v>
      </c>
      <c r="D42" s="306" t="s">
        <v>643</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5" t="s">
        <v>486</v>
      </c>
      <c r="B43" s="157" t="s">
        <v>487</v>
      </c>
      <c r="C43" s="308" t="s">
        <v>648</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5" t="s">
        <v>474</v>
      </c>
      <c r="B44" s="157" t="s">
        <v>512</v>
      </c>
      <c r="C44" s="308" t="s">
        <v>648</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5" t="s">
        <v>507</v>
      </c>
      <c r="B45" s="157" t="s">
        <v>513</v>
      </c>
      <c r="C45" s="308" t="s">
        <v>648</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5" t="s">
        <v>475</v>
      </c>
      <c r="B46" s="157" t="s">
        <v>514</v>
      </c>
      <c r="C46" s="308" t="s">
        <v>648</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412"/>
      <c r="B47" s="413"/>
      <c r="C47" s="414"/>
      <c r="D47" s="306"/>
      <c r="E47" s="306"/>
      <c r="F47" s="306"/>
      <c r="G47" s="306"/>
      <c r="H47" s="306"/>
      <c r="I47" s="306"/>
      <c r="J47" s="306"/>
      <c r="K47" s="306"/>
      <c r="L47" s="306"/>
      <c r="M47" s="306"/>
      <c r="N47" s="306"/>
      <c r="O47" s="306"/>
      <c r="P47" s="306"/>
      <c r="Q47" s="306"/>
      <c r="R47" s="306"/>
      <c r="S47" s="306"/>
      <c r="T47" s="306"/>
      <c r="U47" s="306"/>
      <c r="V47" s="306"/>
    </row>
    <row r="48" spans="1:22" ht="75.75" customHeight="1" x14ac:dyDescent="0.25">
      <c r="A48" s="25" t="s">
        <v>508</v>
      </c>
      <c r="B48" s="157" t="s">
        <v>522</v>
      </c>
      <c r="C48" s="309" t="str">
        <f>CONCATENATE(ROUND('6.2. Паспорт фин осв ввод'!AG24,2)," млн.руб.")</f>
        <v>1,62 млн.руб.</v>
      </c>
      <c r="D48" s="306"/>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5" t="s">
        <v>476</v>
      </c>
      <c r="B49" s="157" t="s">
        <v>523</v>
      </c>
      <c r="C49" s="309" t="str">
        <f>CONCATENATE(ROUND('6.2. Паспорт фин осв ввод'!AG30,2)," млн.руб.")</f>
        <v>1,56 млн.руб.</v>
      </c>
      <c r="D49" s="306"/>
      <c r="E49" s="306"/>
      <c r="F49" s="306"/>
      <c r="G49" s="306"/>
      <c r="H49" s="306"/>
      <c r="I49" s="306"/>
      <c r="J49" s="306"/>
      <c r="K49" s="306"/>
      <c r="L49" s="306"/>
      <c r="M49" s="306"/>
      <c r="N49" s="306"/>
      <c r="O49" s="306"/>
      <c r="P49" s="306"/>
      <c r="Q49" s="306"/>
      <c r="R49" s="306"/>
      <c r="S49" s="306"/>
      <c r="T49" s="306"/>
      <c r="U49" s="306"/>
      <c r="V49" s="306"/>
    </row>
    <row r="50" spans="1:22"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row>
    <row r="51" spans="1:22"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2" sqref="A2"/>
      <selection pane="topRight" activeCell="A2" sqref="A2"/>
      <selection pane="bottomLeft" activeCell="A2" sqref="A2"/>
      <selection pane="bottomRight" activeCell="AE33" sqref="AE33"/>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9" width="6.7109375" style="60" hidden="1" customWidth="1"/>
    <col min="10" max="11" width="8.5703125" style="60" hidden="1" customWidth="1"/>
    <col min="12" max="17" width="6.7109375" style="60" hidden="1" customWidth="1"/>
    <col min="18" max="18" width="7.42578125" style="60" hidden="1" customWidth="1"/>
    <col min="19" max="19" width="8" style="60" hidden="1" customWidth="1"/>
    <col min="20" max="20" width="12.28515625" style="60" customWidth="1"/>
    <col min="21" max="21" width="11.28515625" style="60" customWidth="1"/>
    <col min="22" max="22" width="12.28515625" style="60" customWidth="1"/>
    <col min="23" max="23" width="11.42578125" style="60" customWidth="1"/>
    <col min="24" max="31" width="12.28515625" style="60" customWidth="1"/>
    <col min="32" max="32" width="13.140625" style="60" customWidth="1"/>
    <col min="33" max="33" width="24.85546875" style="60" customWidth="1"/>
    <col min="34" max="16384" width="9.140625" style="60"/>
  </cols>
  <sheetData>
    <row r="1" spans="1:33" ht="18.75" x14ac:dyDescent="0.25">
      <c r="A1" s="61"/>
      <c r="B1" s="61"/>
      <c r="C1" s="61"/>
      <c r="D1" s="61"/>
      <c r="E1" s="61"/>
      <c r="F1" s="61"/>
      <c r="H1" s="61"/>
      <c r="I1" s="61"/>
      <c r="AG1" s="36" t="s">
        <v>66</v>
      </c>
    </row>
    <row r="2" spans="1:33" ht="18.75" x14ac:dyDescent="0.3">
      <c r="A2" s="61"/>
      <c r="B2" s="61"/>
      <c r="C2" s="61"/>
      <c r="D2" s="61"/>
      <c r="E2" s="61"/>
      <c r="F2" s="61"/>
      <c r="H2" s="61"/>
      <c r="I2" s="61"/>
      <c r="AG2" s="13" t="s">
        <v>8</v>
      </c>
    </row>
    <row r="3" spans="1:33" ht="18.75" x14ac:dyDescent="0.3">
      <c r="A3" s="61"/>
      <c r="B3" s="61"/>
      <c r="C3" s="61"/>
      <c r="D3" s="61"/>
      <c r="E3" s="61"/>
      <c r="F3" s="61"/>
      <c r="H3" s="61"/>
      <c r="I3" s="61"/>
      <c r="AG3" s="13" t="s">
        <v>65</v>
      </c>
    </row>
    <row r="4" spans="1:33"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61"/>
      <c r="B5" s="61"/>
      <c r="C5" s="61"/>
      <c r="D5" s="61"/>
      <c r="E5" s="61"/>
      <c r="F5" s="61"/>
      <c r="H5" s="61"/>
      <c r="I5" s="61"/>
      <c r="AG5" s="13"/>
    </row>
    <row r="6" spans="1:33"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c r="AD6" s="429"/>
      <c r="AE6" s="429"/>
      <c r="AF6" s="429"/>
      <c r="AG6" s="429"/>
    </row>
    <row r="7" spans="1:33" ht="18.75" x14ac:dyDescent="0.25">
      <c r="A7" s="11"/>
      <c r="B7" s="11"/>
      <c r="C7" s="11"/>
      <c r="D7" s="11"/>
      <c r="E7" s="11"/>
      <c r="F7" s="11"/>
      <c r="G7" s="11"/>
      <c r="H7" s="81"/>
      <c r="I7" s="81"/>
      <c r="J7" s="81"/>
      <c r="K7" s="81"/>
      <c r="L7" s="81"/>
      <c r="M7" s="81"/>
      <c r="N7" s="81"/>
      <c r="O7" s="81"/>
      <c r="P7" s="81"/>
      <c r="Q7" s="81"/>
      <c r="R7" s="81"/>
      <c r="S7" s="81"/>
      <c r="T7" s="81"/>
      <c r="U7" s="81"/>
      <c r="V7" s="81"/>
      <c r="W7" s="81"/>
      <c r="X7" s="81"/>
      <c r="Y7" s="81"/>
      <c r="Z7" s="81"/>
      <c r="AA7" s="81"/>
      <c r="AB7" s="81"/>
      <c r="AC7" s="81"/>
      <c r="AD7" s="81"/>
      <c r="AE7" s="81"/>
      <c r="AF7" s="81"/>
      <c r="AG7" s="81"/>
    </row>
    <row r="8" spans="1:33"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row>
    <row r="9" spans="1:33" ht="18.75" customHeight="1"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row>
    <row r="10" spans="1:33" ht="18.75" x14ac:dyDescent="0.25">
      <c r="A10" s="11"/>
      <c r="B10" s="11"/>
      <c r="C10" s="11"/>
      <c r="D10" s="11"/>
      <c r="E10" s="11"/>
      <c r="F10" s="11"/>
      <c r="G10" s="1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row>
    <row r="11" spans="1:33" x14ac:dyDescent="0.25">
      <c r="A11" s="423" t="str">
        <f>'1. паспорт местоположение'!A12:C12</f>
        <v>H_17-0361</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row>
    <row r="12" spans="1:33"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row>
    <row r="13" spans="1:33" ht="16.5" customHeight="1" x14ac:dyDescent="0.3">
      <c r="A13" s="9"/>
      <c r="B13" s="9"/>
      <c r="C13" s="9"/>
      <c r="D13" s="9"/>
      <c r="E13" s="9"/>
      <c r="F13" s="9"/>
      <c r="G13" s="9"/>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row>
    <row r="14" spans="1:33" x14ac:dyDescent="0.25">
      <c r="A14" s="423" t="str">
        <f>'1. паспорт местоположение'!A15</f>
        <v>Строительство РП 15 кВ, КЛ 15кВ от ПС В-67 (инв. № 5147867), КЛ 15 кВ от абонентской КТП № 7 в г. Пионерском, ул. Портовая</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row>
    <row r="15" spans="1:33" ht="15.75" customHeight="1"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row>
    <row r="16" spans="1:33"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c r="AD16" s="499"/>
      <c r="AE16" s="499"/>
      <c r="AF16" s="499"/>
      <c r="AG16" s="499"/>
    </row>
    <row r="17" spans="1:36" x14ac:dyDescent="0.25">
      <c r="A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row>
    <row r="18" spans="1:36"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c r="AD18" s="503"/>
      <c r="AE18" s="503"/>
      <c r="AF18" s="503"/>
      <c r="AG18" s="503"/>
    </row>
    <row r="19" spans="1:36" x14ac:dyDescent="0.25">
      <c r="A19" s="61"/>
      <c r="B19" s="61"/>
      <c r="C19" s="61"/>
      <c r="D19" s="61"/>
      <c r="E19" s="61"/>
      <c r="F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row>
    <row r="20" spans="1:36" ht="33" customHeight="1" x14ac:dyDescent="0.25">
      <c r="A20" s="500" t="s">
        <v>184</v>
      </c>
      <c r="B20" s="500" t="s">
        <v>183</v>
      </c>
      <c r="C20" s="487" t="s">
        <v>182</v>
      </c>
      <c r="D20" s="487"/>
      <c r="E20" s="502" t="s">
        <v>181</v>
      </c>
      <c r="F20" s="502"/>
      <c r="G20" s="500" t="s">
        <v>732</v>
      </c>
      <c r="H20" s="497" t="s">
        <v>645</v>
      </c>
      <c r="I20" s="498"/>
      <c r="J20" s="498"/>
      <c r="K20" s="498"/>
      <c r="L20" s="497" t="s">
        <v>646</v>
      </c>
      <c r="M20" s="498"/>
      <c r="N20" s="498"/>
      <c r="O20" s="498"/>
      <c r="P20" s="497" t="s">
        <v>647</v>
      </c>
      <c r="Q20" s="498"/>
      <c r="R20" s="498"/>
      <c r="S20" s="498"/>
      <c r="T20" s="497" t="s">
        <v>733</v>
      </c>
      <c r="U20" s="498"/>
      <c r="V20" s="498"/>
      <c r="W20" s="498"/>
      <c r="X20" s="497" t="s">
        <v>734</v>
      </c>
      <c r="Y20" s="498"/>
      <c r="Z20" s="498"/>
      <c r="AA20" s="498"/>
      <c r="AB20" s="497" t="s">
        <v>735</v>
      </c>
      <c r="AC20" s="498"/>
      <c r="AD20" s="498"/>
      <c r="AE20" s="498"/>
      <c r="AF20" s="504" t="s">
        <v>180</v>
      </c>
      <c r="AG20" s="505"/>
      <c r="AH20" s="79"/>
      <c r="AI20" s="79"/>
      <c r="AJ20" s="79"/>
    </row>
    <row r="21" spans="1:36" ht="99.75" customHeight="1" x14ac:dyDescent="0.25">
      <c r="A21" s="501"/>
      <c r="B21" s="501"/>
      <c r="C21" s="487"/>
      <c r="D21" s="487"/>
      <c r="E21" s="502"/>
      <c r="F21" s="502"/>
      <c r="G21" s="501"/>
      <c r="H21" s="487" t="s">
        <v>2</v>
      </c>
      <c r="I21" s="487"/>
      <c r="J21" s="487" t="s">
        <v>644</v>
      </c>
      <c r="K21" s="487"/>
      <c r="L21" s="487" t="s">
        <v>2</v>
      </c>
      <c r="M21" s="487"/>
      <c r="N21" s="487" t="s">
        <v>644</v>
      </c>
      <c r="O21" s="487"/>
      <c r="P21" s="487" t="s">
        <v>2</v>
      </c>
      <c r="Q21" s="487"/>
      <c r="R21" s="487" t="s">
        <v>644</v>
      </c>
      <c r="S21" s="487"/>
      <c r="T21" s="487" t="s">
        <v>2</v>
      </c>
      <c r="U21" s="487"/>
      <c r="V21" s="487" t="s">
        <v>644</v>
      </c>
      <c r="W21" s="487"/>
      <c r="X21" s="487" t="s">
        <v>2</v>
      </c>
      <c r="Y21" s="487"/>
      <c r="Z21" s="487" t="s">
        <v>644</v>
      </c>
      <c r="AA21" s="487"/>
      <c r="AB21" s="487" t="s">
        <v>2</v>
      </c>
      <c r="AC21" s="487"/>
      <c r="AD21" s="487" t="s">
        <v>644</v>
      </c>
      <c r="AE21" s="487"/>
      <c r="AF21" s="506"/>
      <c r="AG21" s="507"/>
    </row>
    <row r="22" spans="1:36" ht="89.25" customHeight="1" x14ac:dyDescent="0.25">
      <c r="A22" s="494"/>
      <c r="B22" s="494"/>
      <c r="C22" s="76" t="s">
        <v>2</v>
      </c>
      <c r="D22" s="76" t="s">
        <v>179</v>
      </c>
      <c r="E22" s="78" t="s">
        <v>731</v>
      </c>
      <c r="F22" s="78" t="s">
        <v>756</v>
      </c>
      <c r="G22" s="494"/>
      <c r="H22" s="77" t="s">
        <v>477</v>
      </c>
      <c r="I22" s="77" t="s">
        <v>478</v>
      </c>
      <c r="J22" s="77" t="s">
        <v>477</v>
      </c>
      <c r="K22" s="77" t="s">
        <v>478</v>
      </c>
      <c r="L22" s="77" t="s">
        <v>477</v>
      </c>
      <c r="M22" s="77" t="s">
        <v>478</v>
      </c>
      <c r="N22" s="77" t="s">
        <v>477</v>
      </c>
      <c r="O22" s="77" t="s">
        <v>478</v>
      </c>
      <c r="P22" s="169" t="s">
        <v>477</v>
      </c>
      <c r="Q22" s="169" t="s">
        <v>478</v>
      </c>
      <c r="R22" s="169" t="s">
        <v>477</v>
      </c>
      <c r="S22" s="169" t="s">
        <v>478</v>
      </c>
      <c r="T22" s="398" t="s">
        <v>477</v>
      </c>
      <c r="U22" s="398" t="s">
        <v>478</v>
      </c>
      <c r="V22" s="398" t="s">
        <v>477</v>
      </c>
      <c r="W22" s="398" t="s">
        <v>478</v>
      </c>
      <c r="X22" s="398" t="s">
        <v>477</v>
      </c>
      <c r="Y22" s="398" t="s">
        <v>478</v>
      </c>
      <c r="Z22" s="398" t="s">
        <v>477</v>
      </c>
      <c r="AA22" s="398" t="s">
        <v>478</v>
      </c>
      <c r="AB22" s="169" t="s">
        <v>477</v>
      </c>
      <c r="AC22" s="169" t="s">
        <v>478</v>
      </c>
      <c r="AD22" s="169" t="s">
        <v>477</v>
      </c>
      <c r="AE22" s="169" t="s">
        <v>478</v>
      </c>
      <c r="AF22" s="76" t="s">
        <v>2</v>
      </c>
      <c r="AG22" s="275" t="s">
        <v>9</v>
      </c>
    </row>
    <row r="23" spans="1:36" ht="19.5" customHeight="1" x14ac:dyDescent="0.25">
      <c r="A23" s="69">
        <v>1</v>
      </c>
      <c r="B23" s="69">
        <v>2</v>
      </c>
      <c r="C23" s="69">
        <v>3</v>
      </c>
      <c r="D23" s="69">
        <v>4</v>
      </c>
      <c r="E23" s="69">
        <v>5</v>
      </c>
      <c r="F23" s="69">
        <v>6</v>
      </c>
      <c r="G23" s="152">
        <v>7</v>
      </c>
      <c r="H23" s="152">
        <v>12</v>
      </c>
      <c r="I23" s="152">
        <v>13</v>
      </c>
      <c r="J23" s="152">
        <v>14</v>
      </c>
      <c r="K23" s="152">
        <v>15</v>
      </c>
      <c r="L23" s="152">
        <v>16</v>
      </c>
      <c r="M23" s="152">
        <v>17</v>
      </c>
      <c r="N23" s="152">
        <v>18</v>
      </c>
      <c r="O23" s="152">
        <v>19</v>
      </c>
      <c r="P23" s="168">
        <f>O23+1</f>
        <v>20</v>
      </c>
      <c r="Q23" s="168">
        <f>P23+1</f>
        <v>21</v>
      </c>
      <c r="R23" s="168">
        <f>Q23+1</f>
        <v>22</v>
      </c>
      <c r="S23" s="168">
        <f>R23+1</f>
        <v>23</v>
      </c>
      <c r="T23" s="397">
        <v>8</v>
      </c>
      <c r="U23" s="397">
        <f t="shared" ref="U23:AG23" si="0">T23+1</f>
        <v>9</v>
      </c>
      <c r="V23" s="397">
        <f t="shared" si="0"/>
        <v>10</v>
      </c>
      <c r="W23" s="397">
        <f t="shared" si="0"/>
        <v>11</v>
      </c>
      <c r="X23" s="397">
        <f t="shared" si="0"/>
        <v>12</v>
      </c>
      <c r="Y23" s="397">
        <f t="shared" si="0"/>
        <v>13</v>
      </c>
      <c r="Z23" s="397">
        <f t="shared" si="0"/>
        <v>14</v>
      </c>
      <c r="AA23" s="397">
        <f t="shared" si="0"/>
        <v>15</v>
      </c>
      <c r="AB23" s="397">
        <f t="shared" si="0"/>
        <v>16</v>
      </c>
      <c r="AC23" s="397">
        <f t="shared" si="0"/>
        <v>17</v>
      </c>
      <c r="AD23" s="397">
        <f t="shared" si="0"/>
        <v>18</v>
      </c>
      <c r="AE23" s="397">
        <f t="shared" si="0"/>
        <v>19</v>
      </c>
      <c r="AF23" s="397">
        <f t="shared" si="0"/>
        <v>20</v>
      </c>
      <c r="AG23" s="397">
        <f t="shared" si="0"/>
        <v>21</v>
      </c>
    </row>
    <row r="24" spans="1:36" ht="47.25" customHeight="1" x14ac:dyDescent="0.25">
      <c r="A24" s="74">
        <v>1</v>
      </c>
      <c r="B24" s="73" t="s">
        <v>178</v>
      </c>
      <c r="C24" s="276">
        <f>SUM(C25:C29)</f>
        <v>0</v>
      </c>
      <c r="D24" s="276">
        <f t="shared" ref="D24:AE24" si="1">SUM(D25:D29)</f>
        <v>0</v>
      </c>
      <c r="E24" s="276">
        <f t="shared" si="1"/>
        <v>0</v>
      </c>
      <c r="F24" s="276">
        <f t="shared" si="1"/>
        <v>0</v>
      </c>
      <c r="G24" s="276">
        <f t="shared" si="1"/>
        <v>0.67439877999999998</v>
      </c>
      <c r="H24" s="276">
        <f t="shared" si="1"/>
        <v>0</v>
      </c>
      <c r="I24" s="276">
        <f t="shared" si="1"/>
        <v>0</v>
      </c>
      <c r="J24" s="276">
        <f t="shared" si="1"/>
        <v>0</v>
      </c>
      <c r="K24" s="276">
        <f t="shared" si="1"/>
        <v>0</v>
      </c>
      <c r="L24" s="276">
        <f t="shared" si="1"/>
        <v>0</v>
      </c>
      <c r="M24" s="276">
        <f t="shared" si="1"/>
        <v>0</v>
      </c>
      <c r="N24" s="276">
        <f t="shared" si="1"/>
        <v>0.37407443440000004</v>
      </c>
      <c r="O24" s="276">
        <f t="shared" si="1"/>
        <v>0</v>
      </c>
      <c r="P24" s="276">
        <f t="shared" si="1"/>
        <v>0</v>
      </c>
      <c r="Q24" s="276">
        <f t="shared" si="1"/>
        <v>0</v>
      </c>
      <c r="R24" s="276">
        <f t="shared" si="1"/>
        <v>38.966007375999993</v>
      </c>
      <c r="S24" s="276">
        <f t="shared" ref="S24:AA24" si="2">SUM(S25:S29)</f>
        <v>0</v>
      </c>
      <c r="T24" s="276">
        <f>SUM(T25:T29)</f>
        <v>0</v>
      </c>
      <c r="U24" s="276">
        <f>SUM(U25:U29)</f>
        <v>0</v>
      </c>
      <c r="V24" s="276">
        <f>SUM(V25:V29)</f>
        <v>1.3837750800000002</v>
      </c>
      <c r="W24" s="276">
        <f>SUM(W25:W29)</f>
        <v>0</v>
      </c>
      <c r="X24" s="276">
        <f t="shared" si="2"/>
        <v>0</v>
      </c>
      <c r="Y24" s="276">
        <f t="shared" si="2"/>
        <v>0</v>
      </c>
      <c r="Z24" s="276">
        <f t="shared" si="2"/>
        <v>0.29647613</v>
      </c>
      <c r="AA24" s="276">
        <f t="shared" si="2"/>
        <v>0</v>
      </c>
      <c r="AB24" s="276">
        <f t="shared" si="1"/>
        <v>0</v>
      </c>
      <c r="AC24" s="276">
        <f t="shared" si="1"/>
        <v>0</v>
      </c>
      <c r="AD24" s="276">
        <f t="shared" si="1"/>
        <v>-6.0618999999999999E-2</v>
      </c>
      <c r="AE24" s="276">
        <f t="shared" si="1"/>
        <v>-6.0618999999999999E-2</v>
      </c>
      <c r="AF24" s="276">
        <f>T24+X24+AB24</f>
        <v>0</v>
      </c>
      <c r="AG24" s="284">
        <f>V24+Z24+AD24</f>
        <v>1.6196322100000002</v>
      </c>
      <c r="AI24" s="399">
        <f>G24+J24+N24+R24+AG24</f>
        <v>41.63411280039999</v>
      </c>
    </row>
    <row r="25" spans="1:36" ht="24" customHeight="1" x14ac:dyDescent="0.25">
      <c r="A25" s="71" t="s">
        <v>177</v>
      </c>
      <c r="B25" s="45" t="s">
        <v>176</v>
      </c>
      <c r="C25" s="276">
        <v>0</v>
      </c>
      <c r="D25" s="276">
        <v>0</v>
      </c>
      <c r="E25" s="278">
        <v>0</v>
      </c>
      <c r="F25" s="278">
        <v>0</v>
      </c>
      <c r="G25" s="277">
        <v>0</v>
      </c>
      <c r="H25" s="277">
        <v>0</v>
      </c>
      <c r="I25" s="277">
        <v>0</v>
      </c>
      <c r="J25" s="277">
        <v>0</v>
      </c>
      <c r="K25" s="277">
        <v>0</v>
      </c>
      <c r="L25" s="277">
        <v>0</v>
      </c>
      <c r="M25" s="277">
        <v>0</v>
      </c>
      <c r="N25" s="277">
        <v>0</v>
      </c>
      <c r="O25" s="277">
        <v>0</v>
      </c>
      <c r="P25" s="277">
        <v>0</v>
      </c>
      <c r="Q25" s="277">
        <v>0</v>
      </c>
      <c r="R25" s="277">
        <v>0</v>
      </c>
      <c r="S25" s="277">
        <v>0</v>
      </c>
      <c r="T25" s="277">
        <v>0</v>
      </c>
      <c r="U25" s="277">
        <v>0</v>
      </c>
      <c r="V25" s="277">
        <v>0</v>
      </c>
      <c r="W25" s="277">
        <v>0</v>
      </c>
      <c r="X25" s="277">
        <v>0</v>
      </c>
      <c r="Y25" s="277">
        <v>0</v>
      </c>
      <c r="Z25" s="277">
        <v>0</v>
      </c>
      <c r="AA25" s="277">
        <v>0</v>
      </c>
      <c r="AB25" s="277">
        <v>0</v>
      </c>
      <c r="AC25" s="277">
        <v>0</v>
      </c>
      <c r="AD25" s="277">
        <v>0</v>
      </c>
      <c r="AE25" s="277">
        <v>0</v>
      </c>
      <c r="AF25" s="276">
        <f t="shared" ref="AF25:AF64" si="3">T25+X25+AB25</f>
        <v>0</v>
      </c>
      <c r="AG25" s="284">
        <f t="shared" ref="AG25:AG64" si="4">V25+Z25+AD25</f>
        <v>0</v>
      </c>
    </row>
    <row r="26" spans="1:36" x14ac:dyDescent="0.25">
      <c r="A26" s="71" t="s">
        <v>175</v>
      </c>
      <c r="B26" s="45" t="s">
        <v>174</v>
      </c>
      <c r="C26" s="276">
        <v>0</v>
      </c>
      <c r="D26" s="276">
        <v>0</v>
      </c>
      <c r="E26" s="277">
        <v>0</v>
      </c>
      <c r="F26" s="277">
        <v>0</v>
      </c>
      <c r="G26" s="277">
        <v>0</v>
      </c>
      <c r="H26" s="277">
        <v>0</v>
      </c>
      <c r="I26" s="277">
        <v>0</v>
      </c>
      <c r="J26" s="277">
        <v>0</v>
      </c>
      <c r="K26" s="277">
        <v>0</v>
      </c>
      <c r="L26" s="277">
        <v>0</v>
      </c>
      <c r="M26" s="277">
        <v>0</v>
      </c>
      <c r="N26" s="277">
        <v>0</v>
      </c>
      <c r="O26" s="277">
        <v>0</v>
      </c>
      <c r="P26" s="277">
        <v>0</v>
      </c>
      <c r="Q26" s="277">
        <v>0</v>
      </c>
      <c r="R26" s="277">
        <v>0</v>
      </c>
      <c r="S26" s="277">
        <v>0</v>
      </c>
      <c r="T26" s="277">
        <v>0</v>
      </c>
      <c r="U26" s="277">
        <v>0</v>
      </c>
      <c r="V26" s="277">
        <v>0</v>
      </c>
      <c r="W26" s="277">
        <v>0</v>
      </c>
      <c r="X26" s="277">
        <v>0</v>
      </c>
      <c r="Y26" s="277">
        <v>0</v>
      </c>
      <c r="Z26" s="277">
        <v>0</v>
      </c>
      <c r="AA26" s="277">
        <v>0</v>
      </c>
      <c r="AB26" s="277">
        <v>0</v>
      </c>
      <c r="AC26" s="277">
        <v>0</v>
      </c>
      <c r="AD26" s="277">
        <v>0</v>
      </c>
      <c r="AE26" s="277">
        <v>0</v>
      </c>
      <c r="AF26" s="276">
        <f t="shared" si="3"/>
        <v>0</v>
      </c>
      <c r="AG26" s="284">
        <f t="shared" si="4"/>
        <v>0</v>
      </c>
    </row>
    <row r="27" spans="1:36" ht="31.5" x14ac:dyDescent="0.25">
      <c r="A27" s="71" t="s">
        <v>173</v>
      </c>
      <c r="B27" s="45" t="s">
        <v>433</v>
      </c>
      <c r="C27" s="276">
        <v>0</v>
      </c>
      <c r="D27" s="276">
        <v>0</v>
      </c>
      <c r="E27" s="277">
        <v>0</v>
      </c>
      <c r="F27" s="277">
        <v>0</v>
      </c>
      <c r="G27" s="277">
        <v>0</v>
      </c>
      <c r="H27" s="277">
        <v>0</v>
      </c>
      <c r="I27" s="277">
        <v>0</v>
      </c>
      <c r="J27" s="279">
        <v>0</v>
      </c>
      <c r="K27" s="277">
        <v>0</v>
      </c>
      <c r="L27" s="277">
        <v>0</v>
      </c>
      <c r="M27" s="277">
        <v>0</v>
      </c>
      <c r="N27" s="277">
        <v>0</v>
      </c>
      <c r="O27" s="277">
        <v>0</v>
      </c>
      <c r="P27" s="277">
        <v>0</v>
      </c>
      <c r="Q27" s="277">
        <v>0</v>
      </c>
      <c r="R27" s="277">
        <v>0</v>
      </c>
      <c r="S27" s="277">
        <v>0</v>
      </c>
      <c r="T27" s="277">
        <v>0</v>
      </c>
      <c r="U27" s="277">
        <v>0</v>
      </c>
      <c r="V27" s="277">
        <v>0</v>
      </c>
      <c r="W27" s="277">
        <v>0</v>
      </c>
      <c r="X27" s="277">
        <v>0</v>
      </c>
      <c r="Y27" s="277">
        <v>0</v>
      </c>
      <c r="Z27" s="277">
        <v>0</v>
      </c>
      <c r="AA27" s="277">
        <v>0</v>
      </c>
      <c r="AB27" s="277">
        <v>0</v>
      </c>
      <c r="AC27" s="277">
        <v>0</v>
      </c>
      <c r="AD27" s="277">
        <v>0</v>
      </c>
      <c r="AE27" s="277">
        <v>0</v>
      </c>
      <c r="AF27" s="276">
        <f t="shared" si="3"/>
        <v>0</v>
      </c>
      <c r="AG27" s="284">
        <f t="shared" si="4"/>
        <v>0</v>
      </c>
    </row>
    <row r="28" spans="1:36" x14ac:dyDescent="0.25">
      <c r="A28" s="71" t="s">
        <v>172</v>
      </c>
      <c r="B28" s="45" t="s">
        <v>171</v>
      </c>
      <c r="C28" s="276">
        <v>0</v>
      </c>
      <c r="D28" s="276">
        <v>0</v>
      </c>
      <c r="E28" s="277">
        <v>0</v>
      </c>
      <c r="F28" s="277">
        <v>0</v>
      </c>
      <c r="G28" s="277">
        <v>0.67439877999999998</v>
      </c>
      <c r="H28" s="277">
        <v>0</v>
      </c>
      <c r="I28" s="277">
        <v>0</v>
      </c>
      <c r="J28" s="277">
        <v>0</v>
      </c>
      <c r="K28" s="277">
        <v>0</v>
      </c>
      <c r="L28" s="277">
        <v>0</v>
      </c>
      <c r="M28" s="277">
        <v>0</v>
      </c>
      <c r="N28" s="277">
        <v>0.37407443440000004</v>
      </c>
      <c r="O28" s="277">
        <v>0</v>
      </c>
      <c r="P28" s="277">
        <v>0</v>
      </c>
      <c r="Q28" s="277">
        <v>0</v>
      </c>
      <c r="R28" s="277">
        <v>38.966007375999993</v>
      </c>
      <c r="S28" s="277">
        <v>0</v>
      </c>
      <c r="T28" s="277">
        <v>0</v>
      </c>
      <c r="U28" s="277">
        <v>0</v>
      </c>
      <c r="V28" s="277">
        <v>1.3837750800000002</v>
      </c>
      <c r="W28" s="277">
        <v>0</v>
      </c>
      <c r="X28" s="277">
        <v>0</v>
      </c>
      <c r="Y28" s="277">
        <v>0</v>
      </c>
      <c r="Z28" s="277">
        <v>0.29647613</v>
      </c>
      <c r="AA28" s="277">
        <v>0</v>
      </c>
      <c r="AB28" s="277">
        <v>0</v>
      </c>
      <c r="AC28" s="277">
        <v>0</v>
      </c>
      <c r="AD28" s="277">
        <v>-6.0618999999999999E-2</v>
      </c>
      <c r="AE28" s="277">
        <f>AD28</f>
        <v>-6.0618999999999999E-2</v>
      </c>
      <c r="AF28" s="276">
        <f t="shared" si="3"/>
        <v>0</v>
      </c>
      <c r="AG28" s="284">
        <f t="shared" si="4"/>
        <v>1.6196322100000002</v>
      </c>
    </row>
    <row r="29" spans="1:36" x14ac:dyDescent="0.25">
      <c r="A29" s="71" t="s">
        <v>170</v>
      </c>
      <c r="B29" s="75" t="s">
        <v>169</v>
      </c>
      <c r="C29" s="276">
        <v>0</v>
      </c>
      <c r="D29" s="276">
        <v>0</v>
      </c>
      <c r="E29" s="277">
        <v>0</v>
      </c>
      <c r="F29" s="277">
        <v>0</v>
      </c>
      <c r="G29" s="277">
        <v>0</v>
      </c>
      <c r="H29" s="277">
        <v>0</v>
      </c>
      <c r="I29" s="277">
        <v>0</v>
      </c>
      <c r="J29" s="277">
        <v>0</v>
      </c>
      <c r="K29" s="277">
        <v>0</v>
      </c>
      <c r="L29" s="277">
        <v>0</v>
      </c>
      <c r="M29" s="277">
        <v>0</v>
      </c>
      <c r="N29" s="277">
        <v>0</v>
      </c>
      <c r="O29" s="277">
        <v>0</v>
      </c>
      <c r="P29" s="277">
        <v>0</v>
      </c>
      <c r="Q29" s="277">
        <v>0</v>
      </c>
      <c r="R29" s="277">
        <v>0</v>
      </c>
      <c r="S29" s="277">
        <v>0</v>
      </c>
      <c r="T29" s="277">
        <v>0</v>
      </c>
      <c r="U29" s="277">
        <v>0</v>
      </c>
      <c r="V29" s="277">
        <v>0</v>
      </c>
      <c r="W29" s="277">
        <v>0</v>
      </c>
      <c r="X29" s="277">
        <v>0</v>
      </c>
      <c r="Y29" s="277">
        <v>0</v>
      </c>
      <c r="Z29" s="277">
        <v>0</v>
      </c>
      <c r="AA29" s="277">
        <v>0</v>
      </c>
      <c r="AB29" s="277">
        <v>0</v>
      </c>
      <c r="AC29" s="277">
        <v>0</v>
      </c>
      <c r="AD29" s="277">
        <v>0</v>
      </c>
      <c r="AE29" s="277">
        <v>0</v>
      </c>
      <c r="AF29" s="276">
        <f t="shared" si="3"/>
        <v>0</v>
      </c>
      <c r="AG29" s="284">
        <f t="shared" si="4"/>
        <v>0</v>
      </c>
    </row>
    <row r="30" spans="1:36" ht="47.25" x14ac:dyDescent="0.25">
      <c r="A30" s="74" t="s">
        <v>61</v>
      </c>
      <c r="B30" s="73" t="s">
        <v>168</v>
      </c>
      <c r="C30" s="276">
        <v>0</v>
      </c>
      <c r="D30" s="276">
        <v>0</v>
      </c>
      <c r="E30" s="280">
        <v>0</v>
      </c>
      <c r="F30" s="280">
        <v>0</v>
      </c>
      <c r="G30" s="276">
        <f t="shared" ref="G30:U30" si="5">SUM(G31:G34)</f>
        <v>0</v>
      </c>
      <c r="H30" s="276">
        <f t="shared" si="5"/>
        <v>0</v>
      </c>
      <c r="I30" s="276">
        <f t="shared" si="5"/>
        <v>0</v>
      </c>
      <c r="J30" s="276">
        <f t="shared" si="5"/>
        <v>6.3079999999999999E-5</v>
      </c>
      <c r="K30" s="276">
        <f t="shared" si="5"/>
        <v>0</v>
      </c>
      <c r="L30" s="276">
        <f t="shared" si="5"/>
        <v>0</v>
      </c>
      <c r="M30" s="276">
        <f t="shared" si="5"/>
        <v>0</v>
      </c>
      <c r="N30" s="276">
        <f t="shared" si="5"/>
        <v>0.374</v>
      </c>
      <c r="O30" s="276">
        <f t="shared" si="5"/>
        <v>0</v>
      </c>
      <c r="P30" s="276">
        <f t="shared" si="5"/>
        <v>0</v>
      </c>
      <c r="Q30" s="276">
        <f t="shared" si="5"/>
        <v>0</v>
      </c>
      <c r="R30" s="276">
        <f t="shared" si="5"/>
        <v>33.057405129999999</v>
      </c>
      <c r="S30" s="276">
        <f t="shared" si="5"/>
        <v>0</v>
      </c>
      <c r="T30" s="276">
        <f t="shared" si="5"/>
        <v>0</v>
      </c>
      <c r="U30" s="276">
        <f t="shared" si="5"/>
        <v>0</v>
      </c>
      <c r="V30" s="276">
        <f>SUM(V31:V34)</f>
        <v>1.3765779</v>
      </c>
      <c r="W30" s="276">
        <f t="shared" ref="W30:AE30" si="6">SUM(W31:W34)</f>
        <v>0</v>
      </c>
      <c r="X30" s="276">
        <f t="shared" si="6"/>
        <v>0</v>
      </c>
      <c r="Y30" s="276">
        <f t="shared" si="6"/>
        <v>0</v>
      </c>
      <c r="Z30" s="276">
        <f t="shared" si="6"/>
        <v>0.24706343999999997</v>
      </c>
      <c r="AA30" s="276">
        <f t="shared" si="6"/>
        <v>0</v>
      </c>
      <c r="AB30" s="276">
        <f t="shared" si="6"/>
        <v>0</v>
      </c>
      <c r="AC30" s="276">
        <f t="shared" si="6"/>
        <v>0</v>
      </c>
      <c r="AD30" s="276">
        <f t="shared" si="6"/>
        <v>-6.2515830000000008E-2</v>
      </c>
      <c r="AE30" s="276">
        <f t="shared" si="6"/>
        <v>-6.2515830000000008E-2</v>
      </c>
      <c r="AF30" s="276">
        <f t="shared" si="3"/>
        <v>0</v>
      </c>
      <c r="AG30" s="284">
        <f t="shared" si="4"/>
        <v>1.5611255100000001</v>
      </c>
      <c r="AI30" s="399">
        <f>G30+J30+N30+R30+AG30</f>
        <v>34.992593720000002</v>
      </c>
    </row>
    <row r="31" spans="1:36" x14ac:dyDescent="0.25">
      <c r="A31" s="74" t="s">
        <v>167</v>
      </c>
      <c r="B31" s="45" t="s">
        <v>166</v>
      </c>
      <c r="C31" s="276">
        <v>0</v>
      </c>
      <c r="D31" s="276">
        <v>0</v>
      </c>
      <c r="E31" s="277">
        <v>0</v>
      </c>
      <c r="F31" s="277">
        <v>0</v>
      </c>
      <c r="G31" s="277">
        <v>0</v>
      </c>
      <c r="H31" s="277">
        <v>0</v>
      </c>
      <c r="I31" s="277">
        <v>0</v>
      </c>
      <c r="J31" s="277">
        <v>0</v>
      </c>
      <c r="K31" s="277">
        <v>0</v>
      </c>
      <c r="L31" s="277">
        <v>0</v>
      </c>
      <c r="M31" s="277">
        <v>0</v>
      </c>
      <c r="N31" s="277">
        <v>0.374</v>
      </c>
      <c r="O31" s="277">
        <v>0</v>
      </c>
      <c r="P31" s="277">
        <v>0</v>
      </c>
      <c r="Q31" s="277">
        <v>0</v>
      </c>
      <c r="R31" s="277">
        <v>0</v>
      </c>
      <c r="S31" s="277">
        <v>0</v>
      </c>
      <c r="T31" s="277">
        <v>0</v>
      </c>
      <c r="U31" s="277">
        <v>0</v>
      </c>
      <c r="V31" s="277">
        <v>0</v>
      </c>
      <c r="W31" s="277">
        <v>0</v>
      </c>
      <c r="X31" s="277">
        <v>0</v>
      </c>
      <c r="Y31" s="277">
        <v>0</v>
      </c>
      <c r="Z31" s="277">
        <v>0</v>
      </c>
      <c r="AA31" s="277">
        <v>0</v>
      </c>
      <c r="AB31" s="277">
        <v>0</v>
      </c>
      <c r="AC31" s="277">
        <v>0</v>
      </c>
      <c r="AD31" s="277">
        <v>0</v>
      </c>
      <c r="AE31" s="277">
        <v>0</v>
      </c>
      <c r="AF31" s="276">
        <f t="shared" si="3"/>
        <v>0</v>
      </c>
      <c r="AG31" s="284">
        <f t="shared" si="4"/>
        <v>0</v>
      </c>
    </row>
    <row r="32" spans="1:36" ht="31.5" x14ac:dyDescent="0.25">
      <c r="A32" s="74" t="s">
        <v>165</v>
      </c>
      <c r="B32" s="45" t="s">
        <v>164</v>
      </c>
      <c r="C32" s="276">
        <v>0</v>
      </c>
      <c r="D32" s="276">
        <v>0</v>
      </c>
      <c r="E32" s="277">
        <v>0</v>
      </c>
      <c r="F32" s="277">
        <v>0</v>
      </c>
      <c r="G32" s="277">
        <v>0</v>
      </c>
      <c r="H32" s="277">
        <v>0</v>
      </c>
      <c r="I32" s="277">
        <v>0</v>
      </c>
      <c r="J32" s="277">
        <v>0</v>
      </c>
      <c r="K32" s="277">
        <v>0</v>
      </c>
      <c r="L32" s="277">
        <v>0</v>
      </c>
      <c r="M32" s="277">
        <v>0</v>
      </c>
      <c r="N32" s="277">
        <v>0</v>
      </c>
      <c r="O32" s="277">
        <v>0</v>
      </c>
      <c r="P32" s="277">
        <v>0</v>
      </c>
      <c r="Q32" s="277">
        <v>0</v>
      </c>
      <c r="R32" s="277">
        <v>2.8521000000000001</v>
      </c>
      <c r="S32" s="277">
        <v>0</v>
      </c>
      <c r="T32" s="277">
        <v>0</v>
      </c>
      <c r="U32" s="277">
        <v>0</v>
      </c>
      <c r="V32" s="277">
        <v>0</v>
      </c>
      <c r="W32" s="277">
        <v>0</v>
      </c>
      <c r="X32" s="277">
        <v>0</v>
      </c>
      <c r="Y32" s="277">
        <v>0</v>
      </c>
      <c r="Z32" s="277">
        <v>0.18454760999999997</v>
      </c>
      <c r="AA32" s="277">
        <v>0</v>
      </c>
      <c r="AB32" s="277">
        <v>0</v>
      </c>
      <c r="AC32" s="277">
        <v>0</v>
      </c>
      <c r="AD32" s="277">
        <v>0</v>
      </c>
      <c r="AE32" s="277">
        <v>0</v>
      </c>
      <c r="AF32" s="276">
        <f t="shared" si="3"/>
        <v>0</v>
      </c>
      <c r="AG32" s="284">
        <f t="shared" si="4"/>
        <v>0.18454760999999997</v>
      </c>
    </row>
    <row r="33" spans="1:33" x14ac:dyDescent="0.25">
      <c r="A33" s="74" t="s">
        <v>163</v>
      </c>
      <c r="B33" s="45" t="s">
        <v>162</v>
      </c>
      <c r="C33" s="276">
        <v>0</v>
      </c>
      <c r="D33" s="276">
        <v>0</v>
      </c>
      <c r="E33" s="277">
        <v>0</v>
      </c>
      <c r="F33" s="277">
        <v>0</v>
      </c>
      <c r="G33" s="277">
        <v>0</v>
      </c>
      <c r="H33" s="277">
        <v>0</v>
      </c>
      <c r="I33" s="277">
        <v>0</v>
      </c>
      <c r="J33" s="277">
        <v>0</v>
      </c>
      <c r="K33" s="277">
        <v>0</v>
      </c>
      <c r="L33" s="277">
        <v>0</v>
      </c>
      <c r="M33" s="277">
        <v>0</v>
      </c>
      <c r="N33" s="277">
        <v>0</v>
      </c>
      <c r="O33" s="277">
        <v>0</v>
      </c>
      <c r="P33" s="277">
        <v>0</v>
      </c>
      <c r="Q33" s="277">
        <v>0</v>
      </c>
      <c r="R33" s="277">
        <v>24.462579389999998</v>
      </c>
      <c r="S33" s="277">
        <v>0</v>
      </c>
      <c r="T33" s="277">
        <v>0</v>
      </c>
      <c r="U33" s="277">
        <v>0</v>
      </c>
      <c r="V33" s="277">
        <v>1.2749999999999999E-2</v>
      </c>
      <c r="W33" s="277">
        <v>0</v>
      </c>
      <c r="X33" s="277">
        <v>0</v>
      </c>
      <c r="Y33" s="277">
        <v>0</v>
      </c>
      <c r="Z33" s="277">
        <v>6.2515829999999994E-2</v>
      </c>
      <c r="AA33" s="277">
        <v>0</v>
      </c>
      <c r="AB33" s="277">
        <v>0</v>
      </c>
      <c r="AC33" s="277">
        <v>0</v>
      </c>
      <c r="AD33" s="277">
        <v>-6.2515830000000008E-2</v>
      </c>
      <c r="AE33" s="277">
        <f>AD33</f>
        <v>-6.2515830000000008E-2</v>
      </c>
      <c r="AF33" s="276">
        <f t="shared" si="3"/>
        <v>0</v>
      </c>
      <c r="AG33" s="284">
        <f t="shared" si="4"/>
        <v>1.2749999999999984E-2</v>
      </c>
    </row>
    <row r="34" spans="1:33" x14ac:dyDescent="0.25">
      <c r="A34" s="74" t="s">
        <v>161</v>
      </c>
      <c r="B34" s="45" t="s">
        <v>160</v>
      </c>
      <c r="C34" s="276">
        <v>0</v>
      </c>
      <c r="D34" s="276">
        <v>0</v>
      </c>
      <c r="E34" s="277">
        <v>0</v>
      </c>
      <c r="F34" s="277">
        <v>0</v>
      </c>
      <c r="G34" s="277">
        <v>0</v>
      </c>
      <c r="H34" s="277">
        <v>0</v>
      </c>
      <c r="I34" s="277">
        <v>0</v>
      </c>
      <c r="J34" s="277">
        <v>6.3079999999999999E-5</v>
      </c>
      <c r="K34" s="277">
        <v>0</v>
      </c>
      <c r="L34" s="277">
        <v>0</v>
      </c>
      <c r="M34" s="277">
        <v>0</v>
      </c>
      <c r="N34" s="277">
        <v>0</v>
      </c>
      <c r="O34" s="277">
        <v>0</v>
      </c>
      <c r="P34" s="277">
        <v>0</v>
      </c>
      <c r="Q34" s="277">
        <v>0</v>
      </c>
      <c r="R34" s="277">
        <v>5.7427257399999991</v>
      </c>
      <c r="S34" s="277">
        <v>0</v>
      </c>
      <c r="T34" s="277">
        <v>0</v>
      </c>
      <c r="U34" s="277">
        <v>0</v>
      </c>
      <c r="V34" s="277">
        <v>1.3638279</v>
      </c>
      <c r="W34" s="277">
        <v>0</v>
      </c>
      <c r="X34" s="277">
        <v>0</v>
      </c>
      <c r="Y34" s="277">
        <v>0</v>
      </c>
      <c r="Z34" s="277">
        <v>0</v>
      </c>
      <c r="AA34" s="277">
        <v>0</v>
      </c>
      <c r="AB34" s="277">
        <v>0</v>
      </c>
      <c r="AC34" s="277">
        <v>0</v>
      </c>
      <c r="AD34" s="277">
        <v>0</v>
      </c>
      <c r="AE34" s="277">
        <v>0</v>
      </c>
      <c r="AF34" s="276">
        <f t="shared" si="3"/>
        <v>0</v>
      </c>
      <c r="AG34" s="284">
        <f t="shared" si="4"/>
        <v>1.3638279</v>
      </c>
    </row>
    <row r="35" spans="1:33" ht="31.5" x14ac:dyDescent="0.25">
      <c r="A35" s="74" t="s">
        <v>60</v>
      </c>
      <c r="B35" s="73" t="s">
        <v>159</v>
      </c>
      <c r="C35" s="276">
        <v>0</v>
      </c>
      <c r="D35" s="276">
        <v>0</v>
      </c>
      <c r="E35" s="280">
        <v>0</v>
      </c>
      <c r="F35" s="280">
        <v>0</v>
      </c>
      <c r="G35" s="276">
        <v>0</v>
      </c>
      <c r="H35" s="276">
        <v>0</v>
      </c>
      <c r="I35" s="276">
        <v>0</v>
      </c>
      <c r="J35" s="281">
        <v>0</v>
      </c>
      <c r="K35" s="276">
        <v>0</v>
      </c>
      <c r="L35" s="276">
        <v>0</v>
      </c>
      <c r="M35" s="276">
        <v>0</v>
      </c>
      <c r="N35" s="276">
        <v>0</v>
      </c>
      <c r="O35" s="276">
        <v>0</v>
      </c>
      <c r="P35" s="276">
        <v>0</v>
      </c>
      <c r="Q35" s="276">
        <v>0</v>
      </c>
      <c r="R35" s="276">
        <v>0</v>
      </c>
      <c r="S35" s="276">
        <v>0</v>
      </c>
      <c r="T35" s="276">
        <v>0</v>
      </c>
      <c r="U35" s="276">
        <v>0</v>
      </c>
      <c r="V35" s="276">
        <v>0</v>
      </c>
      <c r="W35" s="276">
        <v>0</v>
      </c>
      <c r="X35" s="276">
        <v>0</v>
      </c>
      <c r="Y35" s="276">
        <v>0</v>
      </c>
      <c r="Z35" s="276">
        <v>0</v>
      </c>
      <c r="AA35" s="276">
        <v>0</v>
      </c>
      <c r="AB35" s="276">
        <v>0</v>
      </c>
      <c r="AC35" s="276">
        <v>0</v>
      </c>
      <c r="AD35" s="276">
        <v>0</v>
      </c>
      <c r="AE35" s="276">
        <v>0</v>
      </c>
      <c r="AF35" s="276">
        <f t="shared" si="3"/>
        <v>0</v>
      </c>
      <c r="AG35" s="284">
        <f t="shared" si="4"/>
        <v>0</v>
      </c>
    </row>
    <row r="36" spans="1:33" ht="31.5" x14ac:dyDescent="0.25">
      <c r="A36" s="71" t="s">
        <v>158</v>
      </c>
      <c r="B36" s="70" t="s">
        <v>157</v>
      </c>
      <c r="C36" s="282">
        <v>0</v>
      </c>
      <c r="D36" s="276">
        <v>0</v>
      </c>
      <c r="E36" s="277">
        <v>0</v>
      </c>
      <c r="F36" s="277">
        <v>0</v>
      </c>
      <c r="G36" s="277">
        <v>0</v>
      </c>
      <c r="H36" s="277">
        <v>0</v>
      </c>
      <c r="I36" s="277">
        <v>0</v>
      </c>
      <c r="J36" s="277">
        <v>0</v>
      </c>
      <c r="K36" s="277">
        <v>0</v>
      </c>
      <c r="L36" s="277">
        <v>0</v>
      </c>
      <c r="M36" s="277">
        <v>0</v>
      </c>
      <c r="N36" s="277">
        <v>0</v>
      </c>
      <c r="O36" s="277">
        <v>0</v>
      </c>
      <c r="P36" s="277">
        <v>0</v>
      </c>
      <c r="Q36" s="277">
        <v>0</v>
      </c>
      <c r="R36" s="277">
        <v>0</v>
      </c>
      <c r="S36" s="277">
        <v>0</v>
      </c>
      <c r="T36" s="277">
        <v>0</v>
      </c>
      <c r="U36" s="277">
        <v>0</v>
      </c>
      <c r="V36" s="277">
        <v>0</v>
      </c>
      <c r="W36" s="277">
        <v>0</v>
      </c>
      <c r="X36" s="277">
        <v>0</v>
      </c>
      <c r="Y36" s="277">
        <v>0</v>
      </c>
      <c r="Z36" s="277">
        <v>0</v>
      </c>
      <c r="AA36" s="277">
        <v>0</v>
      </c>
      <c r="AB36" s="277">
        <v>0</v>
      </c>
      <c r="AC36" s="277">
        <v>0</v>
      </c>
      <c r="AD36" s="277">
        <v>0</v>
      </c>
      <c r="AE36" s="277">
        <v>0</v>
      </c>
      <c r="AF36" s="276">
        <f t="shared" si="3"/>
        <v>0</v>
      </c>
      <c r="AG36" s="284">
        <f t="shared" si="4"/>
        <v>0</v>
      </c>
    </row>
    <row r="37" spans="1:33" x14ac:dyDescent="0.25">
      <c r="A37" s="71" t="s">
        <v>156</v>
      </c>
      <c r="B37" s="70" t="s">
        <v>146</v>
      </c>
      <c r="C37" s="282">
        <v>0</v>
      </c>
      <c r="D37" s="276">
        <v>0</v>
      </c>
      <c r="E37" s="277">
        <v>0</v>
      </c>
      <c r="F37" s="277">
        <v>0</v>
      </c>
      <c r="G37" s="277">
        <v>0</v>
      </c>
      <c r="H37" s="277">
        <v>0</v>
      </c>
      <c r="I37" s="277">
        <v>0</v>
      </c>
      <c r="J37" s="279">
        <v>0</v>
      </c>
      <c r="K37" s="277">
        <v>0</v>
      </c>
      <c r="L37" s="277">
        <v>0</v>
      </c>
      <c r="M37" s="277">
        <v>0</v>
      </c>
      <c r="N37" s="277">
        <v>0</v>
      </c>
      <c r="O37" s="277">
        <v>0</v>
      </c>
      <c r="P37" s="277">
        <v>0</v>
      </c>
      <c r="Q37" s="277">
        <v>0</v>
      </c>
      <c r="R37" s="277">
        <v>0</v>
      </c>
      <c r="S37" s="277">
        <v>0</v>
      </c>
      <c r="T37" s="277">
        <v>0</v>
      </c>
      <c r="U37" s="277">
        <v>0</v>
      </c>
      <c r="V37" s="277">
        <v>0</v>
      </c>
      <c r="W37" s="277">
        <v>0</v>
      </c>
      <c r="X37" s="277">
        <v>0</v>
      </c>
      <c r="Y37" s="277">
        <v>0</v>
      </c>
      <c r="Z37" s="277">
        <v>0</v>
      </c>
      <c r="AA37" s="277">
        <v>0</v>
      </c>
      <c r="AB37" s="277">
        <v>0</v>
      </c>
      <c r="AC37" s="277">
        <v>0</v>
      </c>
      <c r="AD37" s="277">
        <v>0</v>
      </c>
      <c r="AE37" s="277">
        <v>0</v>
      </c>
      <c r="AF37" s="276">
        <f t="shared" si="3"/>
        <v>0</v>
      </c>
      <c r="AG37" s="284">
        <f t="shared" si="4"/>
        <v>0</v>
      </c>
    </row>
    <row r="38" spans="1:33" x14ac:dyDescent="0.25">
      <c r="A38" s="71" t="s">
        <v>155</v>
      </c>
      <c r="B38" s="70" t="s">
        <v>144</v>
      </c>
      <c r="C38" s="282">
        <v>0</v>
      </c>
      <c r="D38" s="276">
        <v>0</v>
      </c>
      <c r="E38" s="277">
        <v>0</v>
      </c>
      <c r="F38" s="277">
        <v>0</v>
      </c>
      <c r="G38" s="277">
        <v>0</v>
      </c>
      <c r="H38" s="277">
        <v>0</v>
      </c>
      <c r="I38" s="277">
        <v>0</v>
      </c>
      <c r="J38" s="277">
        <v>0</v>
      </c>
      <c r="K38" s="277">
        <v>0</v>
      </c>
      <c r="L38" s="277">
        <v>0</v>
      </c>
      <c r="M38" s="277">
        <v>0</v>
      </c>
      <c r="N38" s="277">
        <v>0</v>
      </c>
      <c r="O38" s="277">
        <v>0</v>
      </c>
      <c r="P38" s="277">
        <v>0</v>
      </c>
      <c r="Q38" s="277">
        <v>0</v>
      </c>
      <c r="R38" s="277">
        <v>0</v>
      </c>
      <c r="S38" s="277">
        <v>0</v>
      </c>
      <c r="T38" s="277">
        <v>0</v>
      </c>
      <c r="U38" s="277">
        <v>0</v>
      </c>
      <c r="V38" s="277">
        <v>0</v>
      </c>
      <c r="W38" s="277">
        <v>0</v>
      </c>
      <c r="X38" s="277">
        <v>0</v>
      </c>
      <c r="Y38" s="277">
        <v>0</v>
      </c>
      <c r="Z38" s="277">
        <v>0</v>
      </c>
      <c r="AA38" s="277">
        <v>0</v>
      </c>
      <c r="AB38" s="277">
        <v>0</v>
      </c>
      <c r="AC38" s="277">
        <v>0</v>
      </c>
      <c r="AD38" s="277">
        <v>0</v>
      </c>
      <c r="AE38" s="277">
        <v>0</v>
      </c>
      <c r="AF38" s="276">
        <f t="shared" si="3"/>
        <v>0</v>
      </c>
      <c r="AG38" s="284">
        <f t="shared" si="4"/>
        <v>0</v>
      </c>
    </row>
    <row r="39" spans="1:33" ht="31.5" x14ac:dyDescent="0.25">
      <c r="A39" s="71" t="s">
        <v>154</v>
      </c>
      <c r="B39" s="45" t="s">
        <v>142</v>
      </c>
      <c r="C39" s="276">
        <v>0</v>
      </c>
      <c r="D39" s="276">
        <v>0</v>
      </c>
      <c r="E39" s="277">
        <v>0</v>
      </c>
      <c r="F39" s="277">
        <v>0</v>
      </c>
      <c r="G39" s="277">
        <v>0</v>
      </c>
      <c r="H39" s="277">
        <v>0</v>
      </c>
      <c r="I39" s="277">
        <v>0</v>
      </c>
      <c r="J39" s="277">
        <v>0</v>
      </c>
      <c r="K39" s="277">
        <v>0</v>
      </c>
      <c r="L39" s="277">
        <v>0</v>
      </c>
      <c r="M39" s="277">
        <v>0</v>
      </c>
      <c r="N39" s="277">
        <v>0</v>
      </c>
      <c r="O39" s="277">
        <v>0</v>
      </c>
      <c r="P39" s="277">
        <v>0</v>
      </c>
      <c r="Q39" s="277">
        <v>0</v>
      </c>
      <c r="R39" s="277">
        <v>0</v>
      </c>
      <c r="S39" s="277">
        <v>0</v>
      </c>
      <c r="T39" s="277">
        <v>0</v>
      </c>
      <c r="U39" s="277">
        <v>0</v>
      </c>
      <c r="V39" s="277">
        <v>0</v>
      </c>
      <c r="W39" s="277">
        <v>0</v>
      </c>
      <c r="X39" s="277">
        <v>0</v>
      </c>
      <c r="Y39" s="277">
        <v>0</v>
      </c>
      <c r="Z39" s="277">
        <v>0</v>
      </c>
      <c r="AA39" s="277">
        <v>0</v>
      </c>
      <c r="AB39" s="277">
        <v>0</v>
      </c>
      <c r="AC39" s="277">
        <v>0</v>
      </c>
      <c r="AD39" s="277">
        <v>0</v>
      </c>
      <c r="AE39" s="277">
        <v>0</v>
      </c>
      <c r="AF39" s="276">
        <f t="shared" si="3"/>
        <v>0</v>
      </c>
      <c r="AG39" s="284">
        <f t="shared" si="4"/>
        <v>0</v>
      </c>
    </row>
    <row r="40" spans="1:33" ht="31.5" x14ac:dyDescent="0.25">
      <c r="A40" s="71" t="s">
        <v>153</v>
      </c>
      <c r="B40" s="45" t="s">
        <v>140</v>
      </c>
      <c r="C40" s="276">
        <v>0</v>
      </c>
      <c r="D40" s="276">
        <v>0</v>
      </c>
      <c r="E40" s="277">
        <v>0</v>
      </c>
      <c r="F40" s="277">
        <v>0</v>
      </c>
      <c r="G40" s="277">
        <v>0</v>
      </c>
      <c r="H40" s="277">
        <v>0</v>
      </c>
      <c r="I40" s="277">
        <v>0</v>
      </c>
      <c r="J40" s="277">
        <v>0</v>
      </c>
      <c r="K40" s="277">
        <v>0</v>
      </c>
      <c r="L40" s="277">
        <v>0</v>
      </c>
      <c r="M40" s="277">
        <v>0</v>
      </c>
      <c r="N40" s="277">
        <v>0</v>
      </c>
      <c r="O40" s="277">
        <v>0</v>
      </c>
      <c r="P40" s="277">
        <v>0</v>
      </c>
      <c r="Q40" s="277">
        <v>0</v>
      </c>
      <c r="R40" s="277">
        <v>0</v>
      </c>
      <c r="S40" s="277">
        <v>0</v>
      </c>
      <c r="T40" s="277">
        <v>0</v>
      </c>
      <c r="U40" s="277">
        <v>0</v>
      </c>
      <c r="V40" s="277">
        <v>0</v>
      </c>
      <c r="W40" s="277">
        <v>0</v>
      </c>
      <c r="X40" s="277">
        <v>0</v>
      </c>
      <c r="Y40" s="277">
        <v>0</v>
      </c>
      <c r="Z40" s="277">
        <v>0</v>
      </c>
      <c r="AA40" s="277">
        <v>0</v>
      </c>
      <c r="AB40" s="277">
        <v>0</v>
      </c>
      <c r="AC40" s="277">
        <v>0</v>
      </c>
      <c r="AD40" s="277">
        <v>0</v>
      </c>
      <c r="AE40" s="277">
        <v>0</v>
      </c>
      <c r="AF40" s="276">
        <f t="shared" si="3"/>
        <v>0</v>
      </c>
      <c r="AG40" s="284">
        <f t="shared" si="4"/>
        <v>0</v>
      </c>
    </row>
    <row r="41" spans="1:33" x14ac:dyDescent="0.25">
      <c r="A41" s="71" t="s">
        <v>152</v>
      </c>
      <c r="B41" s="45" t="s">
        <v>138</v>
      </c>
      <c r="C41" s="276">
        <v>0</v>
      </c>
      <c r="D41" s="276">
        <v>0</v>
      </c>
      <c r="E41" s="277">
        <v>0</v>
      </c>
      <c r="F41" s="277">
        <v>0</v>
      </c>
      <c r="G41" s="277">
        <v>0</v>
      </c>
      <c r="H41" s="277">
        <v>0</v>
      </c>
      <c r="I41" s="277">
        <v>0</v>
      </c>
      <c r="J41" s="277">
        <v>0</v>
      </c>
      <c r="K41" s="277">
        <v>0</v>
      </c>
      <c r="L41" s="277">
        <v>0</v>
      </c>
      <c r="M41" s="277">
        <v>0</v>
      </c>
      <c r="N41" s="277">
        <v>0</v>
      </c>
      <c r="O41" s="277">
        <v>0</v>
      </c>
      <c r="P41" s="277">
        <v>0</v>
      </c>
      <c r="Q41" s="277">
        <v>0</v>
      </c>
      <c r="R41" s="277">
        <v>0</v>
      </c>
      <c r="S41" s="277">
        <v>0</v>
      </c>
      <c r="T41" s="277">
        <v>0</v>
      </c>
      <c r="U41" s="277">
        <v>0</v>
      </c>
      <c r="V41" s="277">
        <v>0</v>
      </c>
      <c r="W41" s="277">
        <v>0</v>
      </c>
      <c r="X41" s="277">
        <v>0</v>
      </c>
      <c r="Y41" s="277">
        <v>0</v>
      </c>
      <c r="Z41" s="277">
        <v>0</v>
      </c>
      <c r="AA41" s="277">
        <v>0</v>
      </c>
      <c r="AB41" s="277">
        <v>0</v>
      </c>
      <c r="AC41" s="277">
        <v>0</v>
      </c>
      <c r="AD41" s="277">
        <v>0</v>
      </c>
      <c r="AE41" s="277">
        <v>0</v>
      </c>
      <c r="AF41" s="276">
        <f t="shared" si="3"/>
        <v>0</v>
      </c>
      <c r="AG41" s="284">
        <f t="shared" si="4"/>
        <v>0</v>
      </c>
    </row>
    <row r="42" spans="1:33" ht="18.75" x14ac:dyDescent="0.25">
      <c r="A42" s="71" t="s">
        <v>151</v>
      </c>
      <c r="B42" s="70" t="s">
        <v>136</v>
      </c>
      <c r="C42" s="282">
        <v>0</v>
      </c>
      <c r="D42" s="276">
        <v>0</v>
      </c>
      <c r="E42" s="277">
        <v>0</v>
      </c>
      <c r="F42" s="277">
        <v>0</v>
      </c>
      <c r="G42" s="277">
        <v>0</v>
      </c>
      <c r="H42" s="277">
        <v>0</v>
      </c>
      <c r="I42" s="277">
        <v>0</v>
      </c>
      <c r="J42" s="277">
        <v>0</v>
      </c>
      <c r="K42" s="277">
        <v>0</v>
      </c>
      <c r="L42" s="277">
        <v>0</v>
      </c>
      <c r="M42" s="277">
        <v>0</v>
      </c>
      <c r="N42" s="277">
        <v>0</v>
      </c>
      <c r="O42" s="277">
        <v>0</v>
      </c>
      <c r="P42" s="277">
        <v>0</v>
      </c>
      <c r="Q42" s="277">
        <v>0</v>
      </c>
      <c r="R42" s="277">
        <v>0</v>
      </c>
      <c r="S42" s="277">
        <v>0</v>
      </c>
      <c r="T42" s="277">
        <v>0</v>
      </c>
      <c r="U42" s="277">
        <v>0</v>
      </c>
      <c r="V42" s="277">
        <v>0</v>
      </c>
      <c r="W42" s="277">
        <v>0</v>
      </c>
      <c r="X42" s="277">
        <v>0</v>
      </c>
      <c r="Y42" s="277">
        <v>0</v>
      </c>
      <c r="Z42" s="277">
        <v>0</v>
      </c>
      <c r="AA42" s="277">
        <v>0</v>
      </c>
      <c r="AB42" s="277">
        <v>0</v>
      </c>
      <c r="AC42" s="277">
        <v>0</v>
      </c>
      <c r="AD42" s="277">
        <v>0</v>
      </c>
      <c r="AE42" s="277">
        <v>0</v>
      </c>
      <c r="AF42" s="276">
        <f t="shared" si="3"/>
        <v>0</v>
      </c>
      <c r="AG42" s="284">
        <f t="shared" si="4"/>
        <v>0</v>
      </c>
    </row>
    <row r="43" spans="1:33" x14ac:dyDescent="0.25">
      <c r="A43" s="74" t="s">
        <v>59</v>
      </c>
      <c r="B43" s="73" t="s">
        <v>150</v>
      </c>
      <c r="C43" s="276">
        <v>0</v>
      </c>
      <c r="D43" s="276">
        <v>0</v>
      </c>
      <c r="E43" s="280">
        <v>0</v>
      </c>
      <c r="F43" s="280">
        <v>0</v>
      </c>
      <c r="G43" s="276">
        <v>0</v>
      </c>
      <c r="H43" s="276">
        <v>0</v>
      </c>
      <c r="I43" s="276">
        <v>0</v>
      </c>
      <c r="J43" s="281">
        <v>0</v>
      </c>
      <c r="K43" s="276">
        <v>0</v>
      </c>
      <c r="L43" s="276">
        <v>0</v>
      </c>
      <c r="M43" s="276">
        <v>0</v>
      </c>
      <c r="N43" s="276">
        <v>0</v>
      </c>
      <c r="O43" s="276">
        <v>0</v>
      </c>
      <c r="P43" s="276">
        <v>0</v>
      </c>
      <c r="Q43" s="276">
        <v>0</v>
      </c>
      <c r="R43" s="276">
        <v>0</v>
      </c>
      <c r="S43" s="276">
        <v>0</v>
      </c>
      <c r="T43" s="276">
        <v>0</v>
      </c>
      <c r="U43" s="276">
        <v>0</v>
      </c>
      <c r="V43" s="276">
        <v>0</v>
      </c>
      <c r="W43" s="276">
        <v>0</v>
      </c>
      <c r="X43" s="276">
        <v>0</v>
      </c>
      <c r="Y43" s="276">
        <v>0</v>
      </c>
      <c r="Z43" s="276">
        <v>0</v>
      </c>
      <c r="AA43" s="276">
        <v>0</v>
      </c>
      <c r="AB43" s="276">
        <v>0</v>
      </c>
      <c r="AC43" s="276">
        <v>0</v>
      </c>
      <c r="AD43" s="276">
        <v>0</v>
      </c>
      <c r="AE43" s="276">
        <v>0</v>
      </c>
      <c r="AF43" s="276">
        <f t="shared" si="3"/>
        <v>0</v>
      </c>
      <c r="AG43" s="284">
        <f t="shared" si="4"/>
        <v>0</v>
      </c>
    </row>
    <row r="44" spans="1:33" x14ac:dyDescent="0.25">
      <c r="A44" s="71" t="s">
        <v>149</v>
      </c>
      <c r="B44" s="45" t="s">
        <v>148</v>
      </c>
      <c r="C44" s="276">
        <v>0</v>
      </c>
      <c r="D44" s="276">
        <v>0</v>
      </c>
      <c r="E44" s="277">
        <v>0</v>
      </c>
      <c r="F44" s="277">
        <v>0</v>
      </c>
      <c r="G44" s="277">
        <v>0</v>
      </c>
      <c r="H44" s="277">
        <v>0</v>
      </c>
      <c r="I44" s="277">
        <v>0</v>
      </c>
      <c r="J44" s="277">
        <v>0</v>
      </c>
      <c r="K44" s="277">
        <v>0</v>
      </c>
      <c r="L44" s="277">
        <v>0</v>
      </c>
      <c r="M44" s="277">
        <v>0</v>
      </c>
      <c r="N44" s="277">
        <v>0</v>
      </c>
      <c r="O44" s="277">
        <v>0</v>
      </c>
      <c r="P44" s="277">
        <v>0</v>
      </c>
      <c r="Q44" s="277">
        <v>0</v>
      </c>
      <c r="R44" s="277">
        <v>0</v>
      </c>
      <c r="S44" s="277">
        <v>0</v>
      </c>
      <c r="T44" s="277">
        <v>0</v>
      </c>
      <c r="U44" s="277">
        <v>0</v>
      </c>
      <c r="V44" s="277">
        <v>0</v>
      </c>
      <c r="W44" s="277">
        <v>0</v>
      </c>
      <c r="X44" s="277">
        <v>0</v>
      </c>
      <c r="Y44" s="277">
        <v>0</v>
      </c>
      <c r="Z44" s="277">
        <v>0</v>
      </c>
      <c r="AA44" s="277">
        <v>0</v>
      </c>
      <c r="AB44" s="277">
        <v>0</v>
      </c>
      <c r="AC44" s="277">
        <v>0</v>
      </c>
      <c r="AD44" s="277">
        <v>0</v>
      </c>
      <c r="AE44" s="277">
        <v>0</v>
      </c>
      <c r="AF44" s="276">
        <f t="shared" si="3"/>
        <v>0</v>
      </c>
      <c r="AG44" s="284">
        <f t="shared" si="4"/>
        <v>0</v>
      </c>
    </row>
    <row r="45" spans="1:33" x14ac:dyDescent="0.25">
      <c r="A45" s="71" t="s">
        <v>147</v>
      </c>
      <c r="B45" s="45" t="s">
        <v>146</v>
      </c>
      <c r="C45" s="276">
        <v>0</v>
      </c>
      <c r="D45" s="276">
        <v>0</v>
      </c>
      <c r="E45" s="277">
        <v>0</v>
      </c>
      <c r="F45" s="277">
        <v>0</v>
      </c>
      <c r="G45" s="277">
        <v>0</v>
      </c>
      <c r="H45" s="277">
        <v>0</v>
      </c>
      <c r="I45" s="277">
        <v>0</v>
      </c>
      <c r="J45" s="279">
        <v>0</v>
      </c>
      <c r="K45" s="277">
        <v>0</v>
      </c>
      <c r="L45" s="277">
        <v>0</v>
      </c>
      <c r="M45" s="277">
        <v>0</v>
      </c>
      <c r="N45" s="277">
        <v>0</v>
      </c>
      <c r="O45" s="277">
        <v>0</v>
      </c>
      <c r="P45" s="277">
        <v>0</v>
      </c>
      <c r="Q45" s="277">
        <v>0</v>
      </c>
      <c r="R45" s="277">
        <v>0</v>
      </c>
      <c r="S45" s="277">
        <v>0</v>
      </c>
      <c r="T45" s="277">
        <v>0</v>
      </c>
      <c r="U45" s="277">
        <v>0</v>
      </c>
      <c r="V45" s="277">
        <v>0</v>
      </c>
      <c r="W45" s="277">
        <v>0</v>
      </c>
      <c r="X45" s="277">
        <v>0</v>
      </c>
      <c r="Y45" s="277">
        <v>0</v>
      </c>
      <c r="Z45" s="277">
        <v>0</v>
      </c>
      <c r="AA45" s="277">
        <v>0</v>
      </c>
      <c r="AB45" s="277">
        <v>0</v>
      </c>
      <c r="AC45" s="277">
        <v>0</v>
      </c>
      <c r="AD45" s="277">
        <v>0</v>
      </c>
      <c r="AE45" s="277">
        <v>0</v>
      </c>
      <c r="AF45" s="276">
        <f t="shared" si="3"/>
        <v>0</v>
      </c>
      <c r="AG45" s="284">
        <f t="shared" si="4"/>
        <v>0</v>
      </c>
    </row>
    <row r="46" spans="1:33" x14ac:dyDescent="0.25">
      <c r="A46" s="71" t="s">
        <v>145</v>
      </c>
      <c r="B46" s="45" t="s">
        <v>144</v>
      </c>
      <c r="C46" s="276">
        <v>0</v>
      </c>
      <c r="D46" s="276">
        <v>0</v>
      </c>
      <c r="E46" s="277">
        <v>0</v>
      </c>
      <c r="F46" s="277">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7">
        <v>0</v>
      </c>
      <c r="AC46" s="277">
        <v>0</v>
      </c>
      <c r="AD46" s="277">
        <v>0</v>
      </c>
      <c r="AE46" s="277">
        <v>0</v>
      </c>
      <c r="AF46" s="276">
        <f t="shared" si="3"/>
        <v>0</v>
      </c>
      <c r="AG46" s="284">
        <f t="shared" si="4"/>
        <v>0</v>
      </c>
    </row>
    <row r="47" spans="1:33" ht="31.5" x14ac:dyDescent="0.25">
      <c r="A47" s="71" t="s">
        <v>143</v>
      </c>
      <c r="B47" s="45" t="s">
        <v>142</v>
      </c>
      <c r="C47" s="276">
        <v>0</v>
      </c>
      <c r="D47" s="276">
        <v>0</v>
      </c>
      <c r="E47" s="277">
        <v>0</v>
      </c>
      <c r="F47" s="277">
        <v>0</v>
      </c>
      <c r="G47" s="277">
        <v>0</v>
      </c>
      <c r="H47" s="277">
        <v>0</v>
      </c>
      <c r="I47" s="277">
        <v>0</v>
      </c>
      <c r="J47" s="277">
        <v>0</v>
      </c>
      <c r="K47" s="277">
        <v>0</v>
      </c>
      <c r="L47" s="277">
        <v>0</v>
      </c>
      <c r="M47" s="277">
        <v>0</v>
      </c>
      <c r="N47" s="277">
        <v>0</v>
      </c>
      <c r="O47" s="277">
        <v>0</v>
      </c>
      <c r="P47" s="277">
        <v>0</v>
      </c>
      <c r="Q47" s="277">
        <v>0</v>
      </c>
      <c r="R47" s="277">
        <v>0</v>
      </c>
      <c r="S47" s="277">
        <v>0</v>
      </c>
      <c r="T47" s="277">
        <v>0</v>
      </c>
      <c r="U47" s="277">
        <v>0</v>
      </c>
      <c r="V47" s="277">
        <v>0</v>
      </c>
      <c r="W47" s="277">
        <v>0</v>
      </c>
      <c r="X47" s="277">
        <v>0</v>
      </c>
      <c r="Y47" s="277">
        <v>0</v>
      </c>
      <c r="Z47" s="277">
        <v>0</v>
      </c>
      <c r="AA47" s="277">
        <v>0</v>
      </c>
      <c r="AB47" s="277">
        <v>0</v>
      </c>
      <c r="AC47" s="277">
        <v>0</v>
      </c>
      <c r="AD47" s="277">
        <v>0</v>
      </c>
      <c r="AE47" s="277">
        <v>0</v>
      </c>
      <c r="AF47" s="276">
        <f t="shared" si="3"/>
        <v>0</v>
      </c>
      <c r="AG47" s="284">
        <f t="shared" si="4"/>
        <v>0</v>
      </c>
    </row>
    <row r="48" spans="1:33" ht="31.5" x14ac:dyDescent="0.25">
      <c r="A48" s="71" t="s">
        <v>141</v>
      </c>
      <c r="B48" s="45" t="s">
        <v>140</v>
      </c>
      <c r="C48" s="276">
        <v>0</v>
      </c>
      <c r="D48" s="276">
        <v>0</v>
      </c>
      <c r="E48" s="277">
        <v>0</v>
      </c>
      <c r="F48" s="277">
        <v>0</v>
      </c>
      <c r="G48" s="277">
        <v>0</v>
      </c>
      <c r="H48" s="277">
        <v>0</v>
      </c>
      <c r="I48" s="277">
        <v>0</v>
      </c>
      <c r="J48" s="277">
        <v>0</v>
      </c>
      <c r="K48" s="277">
        <v>0</v>
      </c>
      <c r="L48" s="277">
        <v>0</v>
      </c>
      <c r="M48" s="277">
        <v>0</v>
      </c>
      <c r="N48" s="277">
        <v>0</v>
      </c>
      <c r="O48" s="277">
        <v>0</v>
      </c>
      <c r="P48" s="277">
        <v>0</v>
      </c>
      <c r="Q48" s="277">
        <v>0</v>
      </c>
      <c r="R48" s="277">
        <v>0</v>
      </c>
      <c r="S48" s="277">
        <v>0</v>
      </c>
      <c r="T48" s="277">
        <v>0</v>
      </c>
      <c r="U48" s="277">
        <v>0</v>
      </c>
      <c r="V48" s="277">
        <v>0</v>
      </c>
      <c r="W48" s="277">
        <v>0</v>
      </c>
      <c r="X48" s="277">
        <v>0</v>
      </c>
      <c r="Y48" s="277">
        <v>0</v>
      </c>
      <c r="Z48" s="277">
        <v>0</v>
      </c>
      <c r="AA48" s="277">
        <v>0</v>
      </c>
      <c r="AB48" s="277">
        <v>0</v>
      </c>
      <c r="AC48" s="277">
        <v>0</v>
      </c>
      <c r="AD48" s="277">
        <v>0</v>
      </c>
      <c r="AE48" s="277">
        <v>0</v>
      </c>
      <c r="AF48" s="276">
        <f t="shared" si="3"/>
        <v>0</v>
      </c>
      <c r="AG48" s="284">
        <f t="shared" si="4"/>
        <v>0</v>
      </c>
    </row>
    <row r="49" spans="1:35" x14ac:dyDescent="0.25">
      <c r="A49" s="71" t="s">
        <v>139</v>
      </c>
      <c r="B49" s="45" t="s">
        <v>138</v>
      </c>
      <c r="C49" s="276">
        <v>0</v>
      </c>
      <c r="D49" s="276">
        <v>0</v>
      </c>
      <c r="E49" s="277">
        <v>0</v>
      </c>
      <c r="F49" s="277">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7">
        <v>0</v>
      </c>
      <c r="AC49" s="277">
        <v>0</v>
      </c>
      <c r="AD49" s="277">
        <v>0</v>
      </c>
      <c r="AE49" s="277">
        <v>0</v>
      </c>
      <c r="AF49" s="276">
        <f t="shared" si="3"/>
        <v>0</v>
      </c>
      <c r="AG49" s="284">
        <f t="shared" si="4"/>
        <v>0</v>
      </c>
    </row>
    <row r="50" spans="1:35" ht="18.75" x14ac:dyDescent="0.25">
      <c r="A50" s="71" t="s">
        <v>137</v>
      </c>
      <c r="B50" s="70" t="s">
        <v>136</v>
      </c>
      <c r="C50" s="282">
        <v>0</v>
      </c>
      <c r="D50" s="276">
        <v>0</v>
      </c>
      <c r="E50" s="277">
        <v>0</v>
      </c>
      <c r="F50" s="277">
        <v>0</v>
      </c>
      <c r="G50" s="277">
        <v>0</v>
      </c>
      <c r="H50" s="277">
        <v>0</v>
      </c>
      <c r="I50" s="277">
        <v>0</v>
      </c>
      <c r="J50" s="277">
        <v>0</v>
      </c>
      <c r="K50" s="277">
        <v>0</v>
      </c>
      <c r="L50" s="277">
        <v>0</v>
      </c>
      <c r="M50" s="277">
        <v>0</v>
      </c>
      <c r="N50" s="277">
        <v>0</v>
      </c>
      <c r="O50" s="277">
        <v>0</v>
      </c>
      <c r="P50" s="277">
        <v>0</v>
      </c>
      <c r="Q50" s="277">
        <v>0</v>
      </c>
      <c r="R50" s="277">
        <v>0</v>
      </c>
      <c r="S50" s="277">
        <v>0</v>
      </c>
      <c r="T50" s="277">
        <v>0</v>
      </c>
      <c r="U50" s="277">
        <v>0</v>
      </c>
      <c r="V50" s="277">
        <v>0</v>
      </c>
      <c r="W50" s="277">
        <v>0</v>
      </c>
      <c r="X50" s="277">
        <v>0</v>
      </c>
      <c r="Y50" s="277">
        <v>0</v>
      </c>
      <c r="Z50" s="277">
        <v>0</v>
      </c>
      <c r="AA50" s="277">
        <v>0</v>
      </c>
      <c r="AB50" s="277">
        <v>0</v>
      </c>
      <c r="AC50" s="277">
        <v>0</v>
      </c>
      <c r="AD50" s="277">
        <v>0</v>
      </c>
      <c r="AE50" s="277">
        <v>0</v>
      </c>
      <c r="AF50" s="276">
        <f t="shared" si="3"/>
        <v>0</v>
      </c>
      <c r="AG50" s="284">
        <f t="shared" si="4"/>
        <v>0</v>
      </c>
    </row>
    <row r="51" spans="1:35" ht="35.25" customHeight="1" x14ac:dyDescent="0.25">
      <c r="A51" s="74" t="s">
        <v>57</v>
      </c>
      <c r="B51" s="73" t="s">
        <v>135</v>
      </c>
      <c r="C51" s="276">
        <v>0</v>
      </c>
      <c r="D51" s="276">
        <v>0</v>
      </c>
      <c r="E51" s="280">
        <v>0</v>
      </c>
      <c r="F51" s="280">
        <v>0</v>
      </c>
      <c r="G51" s="276">
        <v>0</v>
      </c>
      <c r="H51" s="276">
        <v>0</v>
      </c>
      <c r="I51" s="276">
        <v>0</v>
      </c>
      <c r="J51" s="281">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v>0</v>
      </c>
      <c r="AC51" s="276">
        <v>0</v>
      </c>
      <c r="AD51" s="276">
        <v>0</v>
      </c>
      <c r="AE51" s="276">
        <v>0</v>
      </c>
      <c r="AF51" s="276">
        <f t="shared" si="3"/>
        <v>0</v>
      </c>
      <c r="AG51" s="284">
        <f t="shared" si="4"/>
        <v>0</v>
      </c>
    </row>
    <row r="52" spans="1:35" x14ac:dyDescent="0.25">
      <c r="A52" s="71" t="s">
        <v>134</v>
      </c>
      <c r="B52" s="45" t="s">
        <v>133</v>
      </c>
      <c r="C52" s="276">
        <v>0</v>
      </c>
      <c r="D52" s="276">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7">
        <v>0</v>
      </c>
      <c r="AD52" s="277">
        <v>0</v>
      </c>
      <c r="AE52" s="277">
        <v>0</v>
      </c>
      <c r="AF52" s="276">
        <f t="shared" si="3"/>
        <v>0</v>
      </c>
      <c r="AG52" s="284">
        <f t="shared" si="4"/>
        <v>0</v>
      </c>
      <c r="AI52" s="399">
        <f>G52+J52+N52+R52+AG52</f>
        <v>0</v>
      </c>
    </row>
    <row r="53" spans="1:35" x14ac:dyDescent="0.25">
      <c r="A53" s="71" t="s">
        <v>132</v>
      </c>
      <c r="B53" s="45" t="s">
        <v>126</v>
      </c>
      <c r="C53" s="276">
        <v>0</v>
      </c>
      <c r="D53" s="276">
        <v>0</v>
      </c>
      <c r="E53" s="277">
        <v>0</v>
      </c>
      <c r="F53" s="277">
        <v>0</v>
      </c>
      <c r="G53" s="277">
        <v>0</v>
      </c>
      <c r="H53" s="277">
        <v>0</v>
      </c>
      <c r="I53" s="277">
        <v>0</v>
      </c>
      <c r="J53" s="279">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7">
        <v>0</v>
      </c>
      <c r="AD53" s="277">
        <v>0</v>
      </c>
      <c r="AE53" s="277">
        <v>0</v>
      </c>
      <c r="AF53" s="276">
        <f t="shared" si="3"/>
        <v>0</v>
      </c>
      <c r="AG53" s="284">
        <f t="shared" si="4"/>
        <v>0</v>
      </c>
    </row>
    <row r="54" spans="1:35" x14ac:dyDescent="0.25">
      <c r="A54" s="71" t="s">
        <v>131</v>
      </c>
      <c r="B54" s="70" t="s">
        <v>125</v>
      </c>
      <c r="C54" s="282">
        <v>0</v>
      </c>
      <c r="D54" s="276">
        <v>0</v>
      </c>
      <c r="E54" s="277">
        <v>0</v>
      </c>
      <c r="F54" s="277">
        <v>0</v>
      </c>
      <c r="G54" s="277">
        <v>0</v>
      </c>
      <c r="H54" s="277">
        <v>0</v>
      </c>
      <c r="I54" s="277">
        <v>0</v>
      </c>
      <c r="J54" s="279">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6">
        <f t="shared" si="3"/>
        <v>0</v>
      </c>
      <c r="AG54" s="284">
        <f t="shared" si="4"/>
        <v>0</v>
      </c>
    </row>
    <row r="55" spans="1:35" x14ac:dyDescent="0.25">
      <c r="A55" s="71" t="s">
        <v>130</v>
      </c>
      <c r="B55" s="70" t="s">
        <v>124</v>
      </c>
      <c r="C55" s="282">
        <v>0</v>
      </c>
      <c r="D55" s="276">
        <v>0</v>
      </c>
      <c r="E55" s="277">
        <v>0</v>
      </c>
      <c r="F55" s="277">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7">
        <v>0</v>
      </c>
      <c r="AC55" s="277">
        <v>0</v>
      </c>
      <c r="AD55" s="277">
        <v>0</v>
      </c>
      <c r="AE55" s="277">
        <v>0</v>
      </c>
      <c r="AF55" s="276">
        <f t="shared" si="3"/>
        <v>0</v>
      </c>
      <c r="AG55" s="284">
        <f t="shared" si="4"/>
        <v>0</v>
      </c>
    </row>
    <row r="56" spans="1:35" x14ac:dyDescent="0.25">
      <c r="A56" s="71" t="s">
        <v>129</v>
      </c>
      <c r="B56" s="70" t="s">
        <v>123</v>
      </c>
      <c r="C56" s="282">
        <v>0</v>
      </c>
      <c r="D56" s="276">
        <v>0</v>
      </c>
      <c r="E56" s="277">
        <v>0</v>
      </c>
      <c r="F56" s="277">
        <v>0</v>
      </c>
      <c r="G56" s="277">
        <v>0</v>
      </c>
      <c r="H56" s="277">
        <v>0</v>
      </c>
      <c r="I56" s="277">
        <v>0</v>
      </c>
      <c r="J56" s="277">
        <v>0</v>
      </c>
      <c r="K56" s="277">
        <v>0</v>
      </c>
      <c r="L56" s="277">
        <v>0</v>
      </c>
      <c r="M56" s="277">
        <v>0</v>
      </c>
      <c r="N56" s="277">
        <v>0</v>
      </c>
      <c r="O56" s="277">
        <v>0</v>
      </c>
      <c r="P56" s="277">
        <v>0</v>
      </c>
      <c r="Q56" s="277">
        <v>0</v>
      </c>
      <c r="R56" s="277">
        <v>0</v>
      </c>
      <c r="S56" s="277">
        <v>0</v>
      </c>
      <c r="T56" s="277">
        <v>0</v>
      </c>
      <c r="U56" s="277">
        <v>0</v>
      </c>
      <c r="V56" s="277">
        <v>0</v>
      </c>
      <c r="W56" s="277">
        <v>0</v>
      </c>
      <c r="X56" s="277">
        <v>0</v>
      </c>
      <c r="Y56" s="277">
        <v>0</v>
      </c>
      <c r="Z56" s="277">
        <v>0</v>
      </c>
      <c r="AA56" s="277">
        <v>0</v>
      </c>
      <c r="AB56" s="277">
        <v>0</v>
      </c>
      <c r="AC56" s="277">
        <v>0</v>
      </c>
      <c r="AD56" s="277">
        <v>0</v>
      </c>
      <c r="AE56" s="277">
        <v>0</v>
      </c>
      <c r="AF56" s="276">
        <f t="shared" si="3"/>
        <v>0</v>
      </c>
      <c r="AG56" s="284">
        <f t="shared" si="4"/>
        <v>0</v>
      </c>
    </row>
    <row r="57" spans="1:35" ht="18.75" x14ac:dyDescent="0.25">
      <c r="A57" s="71" t="s">
        <v>128</v>
      </c>
      <c r="B57" s="70" t="s">
        <v>122</v>
      </c>
      <c r="C57" s="282">
        <v>0</v>
      </c>
      <c r="D57" s="276">
        <v>0</v>
      </c>
      <c r="E57" s="277">
        <v>0</v>
      </c>
      <c r="F57" s="277">
        <v>0</v>
      </c>
      <c r="G57" s="277">
        <v>0</v>
      </c>
      <c r="H57" s="277">
        <v>0</v>
      </c>
      <c r="I57" s="277">
        <v>0</v>
      </c>
      <c r="J57" s="277">
        <v>0</v>
      </c>
      <c r="K57" s="277">
        <v>0</v>
      </c>
      <c r="L57" s="277">
        <v>0</v>
      </c>
      <c r="M57" s="277">
        <v>0</v>
      </c>
      <c r="N57" s="277">
        <v>0</v>
      </c>
      <c r="O57" s="277">
        <v>0</v>
      </c>
      <c r="P57" s="277">
        <v>0</v>
      </c>
      <c r="Q57" s="277">
        <v>0</v>
      </c>
      <c r="R57" s="277">
        <v>0</v>
      </c>
      <c r="S57" s="277">
        <v>0</v>
      </c>
      <c r="T57" s="277">
        <v>0</v>
      </c>
      <c r="U57" s="277">
        <v>0</v>
      </c>
      <c r="V57" s="277">
        <v>0</v>
      </c>
      <c r="W57" s="277">
        <v>0</v>
      </c>
      <c r="X57" s="277">
        <v>0</v>
      </c>
      <c r="Y57" s="277">
        <v>0</v>
      </c>
      <c r="Z57" s="277">
        <v>0</v>
      </c>
      <c r="AA57" s="277">
        <v>0</v>
      </c>
      <c r="AB57" s="277">
        <v>0</v>
      </c>
      <c r="AC57" s="277">
        <v>0</v>
      </c>
      <c r="AD57" s="277">
        <v>0</v>
      </c>
      <c r="AE57" s="277">
        <v>0</v>
      </c>
      <c r="AF57" s="276">
        <f t="shared" si="3"/>
        <v>0</v>
      </c>
      <c r="AG57" s="284">
        <f t="shared" si="4"/>
        <v>0</v>
      </c>
    </row>
    <row r="58" spans="1:35" ht="36.75" customHeight="1" x14ac:dyDescent="0.25">
      <c r="A58" s="74" t="s">
        <v>56</v>
      </c>
      <c r="B58" s="95" t="s">
        <v>226</v>
      </c>
      <c r="C58" s="282">
        <v>0</v>
      </c>
      <c r="D58" s="276">
        <v>0</v>
      </c>
      <c r="E58" s="280">
        <v>0</v>
      </c>
      <c r="F58" s="280">
        <v>0</v>
      </c>
      <c r="G58" s="276">
        <v>0</v>
      </c>
      <c r="H58" s="276">
        <v>0</v>
      </c>
      <c r="I58" s="276">
        <v>0</v>
      </c>
      <c r="J58" s="281">
        <v>0</v>
      </c>
      <c r="K58" s="276">
        <v>0</v>
      </c>
      <c r="L58" s="276">
        <v>0</v>
      </c>
      <c r="M58" s="276">
        <v>0</v>
      </c>
      <c r="N58" s="276">
        <v>0</v>
      </c>
      <c r="O58" s="276">
        <v>0</v>
      </c>
      <c r="P58" s="276">
        <v>0</v>
      </c>
      <c r="Q58" s="276">
        <v>0</v>
      </c>
      <c r="R58" s="276">
        <v>0</v>
      </c>
      <c r="S58" s="276">
        <v>0</v>
      </c>
      <c r="T58" s="276">
        <v>0</v>
      </c>
      <c r="U58" s="276">
        <v>0</v>
      </c>
      <c r="V58" s="276">
        <v>0</v>
      </c>
      <c r="W58" s="276">
        <v>0</v>
      </c>
      <c r="X58" s="276">
        <v>0</v>
      </c>
      <c r="Y58" s="276">
        <v>0</v>
      </c>
      <c r="Z58" s="276">
        <v>0</v>
      </c>
      <c r="AA58" s="276">
        <v>0</v>
      </c>
      <c r="AB58" s="276">
        <v>0</v>
      </c>
      <c r="AC58" s="276">
        <v>0</v>
      </c>
      <c r="AD58" s="276">
        <v>0</v>
      </c>
      <c r="AE58" s="276">
        <v>0</v>
      </c>
      <c r="AF58" s="276">
        <f t="shared" si="3"/>
        <v>0</v>
      </c>
      <c r="AG58" s="284">
        <f t="shared" si="4"/>
        <v>0</v>
      </c>
    </row>
    <row r="59" spans="1:35" x14ac:dyDescent="0.25">
      <c r="A59" s="74" t="s">
        <v>54</v>
      </c>
      <c r="B59" s="73" t="s">
        <v>127</v>
      </c>
      <c r="C59" s="276">
        <v>0</v>
      </c>
      <c r="D59" s="276">
        <v>0</v>
      </c>
      <c r="E59" s="280">
        <v>0</v>
      </c>
      <c r="F59" s="280">
        <v>0</v>
      </c>
      <c r="G59" s="276">
        <v>0</v>
      </c>
      <c r="H59" s="276">
        <v>0</v>
      </c>
      <c r="I59" s="276">
        <v>0</v>
      </c>
      <c r="J59" s="281">
        <v>0</v>
      </c>
      <c r="K59" s="276">
        <v>0</v>
      </c>
      <c r="L59" s="276">
        <v>0</v>
      </c>
      <c r="M59" s="276">
        <v>0</v>
      </c>
      <c r="N59" s="276">
        <v>0</v>
      </c>
      <c r="O59" s="276">
        <v>0</v>
      </c>
      <c r="P59" s="276">
        <v>0</v>
      </c>
      <c r="Q59" s="276">
        <v>0</v>
      </c>
      <c r="R59" s="276">
        <v>0</v>
      </c>
      <c r="S59" s="276">
        <v>0</v>
      </c>
      <c r="T59" s="276">
        <v>0</v>
      </c>
      <c r="U59" s="276">
        <v>0</v>
      </c>
      <c r="V59" s="276">
        <v>0</v>
      </c>
      <c r="W59" s="276">
        <v>0</v>
      </c>
      <c r="X59" s="276">
        <v>0</v>
      </c>
      <c r="Y59" s="276">
        <v>0</v>
      </c>
      <c r="Z59" s="276">
        <v>0</v>
      </c>
      <c r="AA59" s="276">
        <v>0</v>
      </c>
      <c r="AB59" s="276">
        <v>0</v>
      </c>
      <c r="AC59" s="276">
        <v>0</v>
      </c>
      <c r="AD59" s="276">
        <v>0</v>
      </c>
      <c r="AE59" s="276">
        <v>0</v>
      </c>
      <c r="AF59" s="276">
        <f t="shared" si="3"/>
        <v>0</v>
      </c>
      <c r="AG59" s="284">
        <f t="shared" si="4"/>
        <v>0</v>
      </c>
    </row>
    <row r="60" spans="1:35" x14ac:dyDescent="0.25">
      <c r="A60" s="71" t="s">
        <v>220</v>
      </c>
      <c r="B60" s="72" t="s">
        <v>148</v>
      </c>
      <c r="C60" s="283">
        <v>0</v>
      </c>
      <c r="D60" s="276">
        <v>0</v>
      </c>
      <c r="E60" s="277">
        <v>0</v>
      </c>
      <c r="F60" s="277">
        <v>0</v>
      </c>
      <c r="G60" s="277">
        <v>0</v>
      </c>
      <c r="H60" s="277">
        <v>0</v>
      </c>
      <c r="I60" s="277">
        <v>0</v>
      </c>
      <c r="J60" s="277">
        <v>0</v>
      </c>
      <c r="K60" s="277">
        <v>0</v>
      </c>
      <c r="L60" s="277">
        <v>0</v>
      </c>
      <c r="M60" s="277">
        <v>0</v>
      </c>
      <c r="N60" s="277">
        <v>0</v>
      </c>
      <c r="O60" s="277">
        <v>0</v>
      </c>
      <c r="P60" s="277">
        <v>0</v>
      </c>
      <c r="Q60" s="277">
        <v>0</v>
      </c>
      <c r="R60" s="277">
        <v>0</v>
      </c>
      <c r="S60" s="277">
        <v>0</v>
      </c>
      <c r="T60" s="277">
        <v>0</v>
      </c>
      <c r="U60" s="277">
        <v>0</v>
      </c>
      <c r="V60" s="277">
        <v>0</v>
      </c>
      <c r="W60" s="277">
        <v>0</v>
      </c>
      <c r="X60" s="277">
        <v>0</v>
      </c>
      <c r="Y60" s="277">
        <v>0</v>
      </c>
      <c r="Z60" s="277">
        <v>0</v>
      </c>
      <c r="AA60" s="277">
        <v>0</v>
      </c>
      <c r="AB60" s="277">
        <v>0</v>
      </c>
      <c r="AC60" s="277">
        <v>0</v>
      </c>
      <c r="AD60" s="277">
        <v>0</v>
      </c>
      <c r="AE60" s="277">
        <v>0</v>
      </c>
      <c r="AF60" s="276">
        <f t="shared" si="3"/>
        <v>0</v>
      </c>
      <c r="AG60" s="284">
        <f t="shared" si="4"/>
        <v>0</v>
      </c>
    </row>
    <row r="61" spans="1:35" x14ac:dyDescent="0.25">
      <c r="A61" s="71" t="s">
        <v>221</v>
      </c>
      <c r="B61" s="72" t="s">
        <v>146</v>
      </c>
      <c r="C61" s="283">
        <v>0</v>
      </c>
      <c r="D61" s="276">
        <v>0</v>
      </c>
      <c r="E61" s="277">
        <v>0</v>
      </c>
      <c r="F61" s="277">
        <v>0</v>
      </c>
      <c r="G61" s="277">
        <v>0</v>
      </c>
      <c r="H61" s="277">
        <v>0</v>
      </c>
      <c r="I61" s="277">
        <v>0</v>
      </c>
      <c r="J61" s="277">
        <v>0</v>
      </c>
      <c r="K61" s="277">
        <v>0</v>
      </c>
      <c r="L61" s="277">
        <v>0</v>
      </c>
      <c r="M61" s="277">
        <v>0</v>
      </c>
      <c r="N61" s="277">
        <v>0</v>
      </c>
      <c r="O61" s="277">
        <v>0</v>
      </c>
      <c r="P61" s="277">
        <v>0</v>
      </c>
      <c r="Q61" s="277">
        <v>0</v>
      </c>
      <c r="R61" s="277">
        <v>0</v>
      </c>
      <c r="S61" s="277">
        <v>0</v>
      </c>
      <c r="T61" s="277">
        <v>0</v>
      </c>
      <c r="U61" s="277">
        <v>0</v>
      </c>
      <c r="V61" s="277">
        <v>0</v>
      </c>
      <c r="W61" s="277">
        <v>0</v>
      </c>
      <c r="X61" s="277">
        <v>0</v>
      </c>
      <c r="Y61" s="277">
        <v>0</v>
      </c>
      <c r="Z61" s="277">
        <v>0</v>
      </c>
      <c r="AA61" s="277">
        <v>0</v>
      </c>
      <c r="AB61" s="277">
        <v>0</v>
      </c>
      <c r="AC61" s="277">
        <v>0</v>
      </c>
      <c r="AD61" s="277">
        <v>0</v>
      </c>
      <c r="AE61" s="277">
        <v>0</v>
      </c>
      <c r="AF61" s="276">
        <f t="shared" si="3"/>
        <v>0</v>
      </c>
      <c r="AG61" s="284">
        <f t="shared" si="4"/>
        <v>0</v>
      </c>
    </row>
    <row r="62" spans="1:35" x14ac:dyDescent="0.25">
      <c r="A62" s="71" t="s">
        <v>222</v>
      </c>
      <c r="B62" s="72" t="s">
        <v>144</v>
      </c>
      <c r="C62" s="283">
        <v>0</v>
      </c>
      <c r="D62" s="276">
        <v>0</v>
      </c>
      <c r="E62" s="277">
        <v>0</v>
      </c>
      <c r="F62" s="277">
        <v>0</v>
      </c>
      <c r="G62" s="277">
        <v>0</v>
      </c>
      <c r="H62" s="277">
        <v>0</v>
      </c>
      <c r="I62" s="277">
        <v>0</v>
      </c>
      <c r="J62" s="277">
        <v>0</v>
      </c>
      <c r="K62" s="277">
        <v>0</v>
      </c>
      <c r="L62" s="277">
        <v>0</v>
      </c>
      <c r="M62" s="277">
        <v>0</v>
      </c>
      <c r="N62" s="277">
        <v>0</v>
      </c>
      <c r="O62" s="277">
        <v>0</v>
      </c>
      <c r="P62" s="277">
        <v>0</v>
      </c>
      <c r="Q62" s="277">
        <v>0</v>
      </c>
      <c r="R62" s="277">
        <v>0</v>
      </c>
      <c r="S62" s="277">
        <v>0</v>
      </c>
      <c r="T62" s="277">
        <v>0</v>
      </c>
      <c r="U62" s="277">
        <v>0</v>
      </c>
      <c r="V62" s="277">
        <v>0</v>
      </c>
      <c r="W62" s="277">
        <v>0</v>
      </c>
      <c r="X62" s="277">
        <v>0</v>
      </c>
      <c r="Y62" s="277">
        <v>0</v>
      </c>
      <c r="Z62" s="277">
        <v>0</v>
      </c>
      <c r="AA62" s="277">
        <v>0</v>
      </c>
      <c r="AB62" s="277">
        <v>0</v>
      </c>
      <c r="AC62" s="277">
        <v>0</v>
      </c>
      <c r="AD62" s="277">
        <v>0</v>
      </c>
      <c r="AE62" s="277">
        <v>0</v>
      </c>
      <c r="AF62" s="276">
        <f t="shared" si="3"/>
        <v>0</v>
      </c>
      <c r="AG62" s="284">
        <f t="shared" si="4"/>
        <v>0</v>
      </c>
    </row>
    <row r="63" spans="1:35" x14ac:dyDescent="0.25">
      <c r="A63" s="71" t="s">
        <v>223</v>
      </c>
      <c r="B63" s="72" t="s">
        <v>225</v>
      </c>
      <c r="C63" s="283">
        <v>0</v>
      </c>
      <c r="D63" s="276">
        <v>0</v>
      </c>
      <c r="E63" s="277">
        <v>0</v>
      </c>
      <c r="F63" s="277">
        <v>0</v>
      </c>
      <c r="G63" s="277">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277">
        <v>0</v>
      </c>
      <c r="AC63" s="277">
        <v>0</v>
      </c>
      <c r="AD63" s="277">
        <v>0</v>
      </c>
      <c r="AE63" s="277">
        <v>0</v>
      </c>
      <c r="AF63" s="276">
        <f t="shared" si="3"/>
        <v>0</v>
      </c>
      <c r="AG63" s="284">
        <f t="shared" si="4"/>
        <v>0</v>
      </c>
    </row>
    <row r="64" spans="1:35" ht="18.75" x14ac:dyDescent="0.25">
      <c r="A64" s="71" t="s">
        <v>224</v>
      </c>
      <c r="B64" s="70" t="s">
        <v>122</v>
      </c>
      <c r="C64" s="282">
        <v>0</v>
      </c>
      <c r="D64" s="276">
        <v>0</v>
      </c>
      <c r="E64" s="277">
        <v>0</v>
      </c>
      <c r="F64" s="277">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7">
        <v>0</v>
      </c>
      <c r="AC64" s="277">
        <v>0</v>
      </c>
      <c r="AD64" s="277">
        <v>0</v>
      </c>
      <c r="AE64" s="277">
        <v>0</v>
      </c>
      <c r="AF64" s="276">
        <f t="shared" si="3"/>
        <v>0</v>
      </c>
      <c r="AG64" s="284">
        <f t="shared" si="4"/>
        <v>0</v>
      </c>
    </row>
    <row r="65" spans="1:32" x14ac:dyDescent="0.25">
      <c r="A65" s="67"/>
      <c r="B65" s="68"/>
      <c r="C65" s="68"/>
      <c r="D65" s="68"/>
      <c r="E65" s="68"/>
      <c r="F65" s="68"/>
      <c r="G65" s="68"/>
      <c r="H65" s="67"/>
      <c r="I65" s="67"/>
      <c r="J65" s="61"/>
      <c r="K65" s="61"/>
      <c r="L65" s="61"/>
      <c r="M65" s="61"/>
      <c r="N65" s="61"/>
      <c r="O65" s="61"/>
      <c r="P65" s="61"/>
      <c r="Q65" s="61"/>
      <c r="R65" s="61"/>
      <c r="S65" s="61"/>
      <c r="T65" s="61"/>
      <c r="U65" s="61"/>
      <c r="V65" s="61"/>
      <c r="W65" s="61"/>
      <c r="X65" s="61"/>
      <c r="Y65" s="61"/>
      <c r="Z65" s="61"/>
      <c r="AA65" s="61"/>
      <c r="AB65" s="61"/>
      <c r="AC65" s="61"/>
      <c r="AD65" s="61"/>
      <c r="AE65" s="61"/>
      <c r="AF65" s="61"/>
    </row>
    <row r="66" spans="1:32" ht="54" customHeight="1" x14ac:dyDescent="0.25">
      <c r="A66" s="61"/>
      <c r="B66" s="510"/>
      <c r="C66" s="510"/>
      <c r="D66" s="510"/>
      <c r="E66" s="510"/>
      <c r="F66" s="510"/>
      <c r="G66" s="510"/>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61"/>
      <c r="B67" s="61"/>
      <c r="C67" s="61"/>
      <c r="D67" s="61"/>
      <c r="E67" s="61"/>
      <c r="F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ht="50.25" customHeight="1" x14ac:dyDescent="0.25">
      <c r="A68" s="61"/>
      <c r="B68" s="511"/>
      <c r="C68" s="511"/>
      <c r="D68" s="511"/>
      <c r="E68" s="511"/>
      <c r="F68" s="511"/>
      <c r="G68" s="51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row>
    <row r="69" spans="1:32" x14ac:dyDescent="0.25">
      <c r="A69" s="61"/>
      <c r="B69" s="61"/>
      <c r="C69" s="61"/>
      <c r="D69" s="61"/>
      <c r="E69" s="61"/>
      <c r="F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ht="36.75" customHeight="1" x14ac:dyDescent="0.25">
      <c r="A70" s="61"/>
      <c r="B70" s="510"/>
      <c r="C70" s="510"/>
      <c r="D70" s="510"/>
      <c r="E70" s="510"/>
      <c r="F70" s="510"/>
      <c r="G70" s="510"/>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A71" s="61"/>
      <c r="B71" s="65"/>
      <c r="C71" s="65"/>
      <c r="D71" s="65"/>
      <c r="E71" s="65"/>
      <c r="F71" s="65"/>
      <c r="H71" s="61"/>
      <c r="I71" s="61"/>
      <c r="J71" s="64"/>
      <c r="K71" s="61"/>
      <c r="L71" s="61"/>
      <c r="M71" s="61"/>
      <c r="N71" s="61"/>
      <c r="O71" s="61"/>
      <c r="P71" s="61"/>
      <c r="Q71" s="61"/>
      <c r="R71" s="61"/>
      <c r="S71" s="61"/>
      <c r="T71" s="61"/>
      <c r="U71" s="61"/>
      <c r="V71" s="61"/>
      <c r="W71" s="61"/>
      <c r="X71" s="61"/>
      <c r="Y71" s="61"/>
      <c r="Z71" s="61"/>
      <c r="AA71" s="61"/>
      <c r="AB71" s="61"/>
      <c r="AC71" s="61"/>
      <c r="AD71" s="61"/>
      <c r="AE71" s="61"/>
      <c r="AF71" s="61"/>
    </row>
    <row r="72" spans="1:32" ht="51" customHeight="1" x14ac:dyDescent="0.25">
      <c r="A72" s="61"/>
      <c r="B72" s="510"/>
      <c r="C72" s="510"/>
      <c r="D72" s="510"/>
      <c r="E72" s="510"/>
      <c r="F72" s="510"/>
      <c r="G72" s="510"/>
      <c r="H72" s="61"/>
      <c r="I72" s="61"/>
      <c r="J72" s="64"/>
      <c r="K72" s="61"/>
      <c r="L72" s="61"/>
      <c r="M72" s="61"/>
      <c r="N72" s="61"/>
      <c r="O72" s="61"/>
      <c r="P72" s="61"/>
      <c r="Q72" s="61"/>
      <c r="R72" s="61"/>
      <c r="S72" s="61"/>
      <c r="T72" s="61"/>
      <c r="U72" s="61"/>
      <c r="V72" s="61"/>
      <c r="W72" s="61"/>
      <c r="X72" s="61"/>
      <c r="Y72" s="61"/>
      <c r="Z72" s="61"/>
      <c r="AA72" s="61"/>
      <c r="AB72" s="61"/>
      <c r="AC72" s="61"/>
      <c r="AD72" s="61"/>
      <c r="AE72" s="61"/>
      <c r="AF72" s="61"/>
    </row>
    <row r="73" spans="1:32" ht="32.25" customHeight="1" x14ac:dyDescent="0.25">
      <c r="A73" s="61"/>
      <c r="B73" s="511"/>
      <c r="C73" s="511"/>
      <c r="D73" s="511"/>
      <c r="E73" s="511"/>
      <c r="F73" s="511"/>
      <c r="G73" s="51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row>
    <row r="74" spans="1:32" ht="51.75" customHeight="1" x14ac:dyDescent="0.25">
      <c r="A74" s="61"/>
      <c r="B74" s="510"/>
      <c r="C74" s="510"/>
      <c r="D74" s="510"/>
      <c r="E74" s="510"/>
      <c r="F74" s="510"/>
      <c r="G74" s="510"/>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row>
    <row r="75" spans="1:32" ht="21.75" customHeight="1" x14ac:dyDescent="0.25">
      <c r="A75" s="61"/>
      <c r="B75" s="508"/>
      <c r="C75" s="508"/>
      <c r="D75" s="508"/>
      <c r="E75" s="508"/>
      <c r="F75" s="508"/>
      <c r="G75" s="508"/>
      <c r="H75" s="62"/>
      <c r="I75" s="62"/>
      <c r="J75" s="61"/>
      <c r="K75" s="61"/>
      <c r="L75" s="61"/>
      <c r="M75" s="61"/>
      <c r="N75" s="61"/>
      <c r="O75" s="61"/>
      <c r="P75" s="61"/>
      <c r="Q75" s="61"/>
      <c r="R75" s="61"/>
      <c r="S75" s="61"/>
      <c r="T75" s="61"/>
      <c r="U75" s="61"/>
      <c r="V75" s="61"/>
      <c r="W75" s="61"/>
      <c r="X75" s="61"/>
      <c r="Y75" s="61"/>
      <c r="Z75" s="61"/>
      <c r="AA75" s="61"/>
      <c r="AB75" s="61"/>
      <c r="AC75" s="61"/>
      <c r="AD75" s="61"/>
      <c r="AE75" s="61"/>
      <c r="AF75" s="61"/>
    </row>
    <row r="76" spans="1:32" ht="23.25" customHeight="1" x14ac:dyDescent="0.25">
      <c r="A76" s="61"/>
      <c r="B76" s="62"/>
      <c r="C76" s="62"/>
      <c r="D76" s="62"/>
      <c r="E76" s="62"/>
      <c r="F76" s="62"/>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row>
    <row r="77" spans="1:32" ht="18.75" customHeight="1" x14ac:dyDescent="0.25">
      <c r="A77" s="61"/>
      <c r="B77" s="509"/>
      <c r="C77" s="509"/>
      <c r="D77" s="509"/>
      <c r="E77" s="509"/>
      <c r="F77" s="509"/>
      <c r="G77" s="509"/>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row>
    <row r="78" spans="1:32" x14ac:dyDescent="0.25">
      <c r="A78" s="61"/>
      <c r="B78" s="61"/>
      <c r="C78" s="61"/>
      <c r="D78" s="61"/>
      <c r="E78" s="61"/>
      <c r="F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row>
    <row r="79" spans="1:32" x14ac:dyDescent="0.25">
      <c r="A79" s="61"/>
      <c r="B79" s="61"/>
      <c r="C79" s="61"/>
      <c r="D79" s="61"/>
      <c r="E79" s="61"/>
      <c r="F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row>
    <row r="80" spans="1:32"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42">
    <mergeCell ref="B75:G75"/>
    <mergeCell ref="B77:G77"/>
    <mergeCell ref="B66:G66"/>
    <mergeCell ref="B68:G68"/>
    <mergeCell ref="B70:G70"/>
    <mergeCell ref="B72:G72"/>
    <mergeCell ref="B73:G73"/>
    <mergeCell ref="B74:G74"/>
    <mergeCell ref="A14:AG14"/>
    <mergeCell ref="C20:D21"/>
    <mergeCell ref="A16:AG16"/>
    <mergeCell ref="A15:AG15"/>
    <mergeCell ref="A20:A22"/>
    <mergeCell ref="E20:F21"/>
    <mergeCell ref="A18:AG18"/>
    <mergeCell ref="AF20:AG21"/>
    <mergeCell ref="H20:K20"/>
    <mergeCell ref="H21:I21"/>
    <mergeCell ref="J21:K21"/>
    <mergeCell ref="G20:G22"/>
    <mergeCell ref="B20:B22"/>
    <mergeCell ref="L20:O20"/>
    <mergeCell ref="L21:M21"/>
    <mergeCell ref="N21:O21"/>
    <mergeCell ref="A4:AG4"/>
    <mergeCell ref="A12:AG12"/>
    <mergeCell ref="A9:AG9"/>
    <mergeCell ref="A11:AG11"/>
    <mergeCell ref="A8:AG8"/>
    <mergeCell ref="A6:AG6"/>
    <mergeCell ref="AB20:AE20"/>
    <mergeCell ref="P20:S20"/>
    <mergeCell ref="P21:Q21"/>
    <mergeCell ref="R21:S21"/>
    <mergeCell ref="AB21:AC21"/>
    <mergeCell ref="AD21:AE21"/>
    <mergeCell ref="X20:AA20"/>
    <mergeCell ref="X21:Y21"/>
    <mergeCell ref="Z21:AA21"/>
    <mergeCell ref="T20:W20"/>
    <mergeCell ref="T21:U21"/>
    <mergeCell ref="V21:W21"/>
  </mergeCells>
  <conditionalFormatting sqref="C24:S64 AB24:AF64">
    <cfRule type="cellIs" dxfId="3" priority="4" operator="notEqual">
      <formula>0</formula>
    </cfRule>
  </conditionalFormatting>
  <conditionalFormatting sqref="AG24:AG64">
    <cfRule type="cellIs" dxfId="2" priority="3" operator="notEqual">
      <formula>0</formula>
    </cfRule>
  </conditionalFormatting>
  <conditionalFormatting sqref="X24:AA64">
    <cfRule type="cellIs" dxfId="1" priority="2" operator="notEqual">
      <formula>0</formula>
    </cfRule>
  </conditionalFormatting>
  <conditionalFormatting sqref="T24:W64 G30:AE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8" zoomScale="85" zoomScaleSheetLayoutView="85"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52" style="17" customWidth="1"/>
    <col min="15" max="15" width="15.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4.28515625" style="17" customWidth="1"/>
    <col min="24" max="24" width="10.7109375" style="17" customWidth="1"/>
    <col min="25"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8</v>
      </c>
    </row>
    <row r="3" spans="1:48" ht="18.75" x14ac:dyDescent="0.3">
      <c r="AV3" s="13" t="s">
        <v>65</v>
      </c>
    </row>
    <row r="4" spans="1:48" ht="18.75" x14ac:dyDescent="0.3">
      <c r="AV4" s="13"/>
    </row>
    <row r="5" spans="1:48" ht="18.75" customHeight="1" x14ac:dyDescent="0.25">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3"/>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23" t="str">
        <f>'1. паспорт местоположение'!A12:C12</f>
        <v>H_17-0361</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3" t="str">
        <f>'1. паспорт местоположение'!A15</f>
        <v>Строительство РП 15 кВ, КЛ 15кВ от ПС В-67 (инв. № 5147867), КЛ 15 кВ от абонентской КТП № 7 в г. Пионерском, ул. Портовая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3"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3" customFormat="1" x14ac:dyDescent="0.25">
      <c r="A21" s="512" t="s">
        <v>509</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3" customFormat="1" ht="58.5" customHeight="1" x14ac:dyDescent="0.25">
      <c r="A22" s="513" t="s">
        <v>50</v>
      </c>
      <c r="B22" s="516" t="s">
        <v>22</v>
      </c>
      <c r="C22" s="513" t="s">
        <v>49</v>
      </c>
      <c r="D22" s="513" t="s">
        <v>48</v>
      </c>
      <c r="E22" s="519" t="s">
        <v>520</v>
      </c>
      <c r="F22" s="520"/>
      <c r="G22" s="520"/>
      <c r="H22" s="520"/>
      <c r="I22" s="520"/>
      <c r="J22" s="520"/>
      <c r="K22" s="520"/>
      <c r="L22" s="521"/>
      <c r="M22" s="513" t="s">
        <v>47</v>
      </c>
      <c r="N22" s="513" t="s">
        <v>46</v>
      </c>
      <c r="O22" s="513" t="s">
        <v>45</v>
      </c>
      <c r="P22" s="522" t="s">
        <v>255</v>
      </c>
      <c r="Q22" s="522" t="s">
        <v>44</v>
      </c>
      <c r="R22" s="522" t="s">
        <v>43</v>
      </c>
      <c r="S22" s="522" t="s">
        <v>42</v>
      </c>
      <c r="T22" s="522"/>
      <c r="U22" s="523" t="s">
        <v>41</v>
      </c>
      <c r="V22" s="523" t="s">
        <v>40</v>
      </c>
      <c r="W22" s="522" t="s">
        <v>39</v>
      </c>
      <c r="X22" s="522" t="s">
        <v>38</v>
      </c>
      <c r="Y22" s="522" t="s">
        <v>37</v>
      </c>
      <c r="Z22" s="536"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26" t="s">
        <v>23</v>
      </c>
    </row>
    <row r="23" spans="1:48" s="23" customFormat="1" ht="64.5" customHeight="1" x14ac:dyDescent="0.25">
      <c r="A23" s="514"/>
      <c r="B23" s="517"/>
      <c r="C23" s="514"/>
      <c r="D23" s="514"/>
      <c r="E23" s="528" t="s">
        <v>21</v>
      </c>
      <c r="F23" s="530" t="s">
        <v>126</v>
      </c>
      <c r="G23" s="530" t="s">
        <v>125</v>
      </c>
      <c r="H23" s="530" t="s">
        <v>124</v>
      </c>
      <c r="I23" s="534" t="s">
        <v>430</v>
      </c>
      <c r="J23" s="534" t="s">
        <v>431</v>
      </c>
      <c r="K23" s="534" t="s">
        <v>432</v>
      </c>
      <c r="L23" s="530" t="s">
        <v>74</v>
      </c>
      <c r="M23" s="514"/>
      <c r="N23" s="514"/>
      <c r="O23" s="514"/>
      <c r="P23" s="522"/>
      <c r="Q23" s="522"/>
      <c r="R23" s="522"/>
      <c r="S23" s="532" t="s">
        <v>2</v>
      </c>
      <c r="T23" s="532" t="s">
        <v>9</v>
      </c>
      <c r="U23" s="523"/>
      <c r="V23" s="523"/>
      <c r="W23" s="522"/>
      <c r="X23" s="522"/>
      <c r="Y23" s="522"/>
      <c r="Z23" s="522"/>
      <c r="AA23" s="522"/>
      <c r="AB23" s="522"/>
      <c r="AC23" s="522"/>
      <c r="AD23" s="522"/>
      <c r="AE23" s="522"/>
      <c r="AF23" s="522" t="s">
        <v>20</v>
      </c>
      <c r="AG23" s="522"/>
      <c r="AH23" s="522" t="s">
        <v>19</v>
      </c>
      <c r="AI23" s="522"/>
      <c r="AJ23" s="513" t="s">
        <v>18</v>
      </c>
      <c r="AK23" s="513" t="s">
        <v>17</v>
      </c>
      <c r="AL23" s="513" t="s">
        <v>16</v>
      </c>
      <c r="AM23" s="513" t="s">
        <v>15</v>
      </c>
      <c r="AN23" s="513" t="s">
        <v>14</v>
      </c>
      <c r="AO23" s="513" t="s">
        <v>13</v>
      </c>
      <c r="AP23" s="513" t="s">
        <v>12</v>
      </c>
      <c r="AQ23" s="524" t="s">
        <v>9</v>
      </c>
      <c r="AR23" s="522"/>
      <c r="AS23" s="522"/>
      <c r="AT23" s="522"/>
      <c r="AU23" s="522"/>
      <c r="AV23" s="527"/>
    </row>
    <row r="24" spans="1:48" s="23" customFormat="1" ht="96.75" customHeight="1" x14ac:dyDescent="0.25">
      <c r="A24" s="515"/>
      <c r="B24" s="518"/>
      <c r="C24" s="515"/>
      <c r="D24" s="515"/>
      <c r="E24" s="529"/>
      <c r="F24" s="531"/>
      <c r="G24" s="531"/>
      <c r="H24" s="531"/>
      <c r="I24" s="535"/>
      <c r="J24" s="535"/>
      <c r="K24" s="535"/>
      <c r="L24" s="531"/>
      <c r="M24" s="515"/>
      <c r="N24" s="515"/>
      <c r="O24" s="515"/>
      <c r="P24" s="522"/>
      <c r="Q24" s="522"/>
      <c r="R24" s="522"/>
      <c r="S24" s="533"/>
      <c r="T24" s="533"/>
      <c r="U24" s="523"/>
      <c r="V24" s="523"/>
      <c r="W24" s="522"/>
      <c r="X24" s="522"/>
      <c r="Y24" s="522"/>
      <c r="Z24" s="522"/>
      <c r="AA24" s="522"/>
      <c r="AB24" s="522"/>
      <c r="AC24" s="522"/>
      <c r="AD24" s="522"/>
      <c r="AE24" s="522"/>
      <c r="AF24" s="147" t="s">
        <v>11</v>
      </c>
      <c r="AG24" s="147" t="s">
        <v>10</v>
      </c>
      <c r="AH24" s="148" t="s">
        <v>2</v>
      </c>
      <c r="AI24" s="148" t="s">
        <v>9</v>
      </c>
      <c r="AJ24" s="515"/>
      <c r="AK24" s="515"/>
      <c r="AL24" s="515"/>
      <c r="AM24" s="515"/>
      <c r="AN24" s="515"/>
      <c r="AO24" s="515"/>
      <c r="AP24" s="515"/>
      <c r="AQ24" s="525"/>
      <c r="AR24" s="522"/>
      <c r="AS24" s="522"/>
      <c r="AT24" s="522"/>
      <c r="AU24" s="522"/>
      <c r="AV24" s="527"/>
    </row>
    <row r="25" spans="1:48" s="18" customFormat="1" ht="11.25" x14ac:dyDescent="0.2">
      <c r="A25" s="22">
        <v>1</v>
      </c>
      <c r="B25" s="22">
        <v>2</v>
      </c>
      <c r="C25" s="22">
        <v>4</v>
      </c>
      <c r="D25" s="22">
        <v>5</v>
      </c>
      <c r="E25" s="22">
        <v>6</v>
      </c>
      <c r="F25" s="22">
        <f t="shared" ref="F25:AV25" si="0">E25+1</f>
        <v>7</v>
      </c>
      <c r="G25" s="22">
        <f t="shared" si="0"/>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8" customFormat="1" ht="33.75" x14ac:dyDescent="0.2">
      <c r="A26" s="21">
        <v>1</v>
      </c>
      <c r="B26" s="319" t="str">
        <f>A9</f>
        <v>Акционерное общество "Россети Янтарь" ДЗО  ПАО "Россети"</v>
      </c>
      <c r="C26" s="19"/>
      <c r="D26" s="20" t="s">
        <v>648</v>
      </c>
      <c r="E26" s="318"/>
      <c r="F26" s="318"/>
      <c r="G26" s="318"/>
      <c r="H26" s="318"/>
      <c r="I26" s="318"/>
      <c r="J26" s="318"/>
      <c r="K26" s="318">
        <f>'3.2 паспорт Техсостояние ЛЭП'!R25</f>
        <v>0.54100000000000004</v>
      </c>
      <c r="L26" s="340" t="s">
        <v>688</v>
      </c>
      <c r="M26" s="386" t="s">
        <v>698</v>
      </c>
      <c r="N26" s="386" t="s">
        <v>699</v>
      </c>
      <c r="O26" s="386" t="s">
        <v>530</v>
      </c>
      <c r="P26" s="387">
        <v>27686.22</v>
      </c>
      <c r="Q26" s="386" t="s">
        <v>700</v>
      </c>
      <c r="R26" s="387">
        <v>24600</v>
      </c>
      <c r="S26" s="386" t="s">
        <v>701</v>
      </c>
      <c r="T26" s="386" t="s">
        <v>702</v>
      </c>
      <c r="U26" s="388" t="s">
        <v>70</v>
      </c>
      <c r="V26" s="388" t="s">
        <v>57</v>
      </c>
      <c r="W26" s="386" t="s">
        <v>703</v>
      </c>
      <c r="X26" s="387">
        <v>24354</v>
      </c>
      <c r="Y26" s="386"/>
      <c r="Z26" s="389"/>
      <c r="AA26" s="387"/>
      <c r="AB26" s="387">
        <v>24353.81</v>
      </c>
      <c r="AC26" s="387" t="s">
        <v>703</v>
      </c>
      <c r="AD26" s="387">
        <v>28737.495800000001</v>
      </c>
      <c r="AE26" s="387">
        <v>24353.81</v>
      </c>
      <c r="AF26" s="388" t="s">
        <v>704</v>
      </c>
      <c r="AG26" s="386" t="s">
        <v>705</v>
      </c>
      <c r="AH26" s="389">
        <v>43192</v>
      </c>
      <c r="AI26" s="389">
        <v>43192</v>
      </c>
      <c r="AJ26" s="389">
        <v>43213</v>
      </c>
      <c r="AK26" s="389">
        <v>43223</v>
      </c>
      <c r="AL26" s="386"/>
      <c r="AM26" s="386"/>
      <c r="AN26" s="389"/>
      <c r="AO26" s="386"/>
      <c r="AP26" s="389" t="s">
        <v>706</v>
      </c>
      <c r="AQ26" s="389" t="s">
        <v>706</v>
      </c>
      <c r="AR26" s="389" t="s">
        <v>706</v>
      </c>
      <c r="AS26" s="389" t="s">
        <v>706</v>
      </c>
      <c r="AT26" s="389">
        <f>AS26+35</f>
        <v>43276</v>
      </c>
      <c r="AU26" s="386"/>
      <c r="AV26" s="386"/>
    </row>
    <row r="27" spans="1:48" s="18" customFormat="1" ht="11.25" x14ac:dyDescent="0.2">
      <c r="A27" s="21"/>
      <c r="B27" s="319"/>
      <c r="C27" s="19"/>
      <c r="D27" s="20"/>
      <c r="E27" s="318"/>
      <c r="F27" s="318"/>
      <c r="G27" s="318"/>
      <c r="H27" s="318"/>
      <c r="I27" s="318"/>
      <c r="J27" s="318"/>
      <c r="K27" s="318"/>
      <c r="L27" s="340"/>
      <c r="M27" s="386"/>
      <c r="N27" s="386"/>
      <c r="O27" s="386"/>
      <c r="P27" s="387"/>
      <c r="Q27" s="386"/>
      <c r="R27" s="387"/>
      <c r="S27" s="386"/>
      <c r="T27" s="386"/>
      <c r="U27" s="388"/>
      <c r="V27" s="388"/>
      <c r="W27" s="386" t="s">
        <v>707</v>
      </c>
      <c r="X27" s="387">
        <v>24500</v>
      </c>
      <c r="Y27" s="386" t="s">
        <v>707</v>
      </c>
      <c r="Z27" s="389"/>
      <c r="AA27" s="387"/>
      <c r="AB27" s="387"/>
      <c r="AC27" s="387"/>
      <c r="AD27" s="387"/>
      <c r="AE27" s="387"/>
      <c r="AF27" s="388"/>
      <c r="AG27" s="386"/>
      <c r="AH27" s="389"/>
      <c r="AI27" s="389"/>
      <c r="AJ27" s="389"/>
      <c r="AK27" s="389"/>
      <c r="AL27" s="386"/>
      <c r="AM27" s="386"/>
      <c r="AN27" s="389"/>
      <c r="AO27" s="386"/>
      <c r="AP27" s="389"/>
      <c r="AQ27" s="389"/>
      <c r="AR27" s="389"/>
      <c r="AS27" s="389"/>
      <c r="AT27" s="389"/>
      <c r="AU27" s="386"/>
      <c r="AV27" s="386"/>
    </row>
    <row r="28" spans="1:48" s="18" customFormat="1" ht="22.5" x14ac:dyDescent="0.2">
      <c r="A28" s="21"/>
      <c r="B28" s="319"/>
      <c r="C28" s="19"/>
      <c r="D28" s="20"/>
      <c r="E28" s="318"/>
      <c r="F28" s="318"/>
      <c r="G28" s="318"/>
      <c r="H28" s="318"/>
      <c r="I28" s="318"/>
      <c r="J28" s="318"/>
      <c r="K28" s="318"/>
      <c r="L28" s="340"/>
      <c r="M28" s="386"/>
      <c r="N28" s="386"/>
      <c r="O28" s="386"/>
      <c r="P28" s="387"/>
      <c r="Q28" s="386"/>
      <c r="R28" s="387"/>
      <c r="S28" s="386"/>
      <c r="T28" s="386"/>
      <c r="U28" s="388"/>
      <c r="V28" s="388"/>
      <c r="W28" s="386" t="s">
        <v>708</v>
      </c>
      <c r="X28" s="387">
        <v>24590</v>
      </c>
      <c r="Y28" s="386" t="s">
        <v>708</v>
      </c>
      <c r="Z28" s="389"/>
      <c r="AA28" s="387"/>
      <c r="AB28" s="387"/>
      <c r="AC28" s="387"/>
      <c r="AD28" s="387"/>
      <c r="AE28" s="387"/>
      <c r="AF28" s="388"/>
      <c r="AG28" s="386"/>
      <c r="AH28" s="389"/>
      <c r="AI28" s="389"/>
      <c r="AJ28" s="389"/>
      <c r="AK28" s="389"/>
      <c r="AL28" s="386"/>
      <c r="AM28" s="386"/>
      <c r="AN28" s="389"/>
      <c r="AO28" s="386"/>
      <c r="AP28" s="389"/>
      <c r="AQ28" s="389"/>
      <c r="AR28" s="389"/>
      <c r="AS28" s="389"/>
      <c r="AT28" s="389"/>
      <c r="AU28" s="386"/>
      <c r="AV28" s="386"/>
    </row>
    <row r="29" spans="1:48" s="18" customFormat="1" ht="22.5" x14ac:dyDescent="0.2">
      <c r="A29" s="21"/>
      <c r="B29" s="319"/>
      <c r="C29" s="19"/>
      <c r="D29" s="20"/>
      <c r="E29" s="318"/>
      <c r="F29" s="318"/>
      <c r="G29" s="318"/>
      <c r="H29" s="318"/>
      <c r="I29" s="318"/>
      <c r="J29" s="318"/>
      <c r="K29" s="318"/>
      <c r="L29" s="340"/>
      <c r="M29" s="386"/>
      <c r="N29" s="386"/>
      <c r="O29" s="386"/>
      <c r="P29" s="387"/>
      <c r="Q29" s="386"/>
      <c r="R29" s="387"/>
      <c r="S29" s="386"/>
      <c r="T29" s="386"/>
      <c r="U29" s="388"/>
      <c r="V29" s="388"/>
      <c r="W29" s="386" t="s">
        <v>709</v>
      </c>
      <c r="X29" s="387">
        <v>24515.25</v>
      </c>
      <c r="Y29" s="386" t="s">
        <v>709</v>
      </c>
      <c r="Z29" s="389"/>
      <c r="AA29" s="387"/>
      <c r="AB29" s="387"/>
      <c r="AC29" s="387"/>
      <c r="AD29" s="387"/>
      <c r="AE29" s="387"/>
      <c r="AF29" s="388"/>
      <c r="AG29" s="386"/>
      <c r="AH29" s="389"/>
      <c r="AI29" s="389"/>
      <c r="AJ29" s="389"/>
      <c r="AK29" s="389"/>
      <c r="AL29" s="386"/>
      <c r="AM29" s="386"/>
      <c r="AN29" s="389"/>
      <c r="AO29" s="386"/>
      <c r="AP29" s="389"/>
      <c r="AQ29" s="389"/>
      <c r="AR29" s="389"/>
      <c r="AS29" s="389"/>
      <c r="AT29" s="389"/>
      <c r="AU29" s="386"/>
      <c r="AV29" s="386"/>
    </row>
    <row r="30" spans="1:48" s="18" customFormat="1" ht="11.25" x14ac:dyDescent="0.2">
      <c r="A30" s="21"/>
      <c r="B30" s="319"/>
      <c r="C30" s="19"/>
      <c r="D30" s="20"/>
      <c r="E30" s="318"/>
      <c r="F30" s="318"/>
      <c r="G30" s="318"/>
      <c r="H30" s="318"/>
      <c r="I30" s="318"/>
      <c r="J30" s="318"/>
      <c r="K30" s="318"/>
      <c r="L30" s="340"/>
      <c r="M30" s="386"/>
      <c r="N30" s="386"/>
      <c r="O30" s="386"/>
      <c r="P30" s="387"/>
      <c r="Q30" s="386"/>
      <c r="R30" s="387"/>
      <c r="S30" s="386"/>
      <c r="T30" s="386"/>
      <c r="U30" s="388"/>
      <c r="V30" s="388"/>
      <c r="W30" s="386" t="s">
        <v>710</v>
      </c>
      <c r="X30" s="387">
        <v>24600</v>
      </c>
      <c r="Y30" s="386" t="s">
        <v>710</v>
      </c>
      <c r="Z30" s="389"/>
      <c r="AA30" s="387"/>
      <c r="AB30" s="387"/>
      <c r="AC30" s="387"/>
      <c r="AD30" s="387"/>
      <c r="AE30" s="387"/>
      <c r="AF30" s="388"/>
      <c r="AG30" s="386"/>
      <c r="AH30" s="389"/>
      <c r="AI30" s="389"/>
      <c r="AJ30" s="389"/>
      <c r="AK30" s="389"/>
      <c r="AL30" s="386"/>
      <c r="AM30" s="386"/>
      <c r="AN30" s="389"/>
      <c r="AO30" s="386"/>
      <c r="AP30" s="389"/>
      <c r="AQ30" s="389"/>
      <c r="AR30" s="389"/>
      <c r="AS30" s="389"/>
      <c r="AT30" s="389"/>
      <c r="AU30" s="386"/>
      <c r="AV30" s="386"/>
    </row>
    <row r="31" spans="1:48" s="18" customFormat="1" ht="33.75" x14ac:dyDescent="0.2">
      <c r="A31" s="21">
        <v>2</v>
      </c>
      <c r="B31" s="319" t="str">
        <f>B26</f>
        <v>Акционерное общество "Россети Янтарь" ДЗО  ПАО "Россети"</v>
      </c>
      <c r="C31" s="319"/>
      <c r="D31" s="319" t="str">
        <f>D26</f>
        <v>нд</v>
      </c>
      <c r="E31" s="319"/>
      <c r="F31" s="319"/>
      <c r="G31" s="319"/>
      <c r="H31" s="319"/>
      <c r="I31" s="319"/>
      <c r="J31" s="319"/>
      <c r="K31" s="319">
        <f>K26</f>
        <v>0.54100000000000004</v>
      </c>
      <c r="L31" s="319" t="str">
        <f>L26</f>
        <v>КРУ 15 кВ -5 шт.</v>
      </c>
      <c r="M31" s="386" t="s">
        <v>711</v>
      </c>
      <c r="N31" s="386" t="s">
        <v>712</v>
      </c>
      <c r="O31" s="386" t="s">
        <v>530</v>
      </c>
      <c r="P31" s="387">
        <v>2885.93</v>
      </c>
      <c r="Q31" s="386" t="s">
        <v>700</v>
      </c>
      <c r="R31" s="387">
        <v>2469.79</v>
      </c>
      <c r="S31" s="386" t="s">
        <v>701</v>
      </c>
      <c r="T31" s="386" t="s">
        <v>713</v>
      </c>
      <c r="U31" s="388" t="s">
        <v>60</v>
      </c>
      <c r="V31" s="388" t="s">
        <v>62</v>
      </c>
      <c r="W31" s="386" t="s">
        <v>703</v>
      </c>
      <c r="X31" s="387">
        <v>2469.71</v>
      </c>
      <c r="Y31" s="386"/>
      <c r="Z31" s="389"/>
      <c r="AA31" s="387"/>
      <c r="AB31" s="387">
        <v>2469.71</v>
      </c>
      <c r="AC31" s="387" t="s">
        <v>703</v>
      </c>
      <c r="AD31" s="387">
        <v>3228.1298999999999</v>
      </c>
      <c r="AE31" s="387">
        <v>2469.71</v>
      </c>
      <c r="AF31" s="388" t="s">
        <v>714</v>
      </c>
      <c r="AG31" s="386" t="s">
        <v>705</v>
      </c>
      <c r="AH31" s="389">
        <v>43238</v>
      </c>
      <c r="AI31" s="389">
        <v>43238</v>
      </c>
      <c r="AJ31" s="389">
        <v>43255</v>
      </c>
      <c r="AK31" s="389">
        <v>43279</v>
      </c>
      <c r="AL31" s="386"/>
      <c r="AM31" s="386"/>
      <c r="AN31" s="389"/>
      <c r="AO31" s="386"/>
      <c r="AP31" s="389" t="s">
        <v>715</v>
      </c>
      <c r="AQ31" s="389" t="s">
        <v>715</v>
      </c>
      <c r="AR31" s="389" t="s">
        <v>715</v>
      </c>
      <c r="AS31" s="389" t="s">
        <v>715</v>
      </c>
      <c r="AT31" s="389">
        <v>43391</v>
      </c>
      <c r="AU31" s="386"/>
      <c r="AV31" s="386" t="s">
        <v>730</v>
      </c>
    </row>
    <row r="32" spans="1:48" s="18" customFormat="1" ht="33.75" x14ac:dyDescent="0.2">
      <c r="A32" s="21">
        <v>3</v>
      </c>
      <c r="B32" s="319" t="str">
        <f>B31</f>
        <v>Акционерное общество "Россети Янтарь" ДЗО  ПАО "Россети"</v>
      </c>
      <c r="C32" s="19"/>
      <c r="D32" s="319" t="str">
        <f>D31</f>
        <v>нд</v>
      </c>
      <c r="E32" s="318"/>
      <c r="F32" s="318"/>
      <c r="G32" s="318"/>
      <c r="H32" s="318"/>
      <c r="I32" s="318"/>
      <c r="J32" s="318"/>
      <c r="K32" s="319">
        <f>K31</f>
        <v>0.54100000000000004</v>
      </c>
      <c r="L32" s="319" t="str">
        <f>L31</f>
        <v>КРУ 15 кВ -5 шт.</v>
      </c>
      <c r="M32" s="386" t="s">
        <v>716</v>
      </c>
      <c r="N32" s="386" t="s">
        <v>717</v>
      </c>
      <c r="O32" s="386" t="s">
        <v>530</v>
      </c>
      <c r="P32" s="387">
        <v>550</v>
      </c>
      <c r="Q32" s="386" t="s">
        <v>718</v>
      </c>
      <c r="R32" s="387">
        <v>517.11</v>
      </c>
      <c r="S32" s="386" t="s">
        <v>701</v>
      </c>
      <c r="T32" s="386" t="s">
        <v>719</v>
      </c>
      <c r="U32" s="388"/>
      <c r="V32" s="388">
        <v>3</v>
      </c>
      <c r="W32" s="386" t="s">
        <v>720</v>
      </c>
      <c r="X32" s="387">
        <v>374</v>
      </c>
      <c r="Y32" s="386"/>
      <c r="Z32" s="389"/>
      <c r="AA32" s="387"/>
      <c r="AB32" s="387">
        <v>374</v>
      </c>
      <c r="AC32" s="387" t="s">
        <v>720</v>
      </c>
      <c r="AD32" s="387">
        <v>374</v>
      </c>
      <c r="AE32" s="387">
        <v>374</v>
      </c>
      <c r="AF32" s="388" t="s">
        <v>721</v>
      </c>
      <c r="AG32" s="386" t="s">
        <v>722</v>
      </c>
      <c r="AH32" s="389">
        <v>42872</v>
      </c>
      <c r="AI32" s="389">
        <v>42872</v>
      </c>
      <c r="AJ32" s="389">
        <v>42888</v>
      </c>
      <c r="AK32" s="389">
        <v>42909</v>
      </c>
      <c r="AL32" s="386"/>
      <c r="AM32" s="386"/>
      <c r="AN32" s="389"/>
      <c r="AO32" s="386"/>
      <c r="AP32" s="389" t="s">
        <v>723</v>
      </c>
      <c r="AQ32" s="389" t="s">
        <v>723</v>
      </c>
      <c r="AR32" s="389" t="s">
        <v>723</v>
      </c>
      <c r="AS32" s="389" t="s">
        <v>723</v>
      </c>
      <c r="AT32" s="389">
        <v>43056</v>
      </c>
      <c r="AU32" s="386"/>
      <c r="AV32" s="386" t="s">
        <v>724</v>
      </c>
    </row>
    <row r="33" spans="1:48" s="18" customFormat="1" ht="22.5" x14ac:dyDescent="0.2">
      <c r="A33" s="21"/>
      <c r="B33" s="319"/>
      <c r="C33" s="19"/>
      <c r="D33" s="20"/>
      <c r="E33" s="318"/>
      <c r="F33" s="318"/>
      <c r="G33" s="318"/>
      <c r="H33" s="318"/>
      <c r="I33" s="318"/>
      <c r="J33" s="318"/>
      <c r="K33" s="318"/>
      <c r="L33" s="340"/>
      <c r="M33" s="386"/>
      <c r="N33" s="386"/>
      <c r="O33" s="386"/>
      <c r="P33" s="387"/>
      <c r="Q33" s="386"/>
      <c r="R33" s="387"/>
      <c r="S33" s="386"/>
      <c r="T33" s="386"/>
      <c r="U33" s="388"/>
      <c r="V33" s="388"/>
      <c r="W33" s="386" t="s">
        <v>725</v>
      </c>
      <c r="X33" s="387">
        <v>435.75</v>
      </c>
      <c r="Y33" s="386"/>
      <c r="Z33" s="389"/>
      <c r="AA33" s="387"/>
      <c r="AB33" s="387"/>
      <c r="AC33" s="387"/>
      <c r="AD33" s="387"/>
      <c r="AE33" s="387"/>
      <c r="AF33" s="388"/>
      <c r="AG33" s="386"/>
      <c r="AH33" s="389"/>
      <c r="AI33" s="389"/>
      <c r="AJ33" s="389"/>
      <c r="AK33" s="389"/>
      <c r="AL33" s="386"/>
      <c r="AM33" s="386"/>
      <c r="AN33" s="389"/>
      <c r="AO33" s="386"/>
      <c r="AP33" s="389"/>
      <c r="AQ33" s="389"/>
      <c r="AR33" s="389"/>
      <c r="AS33" s="389"/>
      <c r="AT33" s="389"/>
      <c r="AU33" s="386"/>
      <c r="AV33" s="386"/>
    </row>
    <row r="34" spans="1:48" s="18" customFormat="1" ht="11.25" x14ac:dyDescent="0.2">
      <c r="A34" s="21"/>
      <c r="B34" s="319"/>
      <c r="C34" s="19"/>
      <c r="D34" s="20"/>
      <c r="E34" s="318"/>
      <c r="F34" s="318"/>
      <c r="G34" s="318"/>
      <c r="H34" s="318"/>
      <c r="I34" s="318"/>
      <c r="J34" s="318"/>
      <c r="K34" s="318"/>
      <c r="L34" s="340"/>
      <c r="M34" s="386"/>
      <c r="N34" s="386"/>
      <c r="O34" s="386"/>
      <c r="P34" s="387"/>
      <c r="Q34" s="386"/>
      <c r="R34" s="387"/>
      <c r="S34" s="386"/>
      <c r="T34" s="386"/>
      <c r="U34" s="388"/>
      <c r="V34" s="388"/>
      <c r="W34" s="386" t="s">
        <v>726</v>
      </c>
      <c r="X34" s="387">
        <v>517</v>
      </c>
      <c r="Y34" s="386"/>
      <c r="Z34" s="389"/>
      <c r="AA34" s="387"/>
      <c r="AB34" s="387"/>
      <c r="AC34" s="387"/>
      <c r="AD34" s="387"/>
      <c r="AE34" s="387"/>
      <c r="AF34" s="388"/>
      <c r="AG34" s="386"/>
      <c r="AH34" s="389"/>
      <c r="AI34" s="389"/>
      <c r="AJ34" s="389"/>
      <c r="AK34" s="389"/>
      <c r="AL34" s="386"/>
      <c r="AM34" s="386"/>
      <c r="AN34" s="389"/>
      <c r="AO34" s="386"/>
      <c r="AP34" s="389"/>
      <c r="AQ34" s="389"/>
      <c r="AR34" s="389"/>
      <c r="AS34" s="389"/>
      <c r="AT34" s="389"/>
      <c r="AU34" s="386"/>
      <c r="AV34" s="386"/>
    </row>
    <row r="35" spans="1:48" x14ac:dyDescent="0.25">
      <c r="AD35" s="394">
        <f>SUM(AD26:AD34)</f>
        <v>32339.625700000001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8"/>
  <sheetViews>
    <sheetView view="pageBreakPreview" zoomScale="90" zoomScaleNormal="90" zoomScaleSheetLayoutView="90" workbookViewId="0">
      <selection activeCell="B26" sqref="B26"/>
    </sheetView>
  </sheetViews>
  <sheetFormatPr defaultRowHeight="15.75" x14ac:dyDescent="0.25"/>
  <cols>
    <col min="1" max="2" width="66.140625" style="120" customWidth="1"/>
    <col min="3" max="3" width="0" style="121" hidden="1" customWidth="1"/>
    <col min="4" max="5" width="8.85546875" style="121"/>
    <col min="6" max="6" width="18.42578125" style="121" bestFit="1" customWidth="1"/>
    <col min="7"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6" t="s">
        <v>66</v>
      </c>
    </row>
    <row r="2" spans="1:8" ht="18.75" x14ac:dyDescent="0.3">
      <c r="B2" s="13" t="s">
        <v>8</v>
      </c>
    </row>
    <row r="3" spans="1:8" ht="18.75" x14ac:dyDescent="0.3">
      <c r="B3" s="13" t="s">
        <v>528</v>
      </c>
    </row>
    <row r="4" spans="1:8" x14ac:dyDescent="0.25">
      <c r="B4" s="40"/>
    </row>
    <row r="5" spans="1:8" ht="18.75" x14ac:dyDescent="0.3">
      <c r="A5" s="537" t="str">
        <f>'1. паспорт местоположение'!A5:C5</f>
        <v>Год раскрытия информации: 2023 год</v>
      </c>
      <c r="B5" s="537"/>
      <c r="C5" s="82"/>
      <c r="D5" s="82"/>
      <c r="E5" s="82"/>
      <c r="F5" s="82"/>
      <c r="G5" s="82"/>
      <c r="H5" s="82"/>
    </row>
    <row r="6" spans="1:8" ht="18.75" x14ac:dyDescent="0.3">
      <c r="A6" s="266"/>
      <c r="B6" s="266"/>
      <c r="C6" s="266"/>
      <c r="D6" s="266"/>
      <c r="E6" s="266"/>
      <c r="F6" s="266"/>
      <c r="G6" s="266"/>
      <c r="H6" s="266"/>
    </row>
    <row r="7" spans="1:8" ht="18.75" x14ac:dyDescent="0.25">
      <c r="A7" s="429" t="s">
        <v>7</v>
      </c>
      <c r="B7" s="429"/>
      <c r="C7" s="153"/>
      <c r="D7" s="153"/>
      <c r="E7" s="153"/>
      <c r="F7" s="153"/>
      <c r="G7" s="153"/>
      <c r="H7" s="153"/>
    </row>
    <row r="8" spans="1:8" ht="18.75" x14ac:dyDescent="0.25">
      <c r="A8" s="153"/>
      <c r="B8" s="153"/>
      <c r="C8" s="153"/>
      <c r="D8" s="153"/>
      <c r="E8" s="153"/>
      <c r="F8" s="153"/>
      <c r="G8" s="153"/>
      <c r="H8" s="153"/>
    </row>
    <row r="9" spans="1:8" x14ac:dyDescent="0.25">
      <c r="A9" s="423" t="str">
        <f>'1. паспорт местоположение'!A9:C9</f>
        <v>Акционерное общество "Россети Янтарь" ДЗО  ПАО "Россети"</v>
      </c>
      <c r="B9" s="423"/>
      <c r="C9" s="170"/>
      <c r="D9" s="170"/>
      <c r="E9" s="170"/>
      <c r="F9" s="170"/>
      <c r="G9" s="170"/>
      <c r="H9" s="170"/>
    </row>
    <row r="10" spans="1:8" x14ac:dyDescent="0.25">
      <c r="A10" s="425" t="s">
        <v>6</v>
      </c>
      <c r="B10" s="425"/>
      <c r="C10" s="155"/>
      <c r="D10" s="155"/>
      <c r="E10" s="155"/>
      <c r="F10" s="155"/>
      <c r="G10" s="155"/>
      <c r="H10" s="155"/>
    </row>
    <row r="11" spans="1:8" ht="18.75" x14ac:dyDescent="0.25">
      <c r="A11" s="153"/>
      <c r="B11" s="153"/>
      <c r="C11" s="153"/>
      <c r="D11" s="153"/>
      <c r="E11" s="153"/>
      <c r="F11" s="153"/>
      <c r="G11" s="153"/>
      <c r="H11" s="153"/>
    </row>
    <row r="12" spans="1:8" x14ac:dyDescent="0.25">
      <c r="A12" s="423" t="str">
        <f>'1. паспорт местоположение'!A12:C12</f>
        <v>H_17-0361</v>
      </c>
      <c r="B12" s="423"/>
      <c r="C12" s="170"/>
      <c r="D12" s="170"/>
      <c r="E12" s="170"/>
      <c r="F12" s="170"/>
      <c r="G12" s="170"/>
      <c r="H12" s="170"/>
    </row>
    <row r="13" spans="1:8" x14ac:dyDescent="0.25">
      <c r="A13" s="425" t="s">
        <v>5</v>
      </c>
      <c r="B13" s="425"/>
      <c r="C13" s="155"/>
      <c r="D13" s="155"/>
      <c r="E13" s="155"/>
      <c r="F13" s="155"/>
      <c r="G13" s="155"/>
      <c r="H13" s="155"/>
    </row>
    <row r="14" spans="1:8" ht="18.75" x14ac:dyDescent="0.25">
      <c r="A14" s="9"/>
      <c r="B14" s="9"/>
      <c r="C14" s="9"/>
      <c r="D14" s="9"/>
      <c r="E14" s="9"/>
      <c r="F14" s="9"/>
      <c r="G14" s="9"/>
      <c r="H14" s="9"/>
    </row>
    <row r="15" spans="1:8" x14ac:dyDescent="0.25">
      <c r="A15" s="538" t="str">
        <f>'1. паспорт местоположение'!A15:C15</f>
        <v>Строительство РП 15 кВ, КЛ 15кВ от ПС В-67 (инв. № 5147867), КЛ 15 кВ от абонентской КТП № 7 в г. Пионерском, ул. Портовая</v>
      </c>
      <c r="B15" s="539"/>
      <c r="C15" s="170"/>
      <c r="D15" s="170"/>
      <c r="E15" s="170"/>
      <c r="F15" s="170"/>
      <c r="G15" s="170"/>
      <c r="H15" s="170"/>
    </row>
    <row r="16" spans="1:8" x14ac:dyDescent="0.25">
      <c r="A16" s="425" t="s">
        <v>4</v>
      </c>
      <c r="B16" s="425"/>
      <c r="C16" s="155"/>
      <c r="D16" s="155"/>
      <c r="E16" s="155"/>
      <c r="F16" s="155"/>
      <c r="G16" s="155"/>
      <c r="H16" s="155"/>
    </row>
    <row r="17" spans="1:2" x14ac:dyDescent="0.25">
      <c r="B17" s="122"/>
    </row>
    <row r="18" spans="1:2" x14ac:dyDescent="0.25">
      <c r="A18" s="540" t="s">
        <v>510</v>
      </c>
      <c r="B18" s="541"/>
    </row>
    <row r="19" spans="1:2" x14ac:dyDescent="0.25">
      <c r="B19" s="40"/>
    </row>
    <row r="20" spans="1:2" ht="16.5" thickBot="1" x14ac:dyDescent="0.3">
      <c r="B20" s="123"/>
    </row>
    <row r="21" spans="1:2" ht="30.75" thickBot="1" x14ac:dyDescent="0.3">
      <c r="A21" s="124" t="s">
        <v>380</v>
      </c>
      <c r="B21" s="263" t="str">
        <f>A15</f>
        <v>Строительство РП 15 кВ, КЛ 15кВ от ПС В-67 (инв. № 5147867), КЛ 15 кВ от абонентской КТП № 7 в г. Пионерском, ул. Портовая</v>
      </c>
    </row>
    <row r="22" spans="1:2" ht="16.5" thickBot="1" x14ac:dyDescent="0.3">
      <c r="A22" s="124" t="s">
        <v>381</v>
      </c>
      <c r="B22" s="125" t="str">
        <f>'1. паспорт местоположение'!C27</f>
        <v>Пионерский городской округ</v>
      </c>
    </row>
    <row r="23" spans="1:2" ht="16.5" thickBot="1" x14ac:dyDescent="0.3">
      <c r="A23" s="124" t="s">
        <v>346</v>
      </c>
      <c r="B23" s="126" t="s">
        <v>695</v>
      </c>
    </row>
    <row r="24" spans="1:2" ht="16.5" thickBot="1" x14ac:dyDescent="0.3">
      <c r="A24" s="124" t="s">
        <v>382</v>
      </c>
      <c r="B24" s="126" t="s">
        <v>689</v>
      </c>
    </row>
    <row r="25" spans="1:2" ht="16.5" thickBot="1" x14ac:dyDescent="0.3">
      <c r="A25" s="127" t="s">
        <v>383</v>
      </c>
      <c r="B25" s="125" t="s">
        <v>648</v>
      </c>
    </row>
    <row r="26" spans="1:2" ht="16.5" thickBot="1" x14ac:dyDescent="0.3">
      <c r="A26" s="128" t="s">
        <v>384</v>
      </c>
      <c r="B26" s="126" t="s">
        <v>691</v>
      </c>
    </row>
    <row r="27" spans="1:2" ht="29.25" thickBot="1" x14ac:dyDescent="0.3">
      <c r="A27" s="135" t="s">
        <v>697</v>
      </c>
      <c r="B27" s="264">
        <f>'5. анализ эконом эфф'!B122</f>
        <v>47.189520000000002</v>
      </c>
    </row>
    <row r="28" spans="1:2" ht="16.5" thickBot="1" x14ac:dyDescent="0.3">
      <c r="A28" s="130" t="s">
        <v>385</v>
      </c>
      <c r="B28" s="130" t="s">
        <v>694</v>
      </c>
    </row>
    <row r="29" spans="1:2" ht="29.25" thickBot="1" x14ac:dyDescent="0.3">
      <c r="A29" s="136" t="s">
        <v>386</v>
      </c>
      <c r="B29" s="392">
        <f>'7. Паспорт отчет о закупке'!AD35/1000</f>
        <v>32.339625699999999</v>
      </c>
    </row>
    <row r="30" spans="1:2" ht="29.25" thickBot="1" x14ac:dyDescent="0.3">
      <c r="A30" s="136" t="s">
        <v>387</v>
      </c>
      <c r="B30" s="392">
        <f>B32+B45+B58</f>
        <v>38.972869474399999</v>
      </c>
    </row>
    <row r="31" spans="1:2" ht="16.5" thickBot="1" x14ac:dyDescent="0.3">
      <c r="A31" s="130" t="s">
        <v>388</v>
      </c>
      <c r="B31" s="270"/>
    </row>
    <row r="32" spans="1:2" ht="29.25" thickBot="1" x14ac:dyDescent="0.3">
      <c r="A32" s="136" t="s">
        <v>389</v>
      </c>
      <c r="B32" s="392">
        <f>B33+B41+B37</f>
        <v>3.4504815999999998</v>
      </c>
    </row>
    <row r="33" spans="1:3" s="272" customFormat="1" ht="30.75" thickBot="1" x14ac:dyDescent="0.3">
      <c r="A33" s="409" t="s">
        <v>741</v>
      </c>
      <c r="B33" s="410">
        <v>3.2270496</v>
      </c>
    </row>
    <row r="34" spans="1:3" ht="16.5" thickBot="1" x14ac:dyDescent="0.3">
      <c r="A34" s="130" t="s">
        <v>391</v>
      </c>
      <c r="B34" s="273">
        <f>B33/$B$27</f>
        <v>6.8384878676451891E-2</v>
      </c>
    </row>
    <row r="35" spans="1:3" ht="16.5" thickBot="1" x14ac:dyDescent="0.3">
      <c r="A35" s="130" t="s">
        <v>392</v>
      </c>
      <c r="B35" s="392">
        <v>3.2270496</v>
      </c>
      <c r="C35" s="121">
        <v>1</v>
      </c>
    </row>
    <row r="36" spans="1:3" ht="16.5" thickBot="1" x14ac:dyDescent="0.3">
      <c r="A36" s="130" t="s">
        <v>393</v>
      </c>
      <c r="B36" s="392">
        <v>3.2270496</v>
      </c>
      <c r="C36" s="121">
        <v>2</v>
      </c>
    </row>
    <row r="37" spans="1:3" s="272" customFormat="1" ht="30.75" thickBot="1" x14ac:dyDescent="0.3">
      <c r="A37" s="409" t="s">
        <v>750</v>
      </c>
      <c r="B37" s="410">
        <v>0.22343199999999999</v>
      </c>
    </row>
    <row r="38" spans="1:3" ht="16.5" thickBot="1" x14ac:dyDescent="0.3">
      <c r="A38" s="130" t="s">
        <v>391</v>
      </c>
      <c r="B38" s="273">
        <f>B37/$B$27</f>
        <v>4.7347800952414858E-3</v>
      </c>
    </row>
    <row r="39" spans="1:3" ht="16.5" thickBot="1" x14ac:dyDescent="0.3">
      <c r="A39" s="130" t="s">
        <v>392</v>
      </c>
      <c r="B39" s="392">
        <v>0</v>
      </c>
      <c r="C39" s="121">
        <v>1</v>
      </c>
    </row>
    <row r="40" spans="1:3" ht="16.5" thickBot="1" x14ac:dyDescent="0.3">
      <c r="A40" s="130" t="s">
        <v>393</v>
      </c>
      <c r="B40" s="392">
        <v>0.22343199999999999</v>
      </c>
      <c r="C40" s="121">
        <v>2</v>
      </c>
    </row>
    <row r="41" spans="1:3" s="272" customFormat="1" ht="16.5" thickBot="1" x14ac:dyDescent="0.3">
      <c r="A41" s="285" t="s">
        <v>390</v>
      </c>
      <c r="B41" s="393">
        <v>0</v>
      </c>
    </row>
    <row r="42" spans="1:3" ht="16.5" thickBot="1" x14ac:dyDescent="0.3">
      <c r="A42" s="130" t="s">
        <v>391</v>
      </c>
      <c r="B42" s="273">
        <f>B41/$B$27</f>
        <v>0</v>
      </c>
    </row>
    <row r="43" spans="1:3" ht="16.5" thickBot="1" x14ac:dyDescent="0.3">
      <c r="A43" s="130" t="s">
        <v>392</v>
      </c>
      <c r="B43" s="392">
        <v>0</v>
      </c>
      <c r="C43" s="121">
        <v>1</v>
      </c>
    </row>
    <row r="44" spans="1:3" ht="16.5" thickBot="1" x14ac:dyDescent="0.3">
      <c r="A44" s="130" t="s">
        <v>393</v>
      </c>
      <c r="B44" s="392">
        <v>0</v>
      </c>
      <c r="C44" s="121">
        <v>2</v>
      </c>
    </row>
    <row r="45" spans="1:3" ht="29.25" thickBot="1" x14ac:dyDescent="0.3">
      <c r="A45" s="136" t="s">
        <v>394</v>
      </c>
      <c r="B45" s="392">
        <f>B46+B50+B54</f>
        <v>29.272576269999998</v>
      </c>
    </row>
    <row r="46" spans="1:3" s="272" customFormat="1" ht="30.75" thickBot="1" x14ac:dyDescent="0.3">
      <c r="A46" s="409" t="s">
        <v>729</v>
      </c>
      <c r="B46" s="410">
        <v>29.22457627</v>
      </c>
    </row>
    <row r="47" spans="1:3" ht="16.5" thickBot="1" x14ac:dyDescent="0.3">
      <c r="A47" s="130" t="s">
        <v>391</v>
      </c>
      <c r="B47" s="273">
        <f>B46/$B$27</f>
        <v>0.61930225757752988</v>
      </c>
    </row>
    <row r="48" spans="1:3" ht="16.5" thickBot="1" x14ac:dyDescent="0.3">
      <c r="A48" s="130" t="s">
        <v>392</v>
      </c>
      <c r="B48" s="392">
        <v>29.22457627</v>
      </c>
      <c r="C48" s="121">
        <v>1</v>
      </c>
    </row>
    <row r="49" spans="1:3" ht="16.5" thickBot="1" x14ac:dyDescent="0.3">
      <c r="A49" s="130" t="s">
        <v>393</v>
      </c>
      <c r="B49" s="392">
        <v>29.22457627</v>
      </c>
      <c r="C49" s="121">
        <v>2</v>
      </c>
    </row>
    <row r="50" spans="1:3" s="272" customFormat="1" ht="30.75" thickBot="1" x14ac:dyDescent="0.3">
      <c r="A50" s="409" t="s">
        <v>747</v>
      </c>
      <c r="B50" s="410">
        <v>4.8000000000000001E-2</v>
      </c>
    </row>
    <row r="51" spans="1:3" ht="16.5" thickBot="1" x14ac:dyDescent="0.3">
      <c r="A51" s="130" t="s">
        <v>391</v>
      </c>
      <c r="B51" s="273">
        <f>B50/$B$27</f>
        <v>1.0171749998728532E-3</v>
      </c>
    </row>
    <row r="52" spans="1:3" ht="16.5" thickBot="1" x14ac:dyDescent="0.3">
      <c r="A52" s="130" t="s">
        <v>392</v>
      </c>
      <c r="B52" s="392">
        <v>4.8000000000000001E-2</v>
      </c>
      <c r="C52" s="121">
        <v>1</v>
      </c>
    </row>
    <row r="53" spans="1:3" ht="16.5" thickBot="1" x14ac:dyDescent="0.3">
      <c r="A53" s="130" t="s">
        <v>393</v>
      </c>
      <c r="B53" s="392">
        <v>4.8000000000000001E-2</v>
      </c>
      <c r="C53" s="121">
        <v>2</v>
      </c>
    </row>
    <row r="54" spans="1:3" s="272" customFormat="1" ht="16.5" thickBot="1" x14ac:dyDescent="0.3">
      <c r="A54" s="271" t="s">
        <v>390</v>
      </c>
      <c r="B54" s="393">
        <v>0</v>
      </c>
    </row>
    <row r="55" spans="1:3" ht="16.5" thickBot="1" x14ac:dyDescent="0.3">
      <c r="A55" s="130" t="s">
        <v>391</v>
      </c>
      <c r="B55" s="273">
        <f>B54/$B$27</f>
        <v>0</v>
      </c>
    </row>
    <row r="56" spans="1:3" ht="16.5" thickBot="1" x14ac:dyDescent="0.3">
      <c r="A56" s="130" t="s">
        <v>392</v>
      </c>
      <c r="B56" s="392">
        <v>0</v>
      </c>
      <c r="C56" s="121">
        <v>1</v>
      </c>
    </row>
    <row r="57" spans="1:3" ht="16.5" thickBot="1" x14ac:dyDescent="0.3">
      <c r="A57" s="130" t="s">
        <v>393</v>
      </c>
      <c r="B57" s="392">
        <v>0</v>
      </c>
      <c r="C57" s="121">
        <v>2</v>
      </c>
    </row>
    <row r="58" spans="1:3" ht="29.25" thickBot="1" x14ac:dyDescent="0.3">
      <c r="A58" s="136" t="s">
        <v>395</v>
      </c>
      <c r="B58" s="392">
        <f>B59+B63+B67+B71+B75+B79</f>
        <v>6.2498116043999996</v>
      </c>
    </row>
    <row r="59" spans="1:3" s="272" customFormat="1" ht="30.75" thickBot="1" x14ac:dyDescent="0.3">
      <c r="A59" s="409" t="s">
        <v>754</v>
      </c>
      <c r="B59" s="410">
        <v>0.374</v>
      </c>
    </row>
    <row r="60" spans="1:3" ht="16.5" thickBot="1" x14ac:dyDescent="0.3">
      <c r="A60" s="130" t="s">
        <v>391</v>
      </c>
      <c r="B60" s="273">
        <f>B59/$B$27</f>
        <v>7.925488540675981E-3</v>
      </c>
    </row>
    <row r="61" spans="1:3" ht="16.5" thickBot="1" x14ac:dyDescent="0.3">
      <c r="A61" s="130" t="s">
        <v>392</v>
      </c>
      <c r="B61" s="392">
        <v>0.374</v>
      </c>
      <c r="C61" s="121">
        <v>1</v>
      </c>
    </row>
    <row r="62" spans="1:3" ht="16.5" thickBot="1" x14ac:dyDescent="0.3">
      <c r="A62" s="130" t="s">
        <v>393</v>
      </c>
      <c r="B62" s="392">
        <v>0.374</v>
      </c>
      <c r="C62" s="121">
        <v>2</v>
      </c>
    </row>
    <row r="63" spans="1:3" s="272" customFormat="1" ht="30.75" thickBot="1" x14ac:dyDescent="0.3">
      <c r="A63" s="409" t="s">
        <v>736</v>
      </c>
      <c r="B63" s="410">
        <f>63.08*1.18/1000000</f>
        <v>7.44344E-5</v>
      </c>
    </row>
    <row r="64" spans="1:3" ht="16.5" thickBot="1" x14ac:dyDescent="0.3">
      <c r="A64" s="130" t="s">
        <v>391</v>
      </c>
      <c r="B64" s="273">
        <f>B63/$B$27</f>
        <v>1.5773502252194979E-6</v>
      </c>
    </row>
    <row r="65" spans="1:3" ht="16.5" thickBot="1" x14ac:dyDescent="0.3">
      <c r="A65" s="130" t="s">
        <v>392</v>
      </c>
      <c r="B65" s="392">
        <v>7.44344E-5</v>
      </c>
      <c r="C65" s="121">
        <v>1</v>
      </c>
    </row>
    <row r="66" spans="1:3" ht="16.5" thickBot="1" x14ac:dyDescent="0.3">
      <c r="A66" s="130" t="s">
        <v>393</v>
      </c>
      <c r="B66" s="392">
        <v>7.44344E-5</v>
      </c>
      <c r="C66" s="121">
        <v>2</v>
      </c>
    </row>
    <row r="67" spans="1:3" s="272" customFormat="1" ht="30.75" thickBot="1" x14ac:dyDescent="0.3">
      <c r="A67" s="409" t="s">
        <v>742</v>
      </c>
      <c r="B67" s="410">
        <v>1.0500000000000001E-2</v>
      </c>
    </row>
    <row r="68" spans="1:3" ht="16.5" thickBot="1" x14ac:dyDescent="0.3">
      <c r="A68" s="130" t="s">
        <v>391</v>
      </c>
      <c r="B68" s="273">
        <f>B67/$B$27</f>
        <v>2.2250703122218664E-4</v>
      </c>
    </row>
    <row r="69" spans="1:3" ht="16.5" thickBot="1" x14ac:dyDescent="0.3">
      <c r="A69" s="130" t="s">
        <v>392</v>
      </c>
      <c r="B69" s="392">
        <v>1.0500000000000001E-2</v>
      </c>
      <c r="C69" s="121">
        <v>1</v>
      </c>
    </row>
    <row r="70" spans="1:3" ht="16.5" thickBot="1" x14ac:dyDescent="0.3">
      <c r="A70" s="130" t="s">
        <v>393</v>
      </c>
      <c r="B70" s="392">
        <v>1.0500000000000001E-2</v>
      </c>
      <c r="C70" s="121">
        <v>2</v>
      </c>
    </row>
    <row r="71" spans="1:3" s="272" customFormat="1" ht="30.75" thickBot="1" x14ac:dyDescent="0.3">
      <c r="A71" s="409" t="s">
        <v>743</v>
      </c>
      <c r="B71" s="410">
        <v>5.8643371699999998</v>
      </c>
    </row>
    <row r="72" spans="1:3" ht="16.5" thickBot="1" x14ac:dyDescent="0.3">
      <c r="A72" s="130" t="s">
        <v>391</v>
      </c>
      <c r="B72" s="273">
        <f>B71/$B$27</f>
        <v>0.12427202416977327</v>
      </c>
    </row>
    <row r="73" spans="1:3" ht="16.5" thickBot="1" x14ac:dyDescent="0.3">
      <c r="A73" s="130" t="s">
        <v>392</v>
      </c>
      <c r="B73" s="392">
        <f>5.18993838+0.67439879</f>
        <v>5.8643371699999998</v>
      </c>
      <c r="C73" s="121">
        <v>1</v>
      </c>
    </row>
    <row r="74" spans="1:3" ht="16.5" thickBot="1" x14ac:dyDescent="0.3">
      <c r="A74" s="130" t="s">
        <v>393</v>
      </c>
      <c r="B74" s="392">
        <v>5.8643371699999998</v>
      </c>
      <c r="C74" s="121">
        <v>2</v>
      </c>
    </row>
    <row r="75" spans="1:3" s="272" customFormat="1" ht="30.75" thickBot="1" x14ac:dyDescent="0.3">
      <c r="A75" s="409" t="s">
        <v>744</v>
      </c>
      <c r="B75" s="410">
        <v>8.9999999999999998E-4</v>
      </c>
    </row>
    <row r="76" spans="1:3" ht="16.5" thickBot="1" x14ac:dyDescent="0.3">
      <c r="A76" s="130" t="s">
        <v>391</v>
      </c>
      <c r="B76" s="273">
        <f>B75/$B$27</f>
        <v>1.9072031247615995E-5</v>
      </c>
    </row>
    <row r="77" spans="1:3" ht="16.5" thickBot="1" x14ac:dyDescent="0.3">
      <c r="A77" s="130" t="s">
        <v>392</v>
      </c>
      <c r="B77" s="392">
        <v>8.9999999999999998E-4</v>
      </c>
      <c r="C77" s="121">
        <v>1</v>
      </c>
    </row>
    <row r="78" spans="1:3" ht="16.5" thickBot="1" x14ac:dyDescent="0.3">
      <c r="A78" s="130" t="s">
        <v>393</v>
      </c>
      <c r="B78" s="392">
        <v>8.9999999999999998E-4</v>
      </c>
      <c r="C78" s="121">
        <v>2</v>
      </c>
    </row>
    <row r="79" spans="1:3" s="272" customFormat="1" ht="16.5" thickBot="1" x14ac:dyDescent="0.3">
      <c r="A79" s="271" t="s">
        <v>390</v>
      </c>
      <c r="B79" s="393">
        <v>0</v>
      </c>
    </row>
    <row r="80" spans="1:3" ht="16.5" thickBot="1" x14ac:dyDescent="0.3">
      <c r="A80" s="130" t="s">
        <v>391</v>
      </c>
      <c r="B80" s="273">
        <f>B79/$B$27</f>
        <v>0</v>
      </c>
    </row>
    <row r="81" spans="1:4" ht="16.5" thickBot="1" x14ac:dyDescent="0.3">
      <c r="A81" s="130" t="s">
        <v>392</v>
      </c>
      <c r="B81" s="392">
        <v>0</v>
      </c>
      <c r="C81" s="121">
        <v>1</v>
      </c>
    </row>
    <row r="82" spans="1:4" ht="16.5" thickBot="1" x14ac:dyDescent="0.3">
      <c r="A82" s="130" t="s">
        <v>393</v>
      </c>
      <c r="B82" s="392">
        <v>0</v>
      </c>
      <c r="C82" s="121">
        <v>2</v>
      </c>
    </row>
    <row r="83" spans="1:4" ht="29.25" thickBot="1" x14ac:dyDescent="0.3">
      <c r="A83" s="129" t="s">
        <v>396</v>
      </c>
      <c r="B83" s="274">
        <f>B30/B27</f>
        <v>0.82587976047224043</v>
      </c>
    </row>
    <row r="84" spans="1:4" ht="16.5" thickBot="1" x14ac:dyDescent="0.3">
      <c r="A84" s="131" t="s">
        <v>388</v>
      </c>
      <c r="B84" s="274"/>
    </row>
    <row r="85" spans="1:4" ht="16.5" thickBot="1" x14ac:dyDescent="0.3">
      <c r="A85" s="131" t="s">
        <v>397</v>
      </c>
      <c r="B85" s="274">
        <f>B33/B27</f>
        <v>6.8384878676451891E-2</v>
      </c>
    </row>
    <row r="86" spans="1:4" ht="16.5" thickBot="1" x14ac:dyDescent="0.3">
      <c r="A86" s="131" t="s">
        <v>398</v>
      </c>
      <c r="B86" s="274">
        <f>B46/B27</f>
        <v>0.61930225757752988</v>
      </c>
    </row>
    <row r="87" spans="1:4" ht="16.5" thickBot="1" x14ac:dyDescent="0.3">
      <c r="A87" s="131" t="s">
        <v>399</v>
      </c>
      <c r="B87" s="274">
        <f>B59/B27</f>
        <v>7.925488540675981E-3</v>
      </c>
    </row>
    <row r="88" spans="1:4" s="61" customFormat="1" ht="16.5" thickBot="1" x14ac:dyDescent="0.3">
      <c r="A88" s="403" t="s">
        <v>737</v>
      </c>
      <c r="B88" s="404">
        <f xml:space="preserve"> SUMIF(C89:C116, 40,B89:B116)</f>
        <v>2.6632181999999998</v>
      </c>
      <c r="C88" s="405"/>
      <c r="D88" s="406"/>
    </row>
    <row r="89" spans="1:4" ht="30.75" thickBot="1" x14ac:dyDescent="0.3">
      <c r="A89" s="409" t="s">
        <v>740</v>
      </c>
      <c r="B89" s="410">
        <v>0.20327519999999999</v>
      </c>
      <c r="C89" s="272">
        <v>40</v>
      </c>
    </row>
    <row r="90" spans="1:4" ht="16.5" thickBot="1" x14ac:dyDescent="0.3">
      <c r="A90" s="130" t="s">
        <v>391</v>
      </c>
      <c r="B90" s="273">
        <f>B89/$B$27</f>
        <v>4.3076344069615455E-3</v>
      </c>
    </row>
    <row r="91" spans="1:4" ht="16.5" thickBot="1" x14ac:dyDescent="0.3">
      <c r="A91" s="130" t="s">
        <v>738</v>
      </c>
      <c r="B91" s="392">
        <v>0.20327519999999999</v>
      </c>
      <c r="C91" s="121">
        <v>1</v>
      </c>
    </row>
    <row r="92" spans="1:4" ht="16.5" thickBot="1" x14ac:dyDescent="0.3">
      <c r="A92" s="130" t="s">
        <v>739</v>
      </c>
      <c r="B92" s="392">
        <f>0.169396*1.2</f>
        <v>0.20327519999999999</v>
      </c>
      <c r="C92" s="121">
        <v>2</v>
      </c>
    </row>
    <row r="93" spans="1:4" ht="30.75" thickBot="1" x14ac:dyDescent="0.3">
      <c r="A93" s="409" t="s">
        <v>745</v>
      </c>
      <c r="B93" s="410">
        <v>4.5318999999999998E-2</v>
      </c>
      <c r="C93" s="272">
        <v>40</v>
      </c>
    </row>
    <row r="94" spans="1:4" ht="16.5" thickBot="1" x14ac:dyDescent="0.3">
      <c r="A94" s="130" t="s">
        <v>391</v>
      </c>
      <c r="B94" s="273">
        <f>B93/$B$27</f>
        <v>9.6036153790078811E-4</v>
      </c>
    </row>
    <row r="95" spans="1:4" ht="16.5" thickBot="1" x14ac:dyDescent="0.3">
      <c r="A95" s="130" t="s">
        <v>738</v>
      </c>
      <c r="B95" s="392">
        <v>4.5318999999999998E-2</v>
      </c>
      <c r="C95" s="121">
        <v>1</v>
      </c>
    </row>
    <row r="96" spans="1:4" ht="16.5" thickBot="1" x14ac:dyDescent="0.3">
      <c r="A96" s="130" t="s">
        <v>739</v>
      </c>
      <c r="B96" s="392">
        <v>4.5318999999999998E-2</v>
      </c>
      <c r="C96" s="121">
        <v>2</v>
      </c>
    </row>
    <row r="97" spans="1:7" ht="30.75" thickBot="1" x14ac:dyDescent="0.3">
      <c r="A97" s="409" t="s">
        <v>746</v>
      </c>
      <c r="B97" s="410">
        <v>1.0999999999999999E-2</v>
      </c>
      <c r="C97" s="272">
        <v>40</v>
      </c>
      <c r="E97" s="407"/>
      <c r="F97" s="407"/>
      <c r="G97" s="407"/>
    </row>
    <row r="98" spans="1:7" ht="16.5" thickBot="1" x14ac:dyDescent="0.3">
      <c r="A98" s="130" t="s">
        <v>391</v>
      </c>
      <c r="B98" s="273">
        <f>B97/$B$27</f>
        <v>2.3310260413752883E-4</v>
      </c>
      <c r="F98" s="408"/>
      <c r="G98" s="408"/>
    </row>
    <row r="99" spans="1:7" ht="16.5" thickBot="1" x14ac:dyDescent="0.3">
      <c r="A99" s="130" t="s">
        <v>738</v>
      </c>
      <c r="B99" s="392">
        <v>1.0999999999999999E-2</v>
      </c>
      <c r="C99" s="121">
        <v>1</v>
      </c>
    </row>
    <row r="100" spans="1:7" ht="16.5" thickBot="1" x14ac:dyDescent="0.3">
      <c r="A100" s="130" t="s">
        <v>739</v>
      </c>
      <c r="B100" s="392">
        <v>1.0999999999999999E-2</v>
      </c>
      <c r="C100" s="121">
        <v>2</v>
      </c>
    </row>
    <row r="101" spans="1:7" ht="30.75" thickBot="1" x14ac:dyDescent="0.3">
      <c r="A101" s="409" t="s">
        <v>748</v>
      </c>
      <c r="B101" s="410">
        <v>2.3739239999999997</v>
      </c>
      <c r="C101" s="272">
        <v>40</v>
      </c>
    </row>
    <row r="102" spans="1:7" ht="16.5" thickBot="1" x14ac:dyDescent="0.3">
      <c r="A102" s="130" t="s">
        <v>391</v>
      </c>
      <c r="B102" s="273">
        <f>B101/$B$27</f>
        <v>5.0306169674961723E-2</v>
      </c>
    </row>
    <row r="103" spans="1:7" ht="16.5" thickBot="1" x14ac:dyDescent="0.3">
      <c r="A103" s="130" t="s">
        <v>738</v>
      </c>
      <c r="B103" s="392">
        <v>2.3739239999999997</v>
      </c>
      <c r="C103" s="121">
        <v>1</v>
      </c>
    </row>
    <row r="104" spans="1:7" ht="16.5" thickBot="1" x14ac:dyDescent="0.3">
      <c r="A104" s="130" t="s">
        <v>739</v>
      </c>
      <c r="B104" s="392">
        <f>0.8378741*1.2+1.1403959*1.2</f>
        <v>2.3739239999999997</v>
      </c>
      <c r="C104" s="121">
        <v>2</v>
      </c>
    </row>
    <row r="105" spans="1:7" ht="30.75" thickBot="1" x14ac:dyDescent="0.3">
      <c r="A105" s="409" t="s">
        <v>749</v>
      </c>
      <c r="B105" s="410">
        <v>1.5299999999999999E-2</v>
      </c>
      <c r="C105" s="272">
        <v>40</v>
      </c>
    </row>
    <row r="106" spans="1:7" ht="16.5" thickBot="1" x14ac:dyDescent="0.3">
      <c r="A106" s="130" t="s">
        <v>391</v>
      </c>
      <c r="B106" s="273">
        <f>B105/$B$27</f>
        <v>3.2422453120947188E-4</v>
      </c>
    </row>
    <row r="107" spans="1:7" ht="16.5" thickBot="1" x14ac:dyDescent="0.3">
      <c r="A107" s="130" t="s">
        <v>738</v>
      </c>
      <c r="B107" s="392">
        <v>1.5299999999999999E-2</v>
      </c>
      <c r="C107" s="121">
        <v>1</v>
      </c>
    </row>
    <row r="108" spans="1:7" ht="16.5" thickBot="1" x14ac:dyDescent="0.3">
      <c r="A108" s="130" t="s">
        <v>739</v>
      </c>
      <c r="B108" s="392">
        <f>12750*1.2/1000000</f>
        <v>1.5299999999999999E-2</v>
      </c>
      <c r="C108" s="121">
        <v>2</v>
      </c>
    </row>
    <row r="109" spans="1:7" ht="30.75" thickBot="1" x14ac:dyDescent="0.3">
      <c r="A109" s="409" t="s">
        <v>755</v>
      </c>
      <c r="B109" s="410">
        <v>1.44E-2</v>
      </c>
      <c r="C109" s="272">
        <v>40</v>
      </c>
    </row>
    <row r="110" spans="1:7" ht="16.5" thickBot="1" x14ac:dyDescent="0.3">
      <c r="A110" s="130" t="s">
        <v>391</v>
      </c>
      <c r="B110" s="273">
        <f>B109/$B$27</f>
        <v>3.0515249996185593E-4</v>
      </c>
    </row>
    <row r="111" spans="1:7" ht="16.5" thickBot="1" x14ac:dyDescent="0.3">
      <c r="A111" s="130" t="s">
        <v>738</v>
      </c>
      <c r="B111" s="392">
        <v>1.44E-2</v>
      </c>
      <c r="C111" s="121">
        <v>1</v>
      </c>
    </row>
    <row r="112" spans="1:7" ht="16.5" thickBot="1" x14ac:dyDescent="0.3">
      <c r="A112" s="130" t="s">
        <v>739</v>
      </c>
      <c r="B112" s="392">
        <f>12000*1.2/1000000</f>
        <v>1.44E-2</v>
      </c>
      <c r="C112" s="121">
        <v>2</v>
      </c>
    </row>
    <row r="113" spans="1:6" ht="16.5" thickBot="1" x14ac:dyDescent="0.3">
      <c r="A113" s="285" t="s">
        <v>390</v>
      </c>
      <c r="B113" s="393">
        <v>0</v>
      </c>
      <c r="C113" s="272">
        <v>40</v>
      </c>
    </row>
    <row r="114" spans="1:6" ht="16.5" thickBot="1" x14ac:dyDescent="0.3">
      <c r="A114" s="130" t="s">
        <v>391</v>
      </c>
      <c r="B114" s="273">
        <f>B113/$B$27</f>
        <v>0</v>
      </c>
    </row>
    <row r="115" spans="1:6" ht="16.5" thickBot="1" x14ac:dyDescent="0.3">
      <c r="A115" s="130" t="s">
        <v>738</v>
      </c>
      <c r="B115" s="392">
        <v>0</v>
      </c>
      <c r="C115" s="121">
        <v>1</v>
      </c>
    </row>
    <row r="116" spans="1:6" ht="16.5" thickBot="1" x14ac:dyDescent="0.3">
      <c r="A116" s="130" t="s">
        <v>739</v>
      </c>
      <c r="B116" s="392">
        <v>0</v>
      </c>
      <c r="C116" s="121">
        <v>2</v>
      </c>
    </row>
    <row r="117" spans="1:6" ht="16.5" thickBot="1" x14ac:dyDescent="0.3">
      <c r="A117" s="127" t="s">
        <v>400</v>
      </c>
      <c r="B117" s="274">
        <f>B118/$B$27</f>
        <v>0.87758162563213216</v>
      </c>
    </row>
    <row r="118" spans="1:6" ht="16.5" thickBot="1" x14ac:dyDescent="0.3">
      <c r="A118" s="127" t="s">
        <v>401</v>
      </c>
      <c r="B118" s="395">
        <f xml:space="preserve"> SUMIF(C33:C116, 1,B33:B116)</f>
        <v>41.412655674400014</v>
      </c>
    </row>
    <row r="119" spans="1:6" ht="16.5" thickBot="1" x14ac:dyDescent="0.3">
      <c r="A119" s="127" t="s">
        <v>402</v>
      </c>
      <c r="B119" s="274">
        <f>B120/$B$27</f>
        <v>0.88231640572737369</v>
      </c>
    </row>
    <row r="120" spans="1:6" ht="16.5" thickBot="1" x14ac:dyDescent="0.3">
      <c r="A120" s="128" t="s">
        <v>403</v>
      </c>
      <c r="B120" s="395">
        <f xml:space="preserve"> SUMIF(C33:C116, 2,B33:B116)</f>
        <v>41.636087674400017</v>
      </c>
      <c r="F120" s="411"/>
    </row>
    <row r="121" spans="1:6" ht="15.6" customHeight="1" x14ac:dyDescent="0.25">
      <c r="A121" s="129" t="s">
        <v>404</v>
      </c>
      <c r="B121" s="131" t="s">
        <v>405</v>
      </c>
    </row>
    <row r="122" spans="1:6" x14ac:dyDescent="0.25">
      <c r="A122" s="133" t="s">
        <v>406</v>
      </c>
      <c r="B122" s="133" t="s">
        <v>530</v>
      </c>
    </row>
    <row r="123" spans="1:6" x14ac:dyDescent="0.25">
      <c r="A123" s="133" t="s">
        <v>407</v>
      </c>
      <c r="B123" s="133" t="s">
        <v>690</v>
      </c>
    </row>
    <row r="124" spans="1:6" x14ac:dyDescent="0.25">
      <c r="A124" s="133" t="s">
        <v>408</v>
      </c>
      <c r="B124" s="133"/>
    </row>
    <row r="125" spans="1:6" ht="30" x14ac:dyDescent="0.25">
      <c r="A125" s="133" t="s">
        <v>409</v>
      </c>
      <c r="B125" s="133" t="s">
        <v>751</v>
      </c>
    </row>
    <row r="126" spans="1:6" ht="16.5" thickBot="1" x14ac:dyDescent="0.3">
      <c r="A126" s="134" t="s">
        <v>410</v>
      </c>
      <c r="B126" s="390" t="s">
        <v>727</v>
      </c>
    </row>
    <row r="127" spans="1:6" ht="30.75" thickBot="1" x14ac:dyDescent="0.3">
      <c r="A127" s="131" t="s">
        <v>411</v>
      </c>
      <c r="B127" s="132" t="s">
        <v>648</v>
      </c>
    </row>
    <row r="128" spans="1:6" ht="29.25" thickBot="1" x14ac:dyDescent="0.3">
      <c r="A128" s="127" t="s">
        <v>412</v>
      </c>
      <c r="B128" s="344">
        <v>7</v>
      </c>
    </row>
    <row r="129" spans="1:2" ht="16.5" thickBot="1" x14ac:dyDescent="0.3">
      <c r="A129" s="131" t="s">
        <v>388</v>
      </c>
      <c r="B129" s="345"/>
    </row>
    <row r="130" spans="1:2" ht="16.5" thickBot="1" x14ac:dyDescent="0.3">
      <c r="A130" s="131" t="s">
        <v>413</v>
      </c>
      <c r="B130" s="344">
        <v>4</v>
      </c>
    </row>
    <row r="131" spans="1:2" ht="16.5" thickBot="1" x14ac:dyDescent="0.3">
      <c r="A131" s="131" t="s">
        <v>414</v>
      </c>
      <c r="B131" s="345">
        <v>3</v>
      </c>
    </row>
    <row r="132" spans="1:2" ht="16.5" thickBot="1" x14ac:dyDescent="0.3">
      <c r="A132" s="139" t="s">
        <v>415</v>
      </c>
      <c r="B132" s="265" t="s">
        <v>728</v>
      </c>
    </row>
    <row r="133" spans="1:2" ht="16.5" thickBot="1" x14ac:dyDescent="0.3">
      <c r="A133" s="127" t="s">
        <v>416</v>
      </c>
      <c r="B133" s="137"/>
    </row>
    <row r="134" spans="1:2" ht="16.5" thickBot="1" x14ac:dyDescent="0.3">
      <c r="A134" s="133" t="s">
        <v>417</v>
      </c>
      <c r="B134" s="391">
        <f>'6.1. Паспорт сетевой график'!F43</f>
        <v>44340</v>
      </c>
    </row>
    <row r="135" spans="1:2" ht="16.5" thickBot="1" x14ac:dyDescent="0.3">
      <c r="A135" s="133" t="s">
        <v>418</v>
      </c>
      <c r="B135" s="140" t="s">
        <v>636</v>
      </c>
    </row>
    <row r="136" spans="1:2" ht="16.5" thickBot="1" x14ac:dyDescent="0.3">
      <c r="A136" s="133" t="s">
        <v>419</v>
      </c>
      <c r="B136" s="140" t="s">
        <v>636</v>
      </c>
    </row>
    <row r="137" spans="1:2" ht="29.25" thickBot="1" x14ac:dyDescent="0.3">
      <c r="A137" s="141" t="s">
        <v>420</v>
      </c>
      <c r="B137" s="138" t="s">
        <v>696</v>
      </c>
    </row>
    <row r="138" spans="1:2" ht="28.5" x14ac:dyDescent="0.25">
      <c r="A138" s="129" t="s">
        <v>421</v>
      </c>
      <c r="B138" s="542" t="s">
        <v>636</v>
      </c>
    </row>
    <row r="139" spans="1:2" x14ac:dyDescent="0.25">
      <c r="A139" s="133" t="s">
        <v>422</v>
      </c>
      <c r="B139" s="543"/>
    </row>
    <row r="140" spans="1:2" x14ac:dyDescent="0.25">
      <c r="A140" s="133" t="s">
        <v>423</v>
      </c>
      <c r="B140" s="543"/>
    </row>
    <row r="141" spans="1:2" x14ac:dyDescent="0.25">
      <c r="A141" s="133" t="s">
        <v>424</v>
      </c>
      <c r="B141" s="543"/>
    </row>
    <row r="142" spans="1:2" x14ac:dyDescent="0.25">
      <c r="A142" s="133" t="s">
        <v>425</v>
      </c>
      <c r="B142" s="543"/>
    </row>
    <row r="143" spans="1:2" ht="16.5" thickBot="1" x14ac:dyDescent="0.3">
      <c r="A143" s="142" t="s">
        <v>426</v>
      </c>
      <c r="B143" s="544"/>
    </row>
    <row r="146" spans="1:2" x14ac:dyDescent="0.25">
      <c r="A146" s="143"/>
      <c r="B146" s="144"/>
    </row>
    <row r="147" spans="1:2" x14ac:dyDescent="0.25">
      <c r="B147" s="145"/>
    </row>
    <row r="148" spans="1:2" x14ac:dyDescent="0.25">
      <c r="B148" s="146"/>
    </row>
  </sheetData>
  <mergeCells count="10">
    <mergeCell ref="A15:B15"/>
    <mergeCell ref="A16:B16"/>
    <mergeCell ref="A18:B18"/>
    <mergeCell ref="B138:B14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5" t="s">
        <v>573</v>
      </c>
    </row>
    <row r="2" spans="1:1" ht="25.5" customHeight="1" x14ac:dyDescent="0.25">
      <c r="A2" s="545"/>
    </row>
    <row r="3" spans="1:1" ht="25.5" customHeight="1" x14ac:dyDescent="0.25">
      <c r="A3" s="545"/>
    </row>
    <row r="4" spans="1:1" ht="25.5" customHeight="1" x14ac:dyDescent="0.25">
      <c r="A4" s="545"/>
    </row>
    <row r="5" spans="1:1" ht="25.5" customHeight="1" x14ac:dyDescent="0.25">
      <c r="A5" s="545"/>
    </row>
    <row r="6" spans="1:1" ht="23.25" customHeight="1" x14ac:dyDescent="0.25">
      <c r="A6" s="256">
        <v>2</v>
      </c>
    </row>
    <row r="7" spans="1:1" s="114" customFormat="1" ht="23.25" customHeight="1" x14ac:dyDescent="0.25">
      <c r="A7" s="260" t="s">
        <v>574</v>
      </c>
    </row>
    <row r="8" spans="1:1" ht="31.5" customHeight="1" x14ac:dyDescent="0.25">
      <c r="A8" s="257" t="s">
        <v>583</v>
      </c>
    </row>
    <row r="9" spans="1:1" ht="45.75" customHeight="1" x14ac:dyDescent="0.25">
      <c r="A9" s="257" t="s">
        <v>584</v>
      </c>
    </row>
    <row r="10" spans="1:1" ht="33.75" customHeight="1" x14ac:dyDescent="0.25">
      <c r="A10" s="257" t="s">
        <v>585</v>
      </c>
    </row>
    <row r="11" spans="1:1" ht="23.25" customHeight="1" x14ac:dyDescent="0.25">
      <c r="A11" s="257" t="s">
        <v>586</v>
      </c>
    </row>
    <row r="12" spans="1:1" ht="23.25" customHeight="1" x14ac:dyDescent="0.25">
      <c r="A12" s="257" t="s">
        <v>587</v>
      </c>
    </row>
    <row r="13" spans="1:1" ht="33" customHeight="1" x14ac:dyDescent="0.25">
      <c r="A13" s="257" t="s">
        <v>588</v>
      </c>
    </row>
    <row r="14" spans="1:1" ht="23.25" customHeight="1" x14ac:dyDescent="0.25">
      <c r="A14" s="257" t="s">
        <v>589</v>
      </c>
    </row>
    <row r="15" spans="1:1" ht="23.25" customHeight="1" x14ac:dyDescent="0.25">
      <c r="A15" s="258" t="s">
        <v>590</v>
      </c>
    </row>
    <row r="16" spans="1:1" ht="34.5" customHeight="1" x14ac:dyDescent="0.25">
      <c r="A16" s="258" t="s">
        <v>591</v>
      </c>
    </row>
    <row r="17" spans="1:1" ht="39.75" customHeight="1" x14ac:dyDescent="0.25">
      <c r="A17" s="258" t="s">
        <v>592</v>
      </c>
    </row>
    <row r="18" spans="1:1" ht="40.5" customHeight="1" x14ac:dyDescent="0.25">
      <c r="A18" s="258" t="s">
        <v>593</v>
      </c>
    </row>
    <row r="19" spans="1:1" ht="48.75" customHeight="1" x14ac:dyDescent="0.25">
      <c r="A19" s="258" t="s">
        <v>591</v>
      </c>
    </row>
    <row r="20" spans="1:1" ht="39" customHeight="1" x14ac:dyDescent="0.25">
      <c r="A20" s="257" t="s">
        <v>592</v>
      </c>
    </row>
    <row r="21" spans="1:1" ht="39.75" customHeight="1" x14ac:dyDescent="0.25">
      <c r="A21" s="257" t="s">
        <v>594</v>
      </c>
    </row>
    <row r="22" spans="1:1" ht="35.25" customHeight="1" x14ac:dyDescent="0.25">
      <c r="A22" s="257" t="s">
        <v>595</v>
      </c>
    </row>
    <row r="23" spans="1:1" ht="35.25" customHeight="1" x14ac:dyDescent="0.25">
      <c r="A23" s="257" t="s">
        <v>596</v>
      </c>
    </row>
    <row r="24" spans="1:1" ht="57.75" customHeight="1" x14ac:dyDescent="0.25">
      <c r="A24" s="257" t="s">
        <v>597</v>
      </c>
    </row>
    <row r="25" spans="1:1" s="114" customFormat="1" ht="23.25" customHeight="1" x14ac:dyDescent="0.25">
      <c r="A25" s="260" t="s">
        <v>598</v>
      </c>
    </row>
    <row r="26" spans="1:1" ht="36.75" customHeight="1" x14ac:dyDescent="0.25">
      <c r="A26" s="257" t="s">
        <v>599</v>
      </c>
    </row>
    <row r="27" spans="1:1" ht="23.25" customHeight="1" x14ac:dyDescent="0.25">
      <c r="A27" s="257" t="s">
        <v>600</v>
      </c>
    </row>
    <row r="28" spans="1:1" ht="30.75" customHeight="1" x14ac:dyDescent="0.25">
      <c r="A28" s="257" t="s">
        <v>601</v>
      </c>
    </row>
    <row r="29" spans="1:1" s="259" customFormat="1" ht="23.25" customHeight="1" x14ac:dyDescent="0.25">
      <c r="A29" s="257" t="s">
        <v>602</v>
      </c>
    </row>
    <row r="30" spans="1:1" s="259" customFormat="1" ht="23.25" customHeight="1" x14ac:dyDescent="0.25">
      <c r="A30" s="257" t="s">
        <v>603</v>
      </c>
    </row>
    <row r="31" spans="1:1" ht="23.25" customHeight="1" x14ac:dyDescent="0.25">
      <c r="A31" s="257" t="s">
        <v>604</v>
      </c>
    </row>
    <row r="32" spans="1:1" ht="23.25" customHeight="1" x14ac:dyDescent="0.25">
      <c r="A32" s="257" t="s">
        <v>605</v>
      </c>
    </row>
    <row r="33" spans="1:1" ht="23.25" customHeight="1" x14ac:dyDescent="0.25">
      <c r="A33" s="257" t="s">
        <v>606</v>
      </c>
    </row>
    <row r="34" spans="1:1" ht="23.25" customHeight="1" x14ac:dyDescent="0.25">
      <c r="A34" s="257" t="s">
        <v>607</v>
      </c>
    </row>
    <row r="35" spans="1:1" ht="23.25" customHeight="1" x14ac:dyDescent="0.25">
      <c r="A35" s="257" t="s">
        <v>608</v>
      </c>
    </row>
    <row r="36" spans="1:1" ht="23.25" customHeight="1" x14ac:dyDescent="0.25">
      <c r="A36" s="257" t="s">
        <v>609</v>
      </c>
    </row>
    <row r="37" spans="1:1" ht="23.25" customHeight="1" x14ac:dyDescent="0.25">
      <c r="A37" s="257" t="s">
        <v>610</v>
      </c>
    </row>
    <row r="38" spans="1:1" ht="23.25" customHeight="1" x14ac:dyDescent="0.25">
      <c r="A38" s="257" t="s">
        <v>611</v>
      </c>
    </row>
    <row r="39" spans="1:1" ht="23.25" customHeight="1" x14ac:dyDescent="0.25">
      <c r="A39" s="257" t="s">
        <v>612</v>
      </c>
    </row>
    <row r="40" spans="1:1" ht="23.25" customHeight="1" x14ac:dyDescent="0.25">
      <c r="A40" s="257" t="s">
        <v>613</v>
      </c>
    </row>
    <row r="41" spans="1:1" ht="23.25" customHeight="1" x14ac:dyDescent="0.25">
      <c r="A41" s="257" t="s">
        <v>614</v>
      </c>
    </row>
    <row r="42" spans="1:1" ht="23.25" customHeight="1" x14ac:dyDescent="0.25">
      <c r="A42" s="257" t="s">
        <v>615</v>
      </c>
    </row>
    <row r="43" spans="1:1" ht="23.25" customHeight="1" x14ac:dyDescent="0.25">
      <c r="A43" s="257" t="s">
        <v>616</v>
      </c>
    </row>
    <row r="44" spans="1:1" s="114" customFormat="1" ht="36" customHeight="1" x14ac:dyDescent="0.25">
      <c r="A44" s="260" t="s">
        <v>617</v>
      </c>
    </row>
    <row r="45" spans="1:1" ht="36" customHeight="1" x14ac:dyDescent="0.25">
      <c r="A45" s="257" t="s">
        <v>618</v>
      </c>
    </row>
    <row r="46" spans="1:1" ht="36" customHeight="1" x14ac:dyDescent="0.25">
      <c r="A46" s="257" t="s">
        <v>619</v>
      </c>
    </row>
    <row r="47" spans="1:1" s="114" customFormat="1" ht="23.25" customHeight="1" x14ac:dyDescent="0.25">
      <c r="A47" s="260" t="s">
        <v>620</v>
      </c>
    </row>
    <row r="48" spans="1:1" s="114" customFormat="1" ht="23.25" customHeight="1" x14ac:dyDescent="0.25">
      <c r="A48" s="261" t="s">
        <v>621</v>
      </c>
    </row>
    <row r="49" spans="1:1" s="114" customFormat="1" ht="23.25" customHeight="1" x14ac:dyDescent="0.25">
      <c r="A49" s="261" t="s">
        <v>622</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624</v>
      </c>
    </row>
    <row r="2" spans="1:1" ht="18.75" customHeight="1" x14ac:dyDescent="0.25">
      <c r="A2" t="s">
        <v>653</v>
      </c>
    </row>
    <row r="3" spans="1:1" x14ac:dyDescent="0.25">
      <c r="A3" t="s">
        <v>625</v>
      </c>
    </row>
    <row r="4" spans="1:1" x14ac:dyDescent="0.25">
      <c r="A4" t="s">
        <v>654</v>
      </c>
    </row>
    <row r="5" spans="1:1" x14ac:dyDescent="0.25">
      <c r="A5" t="s">
        <v>655</v>
      </c>
    </row>
    <row r="6" spans="1:1" x14ac:dyDescent="0.25">
      <c r="A6" t="s">
        <v>656</v>
      </c>
    </row>
    <row r="7" spans="1:1" x14ac:dyDescent="0.25">
      <c r="A7" t="s">
        <v>657</v>
      </c>
    </row>
    <row r="8" spans="1:1" x14ac:dyDescent="0.25">
      <c r="A8" t="s">
        <v>658</v>
      </c>
    </row>
    <row r="9" spans="1:1" x14ac:dyDescent="0.25">
      <c r="A9" t="s">
        <v>629</v>
      </c>
    </row>
    <row r="10" spans="1:1" x14ac:dyDescent="0.25">
      <c r="A10" t="s">
        <v>630</v>
      </c>
    </row>
    <row r="11" spans="1:1" x14ac:dyDescent="0.25">
      <c r="A11" t="s">
        <v>659</v>
      </c>
    </row>
    <row r="12" spans="1:1" x14ac:dyDescent="0.25">
      <c r="A12" t="s">
        <v>626</v>
      </c>
    </row>
    <row r="13" spans="1:1" x14ac:dyDescent="0.25">
      <c r="A13" t="s">
        <v>660</v>
      </c>
    </row>
    <row r="14" spans="1:1" x14ac:dyDescent="0.25">
      <c r="A14" t="s">
        <v>631</v>
      </c>
    </row>
    <row r="15" spans="1:1" x14ac:dyDescent="0.25">
      <c r="A15" t="s">
        <v>627</v>
      </c>
    </row>
    <row r="16" spans="1:1" x14ac:dyDescent="0.25">
      <c r="A16" t="s">
        <v>661</v>
      </c>
    </row>
    <row r="17" spans="1:1" x14ac:dyDescent="0.25">
      <c r="A17" t="s">
        <v>632</v>
      </c>
    </row>
    <row r="18" spans="1:1" x14ac:dyDescent="0.25">
      <c r="A18" t="s">
        <v>628</v>
      </c>
    </row>
    <row r="19" spans="1:1" x14ac:dyDescent="0.25">
      <c r="A19" t="s">
        <v>662</v>
      </c>
    </row>
    <row r="20" spans="1:1" ht="17.25" customHeight="1" x14ac:dyDescent="0.25">
      <c r="A20" t="s">
        <v>633</v>
      </c>
    </row>
    <row r="21" spans="1:1" x14ac:dyDescent="0.25">
      <c r="A21" t="s">
        <v>663</v>
      </c>
    </row>
    <row r="22" spans="1:1" x14ac:dyDescent="0.25">
      <c r="A22" t="s">
        <v>634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532</v>
      </c>
    </row>
    <row r="3" spans="1:1" x14ac:dyDescent="0.25">
      <c r="A3" t="s">
        <v>636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639</v>
      </c>
    </row>
    <row r="2" spans="1:1" x14ac:dyDescent="0.25">
      <c r="A2" t="s">
        <v>637</v>
      </c>
    </row>
    <row r="3" spans="1:1" x14ac:dyDescent="0.25">
      <c r="A3" t="s">
        <v>638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641</v>
      </c>
    </row>
    <row r="3" spans="1:1" x14ac:dyDescent="0.25">
      <c r="A3" t="s">
        <v>642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D10" zoomScale="80" zoomScaleSheetLayoutView="80" workbookViewId="0">
      <selection activeCell="A2" sqref="A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0" customFormat="1" ht="18.75" customHeight="1" x14ac:dyDescent="0.2">
      <c r="A1" s="16"/>
      <c r="S1" s="36"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row>
    <row r="5" spans="1:28" s="10" customFormat="1" ht="15.75" x14ac:dyDescent="0.2">
      <c r="A5" s="15"/>
    </row>
    <row r="6" spans="1:28" s="10" customFormat="1" ht="18.75" x14ac:dyDescent="0.2">
      <c r="A6" s="429" t="s">
        <v>7</v>
      </c>
      <c r="B6" s="429"/>
      <c r="C6" s="429"/>
      <c r="D6" s="429"/>
      <c r="E6" s="429"/>
      <c r="F6" s="429"/>
      <c r="G6" s="429"/>
      <c r="H6" s="429"/>
      <c r="I6" s="429"/>
      <c r="J6" s="429"/>
      <c r="K6" s="429"/>
      <c r="L6" s="429"/>
      <c r="M6" s="429"/>
      <c r="N6" s="429"/>
      <c r="O6" s="429"/>
      <c r="P6" s="429"/>
      <c r="Q6" s="429"/>
      <c r="R6" s="429"/>
      <c r="S6" s="429"/>
      <c r="T6" s="11"/>
      <c r="U6" s="11"/>
      <c r="V6" s="11"/>
      <c r="W6" s="11"/>
      <c r="X6" s="11"/>
      <c r="Y6" s="11"/>
      <c r="Z6" s="11"/>
      <c r="AA6" s="11"/>
      <c r="AB6" s="11"/>
    </row>
    <row r="7" spans="1:28" s="10" customFormat="1" ht="18.75" x14ac:dyDescent="0.2">
      <c r="A7" s="429"/>
      <c r="B7" s="429"/>
      <c r="C7" s="429"/>
      <c r="D7" s="429"/>
      <c r="E7" s="429"/>
      <c r="F7" s="429"/>
      <c r="G7" s="429"/>
      <c r="H7" s="429"/>
      <c r="I7" s="429"/>
      <c r="J7" s="429"/>
      <c r="K7" s="429"/>
      <c r="L7" s="429"/>
      <c r="M7" s="429"/>
      <c r="N7" s="429"/>
      <c r="O7" s="429"/>
      <c r="P7" s="429"/>
      <c r="Q7" s="429"/>
      <c r="R7" s="429"/>
      <c r="S7" s="429"/>
      <c r="T7" s="11"/>
      <c r="U7" s="11"/>
      <c r="V7" s="11"/>
      <c r="W7" s="11"/>
      <c r="X7" s="11"/>
      <c r="Y7" s="11"/>
      <c r="Z7" s="11"/>
      <c r="AA7" s="11"/>
      <c r="AB7" s="11"/>
    </row>
    <row r="8" spans="1:28" s="10"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11"/>
      <c r="U8" s="11"/>
      <c r="V8" s="11"/>
      <c r="W8" s="11"/>
      <c r="X8" s="11"/>
      <c r="Y8" s="11"/>
      <c r="Z8" s="11"/>
      <c r="AA8" s="11"/>
      <c r="AB8" s="11"/>
    </row>
    <row r="9" spans="1:28" s="10" customFormat="1" ht="18.75" x14ac:dyDescent="0.2">
      <c r="A9" s="425" t="s">
        <v>6</v>
      </c>
      <c r="B9" s="425"/>
      <c r="C9" s="425"/>
      <c r="D9" s="425"/>
      <c r="E9" s="425"/>
      <c r="F9" s="425"/>
      <c r="G9" s="425"/>
      <c r="H9" s="425"/>
      <c r="I9" s="425"/>
      <c r="J9" s="425"/>
      <c r="K9" s="425"/>
      <c r="L9" s="425"/>
      <c r="M9" s="425"/>
      <c r="N9" s="425"/>
      <c r="O9" s="425"/>
      <c r="P9" s="425"/>
      <c r="Q9" s="425"/>
      <c r="R9" s="425"/>
      <c r="S9" s="425"/>
      <c r="T9" s="11"/>
      <c r="U9" s="11"/>
      <c r="V9" s="11"/>
      <c r="W9" s="11"/>
      <c r="X9" s="11"/>
      <c r="Y9" s="11"/>
      <c r="Z9" s="11"/>
      <c r="AA9" s="11"/>
      <c r="AB9" s="11"/>
    </row>
    <row r="10" spans="1:28" s="10" customFormat="1" ht="18.75" x14ac:dyDescent="0.2">
      <c r="A10" s="429"/>
      <c r="B10" s="429"/>
      <c r="C10" s="429"/>
      <c r="D10" s="429"/>
      <c r="E10" s="429"/>
      <c r="F10" s="429"/>
      <c r="G10" s="429"/>
      <c r="H10" s="429"/>
      <c r="I10" s="429"/>
      <c r="J10" s="429"/>
      <c r="K10" s="429"/>
      <c r="L10" s="429"/>
      <c r="M10" s="429"/>
      <c r="N10" s="429"/>
      <c r="O10" s="429"/>
      <c r="P10" s="429"/>
      <c r="Q10" s="429"/>
      <c r="R10" s="429"/>
      <c r="S10" s="429"/>
      <c r="T10" s="11"/>
      <c r="U10" s="11"/>
      <c r="V10" s="11"/>
      <c r="W10" s="11"/>
      <c r="X10" s="11"/>
      <c r="Y10" s="11"/>
      <c r="Z10" s="11"/>
      <c r="AA10" s="11"/>
      <c r="AB10" s="11"/>
    </row>
    <row r="11" spans="1:28" s="10" customFormat="1" ht="18.75" x14ac:dyDescent="0.2">
      <c r="A11" s="423" t="str">
        <f>'1. паспорт местоположение'!A12:C12</f>
        <v>H_17-0361</v>
      </c>
      <c r="B11" s="423"/>
      <c r="C11" s="423"/>
      <c r="D11" s="423"/>
      <c r="E11" s="423"/>
      <c r="F11" s="423"/>
      <c r="G11" s="423"/>
      <c r="H11" s="423"/>
      <c r="I11" s="423"/>
      <c r="J11" s="423"/>
      <c r="K11" s="423"/>
      <c r="L11" s="423"/>
      <c r="M11" s="423"/>
      <c r="N11" s="423"/>
      <c r="O11" s="423"/>
      <c r="P11" s="423"/>
      <c r="Q11" s="423"/>
      <c r="R11" s="423"/>
      <c r="S11" s="423"/>
      <c r="T11" s="11"/>
      <c r="U11" s="11"/>
      <c r="V11" s="11"/>
      <c r="W11" s="11"/>
      <c r="X11" s="11"/>
      <c r="Y11" s="11"/>
      <c r="Z11" s="11"/>
      <c r="AA11" s="11"/>
      <c r="AB11" s="11"/>
    </row>
    <row r="12" spans="1:28" s="10"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1"/>
      <c r="U12" s="11"/>
      <c r="V12" s="11"/>
      <c r="W12" s="11"/>
      <c r="X12" s="11"/>
      <c r="Y12" s="11"/>
      <c r="Z12" s="11"/>
      <c r="AA12" s="11"/>
      <c r="AB12" s="11"/>
    </row>
    <row r="13" spans="1:28" s="7"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8"/>
      <c r="U13" s="8"/>
      <c r="V13" s="8"/>
      <c r="W13" s="8"/>
      <c r="X13" s="8"/>
      <c r="Y13" s="8"/>
      <c r="Z13" s="8"/>
      <c r="AA13" s="8"/>
      <c r="AB13" s="8"/>
    </row>
    <row r="14" spans="1:28" s="2" customFormat="1" ht="12" x14ac:dyDescent="0.2">
      <c r="A14" s="423" t="str">
        <f>'1. паспорт местоположение'!A9:C9</f>
        <v>Акционерное общество "Россети Янтарь" ДЗО  ПАО "Россети"</v>
      </c>
      <c r="B14" s="423"/>
      <c r="C14" s="423"/>
      <c r="D14" s="423"/>
      <c r="E14" s="423"/>
      <c r="F14" s="423"/>
      <c r="G14" s="423"/>
      <c r="H14" s="423"/>
      <c r="I14" s="423"/>
      <c r="J14" s="423"/>
      <c r="K14" s="423"/>
      <c r="L14" s="423"/>
      <c r="M14" s="423"/>
      <c r="N14" s="423"/>
      <c r="O14" s="423"/>
      <c r="P14" s="423"/>
      <c r="Q14" s="423"/>
      <c r="R14" s="423"/>
      <c r="S14" s="423"/>
      <c r="T14" s="6"/>
      <c r="U14" s="6"/>
      <c r="V14" s="6"/>
      <c r="W14" s="6"/>
      <c r="X14" s="6"/>
      <c r="Y14" s="6"/>
      <c r="Z14" s="6"/>
      <c r="AA14" s="6"/>
      <c r="AB14" s="6"/>
    </row>
    <row r="15" spans="1:28" s="2" customFormat="1" ht="15" customHeight="1" x14ac:dyDescent="0.2">
      <c r="A15" s="424" t="str">
        <f>'1. паспорт местоположение'!A15:C15</f>
        <v>Строительство РП 15 кВ, КЛ 15кВ от ПС В-67 (инв. № 5147867), КЛ 15 кВ от абонентской КТП № 7 в г. Пионерском, ул. Портовая</v>
      </c>
      <c r="B15" s="425"/>
      <c r="C15" s="425"/>
      <c r="D15" s="425"/>
      <c r="E15" s="425"/>
      <c r="F15" s="425"/>
      <c r="G15" s="425"/>
      <c r="H15" s="425"/>
      <c r="I15" s="425"/>
      <c r="J15" s="425"/>
      <c r="K15" s="425"/>
      <c r="L15" s="425"/>
      <c r="M15" s="425"/>
      <c r="N15" s="425"/>
      <c r="O15" s="425"/>
      <c r="P15" s="425"/>
      <c r="Q15" s="425"/>
      <c r="R15" s="425"/>
      <c r="S15" s="425"/>
      <c r="T15" s="4"/>
      <c r="U15" s="4"/>
      <c r="V15" s="4"/>
      <c r="W15" s="4"/>
      <c r="X15" s="4"/>
      <c r="Y15" s="4"/>
      <c r="Z15" s="4"/>
      <c r="AA15" s="4"/>
      <c r="AB15" s="4"/>
    </row>
    <row r="16" spans="1:28" s="2"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3"/>
      <c r="U16" s="3"/>
      <c r="V16" s="3"/>
      <c r="W16" s="3"/>
      <c r="X16" s="3"/>
      <c r="Y16" s="3"/>
    </row>
    <row r="17" spans="1:28" s="2" customFormat="1" ht="45.75" customHeight="1" x14ac:dyDescent="0.2">
      <c r="A17" s="427" t="s">
        <v>485</v>
      </c>
      <c r="B17" s="427"/>
      <c r="C17" s="427"/>
      <c r="D17" s="427"/>
      <c r="E17" s="427"/>
      <c r="F17" s="427"/>
      <c r="G17" s="427"/>
      <c r="H17" s="427"/>
      <c r="I17" s="427"/>
      <c r="J17" s="427"/>
      <c r="K17" s="427"/>
      <c r="L17" s="427"/>
      <c r="M17" s="427"/>
      <c r="N17" s="427"/>
      <c r="O17" s="427"/>
      <c r="P17" s="427"/>
      <c r="Q17" s="427"/>
      <c r="R17" s="427"/>
      <c r="S17" s="427"/>
      <c r="T17" s="5"/>
      <c r="U17" s="5"/>
      <c r="V17" s="5"/>
      <c r="W17" s="5"/>
      <c r="X17" s="5"/>
      <c r="Y17" s="5"/>
      <c r="Z17" s="5"/>
      <c r="AA17" s="5"/>
      <c r="AB17" s="5"/>
    </row>
    <row r="18" spans="1:28" s="2"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3"/>
      <c r="U18" s="3"/>
      <c r="V18" s="3"/>
      <c r="W18" s="3"/>
      <c r="X18" s="3"/>
      <c r="Y18" s="3"/>
    </row>
    <row r="19" spans="1:28" s="2" customFormat="1" ht="54" customHeight="1" x14ac:dyDescent="0.2">
      <c r="A19" s="431" t="s">
        <v>3</v>
      </c>
      <c r="B19" s="431" t="s">
        <v>94</v>
      </c>
      <c r="C19" s="432" t="s">
        <v>379</v>
      </c>
      <c r="D19" s="431" t="s">
        <v>378</v>
      </c>
      <c r="E19" s="431" t="s">
        <v>93</v>
      </c>
      <c r="F19" s="431" t="s">
        <v>92</v>
      </c>
      <c r="G19" s="431" t="s">
        <v>374</v>
      </c>
      <c r="H19" s="431" t="s">
        <v>91</v>
      </c>
      <c r="I19" s="431" t="s">
        <v>90</v>
      </c>
      <c r="J19" s="431" t="s">
        <v>89</v>
      </c>
      <c r="K19" s="431" t="s">
        <v>88</v>
      </c>
      <c r="L19" s="431" t="s">
        <v>87</v>
      </c>
      <c r="M19" s="431" t="s">
        <v>86</v>
      </c>
      <c r="N19" s="431" t="s">
        <v>85</v>
      </c>
      <c r="O19" s="431" t="s">
        <v>84</v>
      </c>
      <c r="P19" s="431" t="s">
        <v>83</v>
      </c>
      <c r="Q19" s="431" t="s">
        <v>377</v>
      </c>
      <c r="R19" s="431"/>
      <c r="S19" s="434" t="s">
        <v>479</v>
      </c>
      <c r="T19" s="3"/>
      <c r="U19" s="3"/>
      <c r="V19" s="3"/>
      <c r="W19" s="3"/>
      <c r="X19" s="3"/>
      <c r="Y19" s="3"/>
    </row>
    <row r="20" spans="1:28" s="2" customFormat="1" ht="180.75" customHeight="1" x14ac:dyDescent="0.2">
      <c r="A20" s="431"/>
      <c r="B20" s="431"/>
      <c r="C20" s="433"/>
      <c r="D20" s="431"/>
      <c r="E20" s="431"/>
      <c r="F20" s="431"/>
      <c r="G20" s="431"/>
      <c r="H20" s="431"/>
      <c r="I20" s="431"/>
      <c r="J20" s="431"/>
      <c r="K20" s="431"/>
      <c r="L20" s="431"/>
      <c r="M20" s="431"/>
      <c r="N20" s="431"/>
      <c r="O20" s="431"/>
      <c r="P20" s="431"/>
      <c r="Q20" s="38" t="s">
        <v>375</v>
      </c>
      <c r="R20" s="39" t="s">
        <v>376</v>
      </c>
      <c r="S20" s="434"/>
      <c r="T20" s="29"/>
      <c r="U20" s="29"/>
      <c r="V20" s="29"/>
      <c r="W20" s="29"/>
      <c r="X20" s="29"/>
      <c r="Y20" s="29"/>
      <c r="Z20" s="28"/>
      <c r="AA20" s="28"/>
      <c r="AB20" s="28"/>
    </row>
    <row r="21" spans="1:28" s="2" customFormat="1" ht="18.75" x14ac:dyDescent="0.2">
      <c r="A21" s="38">
        <v>1</v>
      </c>
      <c r="B21" s="43">
        <v>2</v>
      </c>
      <c r="C21" s="38">
        <v>3</v>
      </c>
      <c r="D21" s="43">
        <v>4</v>
      </c>
      <c r="E21" s="38">
        <v>5</v>
      </c>
      <c r="F21" s="43">
        <v>6</v>
      </c>
      <c r="G21" s="150">
        <v>7</v>
      </c>
      <c r="H21" s="151">
        <v>8</v>
      </c>
      <c r="I21" s="150">
        <v>9</v>
      </c>
      <c r="J21" s="151">
        <v>10</v>
      </c>
      <c r="K21" s="150">
        <v>11</v>
      </c>
      <c r="L21" s="151">
        <v>12</v>
      </c>
      <c r="M21" s="150">
        <v>13</v>
      </c>
      <c r="N21" s="151">
        <v>14</v>
      </c>
      <c r="O21" s="150">
        <v>15</v>
      </c>
      <c r="P21" s="151">
        <v>16</v>
      </c>
      <c r="Q21" s="150">
        <v>17</v>
      </c>
      <c r="R21" s="151">
        <v>18</v>
      </c>
      <c r="S21" s="150">
        <v>19</v>
      </c>
      <c r="T21" s="29"/>
      <c r="U21" s="29"/>
      <c r="V21" s="29"/>
      <c r="W21" s="29"/>
      <c r="X21" s="29"/>
      <c r="Y21" s="29"/>
      <c r="Z21" s="28"/>
      <c r="AA21" s="28"/>
      <c r="AB21" s="28"/>
    </row>
    <row r="22" spans="1:28" s="262" customFormat="1" ht="346.5" x14ac:dyDescent="0.25">
      <c r="A22" s="287">
        <v>1</v>
      </c>
      <c r="B22" s="269" t="s">
        <v>674</v>
      </c>
      <c r="C22" s="269"/>
      <c r="D22" s="269" t="s">
        <v>675</v>
      </c>
      <c r="E22" s="269" t="s">
        <v>676</v>
      </c>
      <c r="F22" s="269" t="s">
        <v>677</v>
      </c>
      <c r="G22" s="269" t="s">
        <v>678</v>
      </c>
      <c r="H22" s="320">
        <v>2.7294</v>
      </c>
      <c r="I22" s="269">
        <v>2.0299999999999998</v>
      </c>
      <c r="J22" s="320">
        <v>1.88</v>
      </c>
      <c r="K22" s="269" t="s">
        <v>679</v>
      </c>
      <c r="L22" s="321">
        <v>3</v>
      </c>
      <c r="M22" s="269"/>
      <c r="N22" s="269"/>
      <c r="O22" s="269"/>
      <c r="P22" s="269"/>
      <c r="Q22" s="287" t="s">
        <v>680</v>
      </c>
      <c r="R22" s="287"/>
      <c r="S22" s="322">
        <v>29.54991236</v>
      </c>
      <c r="T22" s="267"/>
      <c r="U22" s="267"/>
      <c r="V22" s="267"/>
      <c r="W22" s="267"/>
      <c r="X22" s="267"/>
      <c r="Y22" s="267"/>
      <c r="Z22" s="267"/>
      <c r="AA22" s="267"/>
      <c r="AB22" s="267"/>
    </row>
    <row r="23" spans="1:28" ht="20.25" customHeight="1" x14ac:dyDescent="0.25">
      <c r="A23" s="119"/>
      <c r="B23" s="43" t="s">
        <v>372</v>
      </c>
      <c r="C23" s="43"/>
      <c r="D23" s="43"/>
      <c r="E23" s="119" t="s">
        <v>373</v>
      </c>
      <c r="F23" s="119" t="s">
        <v>373</v>
      </c>
      <c r="G23" s="119" t="s">
        <v>373</v>
      </c>
      <c r="H23" s="268">
        <f>SUM(H22:H22)</f>
        <v>2.7294</v>
      </c>
      <c r="I23" s="268">
        <f>SUM(I22:I22)</f>
        <v>2.0299999999999998</v>
      </c>
      <c r="J23" s="268">
        <f>SUM(J22:J22)</f>
        <v>1.88</v>
      </c>
      <c r="K23" s="268"/>
      <c r="L23" s="268"/>
      <c r="M23" s="268"/>
      <c r="N23" s="268"/>
      <c r="O23" s="268"/>
      <c r="P23" s="268"/>
      <c r="Q23" s="268"/>
      <c r="R23" s="268"/>
      <c r="S23" s="268">
        <f>SUM(S22:S22)</f>
        <v>29.54991236</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A2" sqref="A2"/>
    </sheetView>
  </sheetViews>
  <sheetFormatPr defaultColWidth="10.7109375" defaultRowHeight="15.75" x14ac:dyDescent="0.25"/>
  <cols>
    <col min="1" max="1" width="9.5703125" style="46" customWidth="1"/>
    <col min="2" max="3" width="11.28515625" style="46" customWidth="1"/>
    <col min="4" max="4" width="17.140625" style="46" customWidth="1"/>
    <col min="5" max="5" width="11.140625" style="46" customWidth="1"/>
    <col min="6" max="6" width="11" style="46" customWidth="1"/>
    <col min="7" max="7" width="8.7109375" style="46" customWidth="1"/>
    <col min="8" max="8" width="13.855468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15" t="str">
        <f>'1. паспорт местоположение'!A5:C5</f>
        <v>Год раскрытия информации: 2023 год</v>
      </c>
      <c r="B6" s="415"/>
      <c r="C6" s="415"/>
      <c r="D6" s="415"/>
      <c r="E6" s="415"/>
      <c r="F6" s="415"/>
      <c r="G6" s="415"/>
      <c r="H6" s="415"/>
      <c r="I6" s="415"/>
      <c r="J6" s="415"/>
      <c r="K6" s="415"/>
      <c r="L6" s="415"/>
      <c r="M6" s="415"/>
      <c r="N6" s="415"/>
      <c r="O6" s="415"/>
      <c r="P6" s="415"/>
      <c r="Q6" s="415"/>
      <c r="R6" s="415"/>
      <c r="S6" s="415"/>
      <c r="T6" s="415"/>
    </row>
    <row r="7" spans="1:20" s="10" customFormat="1" x14ac:dyDescent="0.2">
      <c r="A7" s="15"/>
      <c r="H7" s="14"/>
    </row>
    <row r="8" spans="1:20" s="10"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0"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0" customFormat="1" ht="18.75" customHeight="1" x14ac:dyDescent="0.2">
      <c r="A10" s="423" t="str">
        <f>'1. паспорт местоположение'!A9:C9</f>
        <v>Акционерное общество "Россети Янтарь"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0"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0"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0" customFormat="1" ht="18.75" customHeight="1" x14ac:dyDescent="0.2">
      <c r="A13" s="423" t="str">
        <f>'1. паспорт местоположение'!A12:C12</f>
        <v>H_17-0361</v>
      </c>
      <c r="B13" s="423"/>
      <c r="C13" s="423"/>
      <c r="D13" s="423"/>
      <c r="E13" s="423"/>
      <c r="F13" s="423"/>
      <c r="G13" s="423"/>
      <c r="H13" s="423"/>
      <c r="I13" s="423"/>
      <c r="J13" s="423"/>
      <c r="K13" s="423"/>
      <c r="L13" s="423"/>
      <c r="M13" s="423"/>
      <c r="N13" s="423"/>
      <c r="O13" s="423"/>
      <c r="P13" s="423"/>
      <c r="Q13" s="423"/>
      <c r="R13" s="423"/>
      <c r="S13" s="423"/>
      <c r="T13" s="423"/>
    </row>
    <row r="14" spans="1:20" s="10"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7"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2" customFormat="1" ht="12" x14ac:dyDescent="0.2">
      <c r="A16" s="423" t="str">
        <f>'1. паспорт местоположение'!A15</f>
        <v>Строительство РП 15 кВ, КЛ 15кВ от ПС В-67 (инв. № 5147867), КЛ 15 кВ от абонентской КТП № 7 в г. Пионерском, ул. Портовая</v>
      </c>
      <c r="B16" s="423"/>
      <c r="C16" s="423"/>
      <c r="D16" s="423"/>
      <c r="E16" s="423"/>
      <c r="F16" s="423"/>
      <c r="G16" s="423"/>
      <c r="H16" s="423"/>
      <c r="I16" s="423"/>
      <c r="J16" s="423"/>
      <c r="K16" s="423"/>
      <c r="L16" s="423"/>
      <c r="M16" s="423"/>
      <c r="N16" s="423"/>
      <c r="O16" s="423"/>
      <c r="P16" s="423"/>
      <c r="Q16" s="423"/>
      <c r="R16" s="423"/>
      <c r="S16" s="423"/>
      <c r="T16" s="423"/>
    </row>
    <row r="17" spans="1:113" s="2"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113"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2" customFormat="1" ht="15" customHeight="1" x14ac:dyDescent="0.2">
      <c r="A19" s="438" t="s">
        <v>490</v>
      </c>
      <c r="B19" s="438"/>
      <c r="C19" s="438"/>
      <c r="D19" s="438"/>
      <c r="E19" s="438"/>
      <c r="F19" s="438"/>
      <c r="G19" s="438"/>
      <c r="H19" s="438"/>
      <c r="I19" s="438"/>
      <c r="J19" s="438"/>
      <c r="K19" s="438"/>
      <c r="L19" s="438"/>
      <c r="M19" s="438"/>
      <c r="N19" s="438"/>
      <c r="O19" s="438"/>
      <c r="P19" s="438"/>
      <c r="Q19" s="438"/>
      <c r="R19" s="438"/>
      <c r="S19" s="438"/>
      <c r="T19" s="438"/>
    </row>
    <row r="20" spans="1:113" s="54"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35" t="s">
        <v>111</v>
      </c>
      <c r="R21" s="436"/>
      <c r="S21" s="435" t="s">
        <v>110</v>
      </c>
      <c r="T21" s="437"/>
    </row>
    <row r="22" spans="1:113" ht="204.75" customHeight="1" x14ac:dyDescent="0.25">
      <c r="A22" s="441"/>
      <c r="B22" s="445"/>
      <c r="C22" s="446"/>
      <c r="D22" s="450"/>
      <c r="E22" s="445"/>
      <c r="F22" s="446"/>
      <c r="G22" s="445"/>
      <c r="H22" s="446"/>
      <c r="I22" s="445"/>
      <c r="J22" s="446"/>
      <c r="K22" s="448"/>
      <c r="L22" s="445"/>
      <c r="M22" s="446"/>
      <c r="N22" s="445"/>
      <c r="O22" s="446"/>
      <c r="P22" s="448"/>
      <c r="Q22" s="107" t="s">
        <v>109</v>
      </c>
      <c r="R22" s="107" t="s">
        <v>489</v>
      </c>
      <c r="S22" s="107" t="s">
        <v>108</v>
      </c>
      <c r="T22" s="107" t="s">
        <v>107</v>
      </c>
    </row>
    <row r="23" spans="1:113" ht="51.75" customHeight="1" x14ac:dyDescent="0.25">
      <c r="A23" s="44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7" t="s">
        <v>105</v>
      </c>
      <c r="R23" s="107" t="s">
        <v>105</v>
      </c>
      <c r="S23" s="107" t="s">
        <v>105</v>
      </c>
      <c r="T23" s="107"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47.25" x14ac:dyDescent="0.25">
      <c r="A25" s="58">
        <v>1</v>
      </c>
      <c r="B25" s="56" t="s">
        <v>373</v>
      </c>
      <c r="C25" s="56" t="s">
        <v>683</v>
      </c>
      <c r="D25" s="56" t="s">
        <v>488</v>
      </c>
      <c r="E25" s="56" t="s">
        <v>373</v>
      </c>
      <c r="F25" s="56" t="s">
        <v>684</v>
      </c>
      <c r="G25" s="56" t="s">
        <v>373</v>
      </c>
      <c r="H25" s="56" t="s">
        <v>685</v>
      </c>
      <c r="I25" s="56" t="s">
        <v>373</v>
      </c>
      <c r="J25" s="55" t="s">
        <v>648</v>
      </c>
      <c r="K25" s="55" t="s">
        <v>373</v>
      </c>
      <c r="L25" s="55" t="s">
        <v>373</v>
      </c>
      <c r="M25" s="57">
        <v>15</v>
      </c>
      <c r="N25" s="57" t="s">
        <v>373</v>
      </c>
      <c r="O25" s="57" t="s">
        <v>373</v>
      </c>
      <c r="P25" s="55" t="s">
        <v>373</v>
      </c>
      <c r="Q25" s="161" t="s">
        <v>373</v>
      </c>
      <c r="R25" s="56" t="s">
        <v>373</v>
      </c>
      <c r="S25" s="161" t="s">
        <v>373</v>
      </c>
      <c r="T25" s="56" t="s">
        <v>373</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80" zoomScaleSheetLayoutView="80" workbookViewId="0">
      <selection activeCell="A2" sqref="A2"/>
    </sheetView>
  </sheetViews>
  <sheetFormatPr defaultColWidth="10.7109375" defaultRowHeight="15.75" x14ac:dyDescent="0.25"/>
  <cols>
    <col min="1" max="1" width="10.7109375" style="46"/>
    <col min="2" max="2" width="14" style="46" customWidth="1"/>
    <col min="3" max="3" width="18.140625" style="46" customWidth="1"/>
    <col min="4" max="4" width="11.5703125" style="46" customWidth="1"/>
    <col min="5" max="5" width="19.140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15.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66</v>
      </c>
    </row>
    <row r="2" spans="1:27" s="10" customFormat="1" ht="18.75" customHeight="1" x14ac:dyDescent="0.3">
      <c r="E2" s="16"/>
      <c r="Q2" s="14"/>
      <c r="R2" s="14"/>
      <c r="AA2" s="13" t="s">
        <v>8</v>
      </c>
    </row>
    <row r="3" spans="1:27" s="10" customFormat="1" ht="18.75" customHeight="1" x14ac:dyDescent="0.3">
      <c r="E3" s="16"/>
      <c r="Q3" s="14"/>
      <c r="R3" s="14"/>
      <c r="AA3" s="13" t="s">
        <v>65</v>
      </c>
    </row>
    <row r="4" spans="1:27" s="10" customFormat="1" x14ac:dyDescent="0.2">
      <c r="E4" s="15"/>
      <c r="Q4" s="14"/>
      <c r="R4" s="14"/>
    </row>
    <row r="5" spans="1:27" s="10" customFormat="1"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0" customFormat="1" x14ac:dyDescent="0.2">
      <c r="A6" s="162"/>
      <c r="B6" s="162"/>
      <c r="C6" s="162"/>
      <c r="D6" s="162"/>
      <c r="E6" s="162"/>
      <c r="F6" s="162"/>
      <c r="G6" s="162"/>
      <c r="H6" s="162"/>
      <c r="I6" s="162"/>
      <c r="J6" s="162"/>
      <c r="K6" s="162"/>
      <c r="L6" s="162"/>
      <c r="M6" s="162"/>
      <c r="N6" s="162"/>
      <c r="O6" s="162"/>
      <c r="P6" s="162"/>
      <c r="Q6" s="162"/>
      <c r="R6" s="162"/>
      <c r="S6" s="162"/>
      <c r="T6" s="162"/>
    </row>
    <row r="7" spans="1:27" s="10"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423" t="str">
        <f>'1. паспорт местоположение'!A9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10"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423" t="str">
        <f>'1. паспорт местоположение'!A12</f>
        <v>H_17-0361</v>
      </c>
      <c r="F12" s="423"/>
      <c r="G12" s="423"/>
      <c r="H12" s="423"/>
      <c r="I12" s="423"/>
      <c r="J12" s="423"/>
      <c r="K12" s="423"/>
      <c r="L12" s="423"/>
      <c r="M12" s="423"/>
      <c r="N12" s="423"/>
      <c r="O12" s="423"/>
      <c r="P12" s="423"/>
      <c r="Q12" s="423"/>
      <c r="R12" s="423"/>
      <c r="S12" s="423"/>
      <c r="T12" s="423"/>
      <c r="U12" s="423"/>
      <c r="V12" s="423"/>
      <c r="W12" s="423"/>
      <c r="X12" s="423"/>
      <c r="Y12" s="423"/>
    </row>
    <row r="13" spans="1:27" s="10"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423" t="str">
        <f>'1. паспорт местоположение'!A15</f>
        <v>Строительство РП 15 кВ, КЛ 15кВ от ПС В-67 (инв. № 5147867), КЛ 15 кВ от абонентской КТП № 7 в г. Пионерском, ул. Портовая</v>
      </c>
      <c r="F15" s="423"/>
      <c r="G15" s="423"/>
      <c r="H15" s="423"/>
      <c r="I15" s="423"/>
      <c r="J15" s="423"/>
      <c r="K15" s="423"/>
      <c r="L15" s="423"/>
      <c r="M15" s="423"/>
      <c r="N15" s="423"/>
      <c r="O15" s="423"/>
      <c r="P15" s="423"/>
      <c r="Q15" s="423"/>
      <c r="R15" s="423"/>
      <c r="S15" s="423"/>
      <c r="T15" s="423"/>
      <c r="U15" s="423"/>
      <c r="V15" s="423"/>
      <c r="W15" s="423"/>
      <c r="X15" s="423"/>
      <c r="Y15" s="423"/>
    </row>
    <row r="16" spans="1:27" s="2"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492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4" customFormat="1" ht="21" customHeight="1" x14ac:dyDescent="0.25"/>
    <row r="21" spans="1:27" ht="15.75" customHeight="1" x14ac:dyDescent="0.25">
      <c r="A21" s="451" t="s">
        <v>3</v>
      </c>
      <c r="B21" s="453" t="s">
        <v>499</v>
      </c>
      <c r="C21" s="454"/>
      <c r="D21" s="453" t="s">
        <v>501</v>
      </c>
      <c r="E21" s="454"/>
      <c r="F21" s="435" t="s">
        <v>88</v>
      </c>
      <c r="G21" s="437"/>
      <c r="H21" s="437"/>
      <c r="I21" s="436"/>
      <c r="J21" s="451" t="s">
        <v>502</v>
      </c>
      <c r="K21" s="453" t="s">
        <v>503</v>
      </c>
      <c r="L21" s="454"/>
      <c r="M21" s="453" t="s">
        <v>504</v>
      </c>
      <c r="N21" s="454"/>
      <c r="O21" s="453" t="s">
        <v>491</v>
      </c>
      <c r="P21" s="454"/>
      <c r="Q21" s="453" t="s">
        <v>121</v>
      </c>
      <c r="R21" s="454"/>
      <c r="S21" s="451" t="s">
        <v>120</v>
      </c>
      <c r="T21" s="451" t="s">
        <v>505</v>
      </c>
      <c r="U21" s="451" t="s">
        <v>500</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107" t="s">
        <v>109</v>
      </c>
      <c r="Y22" s="107" t="s">
        <v>489</v>
      </c>
      <c r="Z22" s="107" t="s">
        <v>108</v>
      </c>
      <c r="AA22" s="107" t="s">
        <v>107</v>
      </c>
    </row>
    <row r="23" spans="1:27" ht="60" customHeight="1" x14ac:dyDescent="0.25">
      <c r="A23" s="452"/>
      <c r="B23" s="156" t="s">
        <v>105</v>
      </c>
      <c r="C23" s="156"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4" customFormat="1" ht="47.25" x14ac:dyDescent="0.25">
      <c r="A25" s="58">
        <v>1</v>
      </c>
      <c r="B25" s="57" t="s">
        <v>373</v>
      </c>
      <c r="C25" s="339" t="s">
        <v>681</v>
      </c>
      <c r="D25" s="57" t="s">
        <v>373</v>
      </c>
      <c r="E25" s="339" t="s">
        <v>682</v>
      </c>
      <c r="F25" s="57" t="s">
        <v>373</v>
      </c>
      <c r="G25" s="57">
        <v>15</v>
      </c>
      <c r="H25" s="57" t="s">
        <v>373</v>
      </c>
      <c r="I25" s="57">
        <v>15</v>
      </c>
      <c r="J25" s="57" t="s">
        <v>373</v>
      </c>
      <c r="K25" s="57" t="s">
        <v>373</v>
      </c>
      <c r="L25" s="57">
        <v>1</v>
      </c>
      <c r="M25" s="57" t="s">
        <v>373</v>
      </c>
      <c r="N25" s="57">
        <v>120</v>
      </c>
      <c r="O25" s="57" t="s">
        <v>373</v>
      </c>
      <c r="P25" s="57" t="s">
        <v>649</v>
      </c>
      <c r="Q25" s="57" t="s">
        <v>373</v>
      </c>
      <c r="R25" s="57">
        <v>0.54100000000000004</v>
      </c>
      <c r="S25" s="57" t="s">
        <v>373</v>
      </c>
      <c r="T25" s="57" t="s">
        <v>373</v>
      </c>
      <c r="U25" s="57" t="s">
        <v>373</v>
      </c>
      <c r="V25" s="57" t="s">
        <v>373</v>
      </c>
      <c r="W25" s="57" t="s">
        <v>671</v>
      </c>
      <c r="X25" s="57" t="s">
        <v>373</v>
      </c>
      <c r="Y25" s="57" t="s">
        <v>373</v>
      </c>
      <c r="Z25" s="57" t="s">
        <v>373</v>
      </c>
      <c r="AA25" s="57" t="s">
        <v>373</v>
      </c>
    </row>
    <row r="26" spans="1:27" ht="3" customHeight="1" x14ac:dyDescent="0.25">
      <c r="X26" s="109"/>
      <c r="Y26" s="110"/>
      <c r="Z26" s="47"/>
      <c r="AA26" s="47"/>
    </row>
    <row r="27" spans="1:27" s="52" customFormat="1" ht="12.75" x14ac:dyDescent="0.2">
      <c r="A27" s="53"/>
      <c r="B27" s="53"/>
      <c r="C27" s="53"/>
      <c r="E27" s="53"/>
      <c r="X27" s="111"/>
      <c r="Y27" s="111"/>
      <c r="Z27" s="111"/>
      <c r="AA27" s="111"/>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A2" sqref="A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15" t="str">
        <f>'1. паспорт местоположение'!A5:C5</f>
        <v>Год раскрытия информации: 2023 год</v>
      </c>
      <c r="B5" s="415"/>
      <c r="C5" s="41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0" customFormat="1" ht="18.75" x14ac:dyDescent="0.3">
      <c r="A6" s="15"/>
      <c r="E6" s="14"/>
      <c r="F6" s="14"/>
      <c r="G6" s="13"/>
    </row>
    <row r="7" spans="1:29" s="10" customFormat="1" ht="18.75" x14ac:dyDescent="0.2">
      <c r="A7" s="429" t="s">
        <v>7</v>
      </c>
      <c r="B7" s="429"/>
      <c r="C7" s="429"/>
      <c r="D7" s="11"/>
      <c r="E7" s="11"/>
      <c r="F7" s="11"/>
      <c r="G7" s="11"/>
      <c r="H7" s="11"/>
      <c r="I7" s="11"/>
      <c r="J7" s="11"/>
      <c r="K7" s="11"/>
      <c r="L7" s="11"/>
      <c r="M7" s="11"/>
      <c r="N7" s="11"/>
      <c r="O7" s="11"/>
      <c r="P7" s="11"/>
      <c r="Q7" s="11"/>
      <c r="R7" s="11"/>
      <c r="S7" s="11"/>
      <c r="T7" s="11"/>
      <c r="U7" s="11"/>
    </row>
    <row r="8" spans="1:29" s="10" customFormat="1" ht="18.75" x14ac:dyDescent="0.2">
      <c r="A8" s="429"/>
      <c r="B8" s="429"/>
      <c r="C8" s="429"/>
      <c r="D8" s="12"/>
      <c r="E8" s="12"/>
      <c r="F8" s="12"/>
      <c r="G8" s="12"/>
      <c r="H8" s="11"/>
      <c r="I8" s="11"/>
      <c r="J8" s="11"/>
      <c r="K8" s="11"/>
      <c r="L8" s="11"/>
      <c r="M8" s="11"/>
      <c r="N8" s="11"/>
      <c r="O8" s="11"/>
      <c r="P8" s="11"/>
      <c r="Q8" s="11"/>
      <c r="R8" s="11"/>
      <c r="S8" s="11"/>
      <c r="T8" s="11"/>
      <c r="U8" s="11"/>
    </row>
    <row r="9" spans="1:29" s="10" customFormat="1" ht="18.75" x14ac:dyDescent="0.2">
      <c r="A9" s="423" t="str">
        <f>'1. паспорт местоположение'!A9:C9</f>
        <v>Акционерное общество "Россети Янтарь" ДЗО  ПАО "Россети"</v>
      </c>
      <c r="B9" s="423"/>
      <c r="C9" s="423"/>
      <c r="D9" s="6"/>
      <c r="E9" s="6"/>
      <c r="F9" s="6"/>
      <c r="G9" s="6"/>
      <c r="H9" s="11"/>
      <c r="I9" s="11"/>
      <c r="J9" s="11"/>
      <c r="K9" s="11"/>
      <c r="L9" s="11"/>
      <c r="M9" s="11"/>
      <c r="N9" s="11"/>
      <c r="O9" s="11"/>
      <c r="P9" s="11"/>
      <c r="Q9" s="11"/>
      <c r="R9" s="11"/>
      <c r="S9" s="11"/>
      <c r="T9" s="11"/>
      <c r="U9" s="11"/>
    </row>
    <row r="10" spans="1:29" s="10" customFormat="1" ht="18.75" x14ac:dyDescent="0.2">
      <c r="A10" s="425" t="s">
        <v>6</v>
      </c>
      <c r="B10" s="425"/>
      <c r="C10" s="425"/>
      <c r="D10" s="4"/>
      <c r="E10" s="4"/>
      <c r="F10" s="4"/>
      <c r="G10" s="4"/>
      <c r="H10" s="11"/>
      <c r="I10" s="11"/>
      <c r="J10" s="11"/>
      <c r="K10" s="11"/>
      <c r="L10" s="11"/>
      <c r="M10" s="11"/>
      <c r="N10" s="11"/>
      <c r="O10" s="11"/>
      <c r="P10" s="11"/>
      <c r="Q10" s="11"/>
      <c r="R10" s="11"/>
      <c r="S10" s="11"/>
      <c r="T10" s="11"/>
      <c r="U10" s="11"/>
    </row>
    <row r="11" spans="1:29" s="10" customFormat="1" ht="18.75" x14ac:dyDescent="0.2">
      <c r="A11" s="429"/>
      <c r="B11" s="429"/>
      <c r="C11" s="429"/>
      <c r="D11" s="12"/>
      <c r="E11" s="12"/>
      <c r="F11" s="12"/>
      <c r="G11" s="12"/>
      <c r="H11" s="11"/>
      <c r="I11" s="11"/>
      <c r="J11" s="11"/>
      <c r="K11" s="11"/>
      <c r="L11" s="11"/>
      <c r="M11" s="11"/>
      <c r="N11" s="11"/>
      <c r="O11" s="11"/>
      <c r="P11" s="11"/>
      <c r="Q11" s="11"/>
      <c r="R11" s="11"/>
      <c r="S11" s="11"/>
      <c r="T11" s="11"/>
      <c r="U11" s="11"/>
    </row>
    <row r="12" spans="1:29" s="10" customFormat="1" ht="18.75" x14ac:dyDescent="0.2">
      <c r="A12" s="423" t="str">
        <f>'1. паспорт местоположение'!A12:C12</f>
        <v>H_17-0361</v>
      </c>
      <c r="B12" s="423"/>
      <c r="C12" s="423"/>
      <c r="D12" s="6"/>
      <c r="E12" s="6"/>
      <c r="F12" s="6"/>
      <c r="G12" s="6"/>
      <c r="H12" s="11"/>
      <c r="I12" s="11"/>
      <c r="J12" s="11"/>
      <c r="K12" s="11"/>
      <c r="L12" s="11"/>
      <c r="M12" s="11"/>
      <c r="N12" s="11"/>
      <c r="O12" s="11"/>
      <c r="P12" s="11"/>
      <c r="Q12" s="11"/>
      <c r="R12" s="11"/>
      <c r="S12" s="11"/>
      <c r="T12" s="11"/>
      <c r="U12" s="11"/>
    </row>
    <row r="13" spans="1:29" s="10" customFormat="1" ht="18.75" x14ac:dyDescent="0.2">
      <c r="A13" s="425" t="s">
        <v>5</v>
      </c>
      <c r="B13" s="425"/>
      <c r="C13" s="42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0"/>
      <c r="B14" s="430"/>
      <c r="C14" s="430"/>
      <c r="D14" s="8"/>
      <c r="E14" s="8"/>
      <c r="F14" s="8"/>
      <c r="G14" s="8"/>
      <c r="H14" s="8"/>
      <c r="I14" s="8"/>
      <c r="J14" s="8"/>
      <c r="K14" s="8"/>
      <c r="L14" s="8"/>
      <c r="M14" s="8"/>
      <c r="N14" s="8"/>
      <c r="O14" s="8"/>
      <c r="P14" s="8"/>
      <c r="Q14" s="8"/>
      <c r="R14" s="8"/>
      <c r="S14" s="8"/>
      <c r="T14" s="8"/>
      <c r="U14" s="8"/>
    </row>
    <row r="15" spans="1:29" s="2" customFormat="1" ht="12" x14ac:dyDescent="0.2">
      <c r="A15" s="423" t="str">
        <f>'1. паспорт местоположение'!A15</f>
        <v>Строительство РП 15 кВ, КЛ 15кВ от ПС В-67 (инв. № 5147867), КЛ 15 кВ от абонентской КТП № 7 в г. Пионерском, ул. Портовая</v>
      </c>
      <c r="B15" s="423"/>
      <c r="C15" s="423"/>
      <c r="D15" s="6"/>
      <c r="E15" s="6"/>
      <c r="F15" s="6"/>
      <c r="G15" s="6"/>
      <c r="H15" s="6"/>
      <c r="I15" s="6"/>
      <c r="J15" s="6"/>
      <c r="K15" s="6"/>
      <c r="L15" s="6"/>
      <c r="M15" s="6"/>
      <c r="N15" s="6"/>
      <c r="O15" s="6"/>
      <c r="P15" s="6"/>
      <c r="Q15" s="6"/>
      <c r="R15" s="6"/>
      <c r="S15" s="6"/>
      <c r="T15" s="6"/>
      <c r="U15" s="6"/>
    </row>
    <row r="16" spans="1:29" s="2" customFormat="1" ht="15" customHeight="1" x14ac:dyDescent="0.2">
      <c r="A16" s="425" t="s">
        <v>4</v>
      </c>
      <c r="B16" s="425"/>
      <c r="C16" s="425"/>
      <c r="D16" s="4"/>
      <c r="E16" s="4"/>
      <c r="F16" s="4"/>
      <c r="G16" s="4"/>
      <c r="H16" s="4"/>
      <c r="I16" s="4"/>
      <c r="J16" s="4"/>
      <c r="K16" s="4"/>
      <c r="L16" s="4"/>
      <c r="M16" s="4"/>
      <c r="N16" s="4"/>
      <c r="O16" s="4"/>
      <c r="P16" s="4"/>
      <c r="Q16" s="4"/>
      <c r="R16" s="4"/>
      <c r="S16" s="4"/>
      <c r="T16" s="4"/>
      <c r="U16" s="4"/>
    </row>
    <row r="17" spans="1:21" s="2" customFormat="1" ht="15" customHeight="1" x14ac:dyDescent="0.2">
      <c r="A17" s="426"/>
      <c r="B17" s="426"/>
      <c r="C17" s="426"/>
      <c r="D17" s="3"/>
      <c r="E17" s="3"/>
      <c r="F17" s="3"/>
      <c r="G17" s="3"/>
      <c r="H17" s="3"/>
      <c r="I17" s="3"/>
      <c r="J17" s="3"/>
      <c r="K17" s="3"/>
      <c r="L17" s="3"/>
      <c r="M17" s="3"/>
      <c r="N17" s="3"/>
      <c r="O17" s="3"/>
      <c r="P17" s="3"/>
      <c r="Q17" s="3"/>
      <c r="R17" s="3"/>
    </row>
    <row r="18" spans="1:21" s="2" customFormat="1" ht="27.75" customHeight="1" x14ac:dyDescent="0.2">
      <c r="A18" s="427" t="s">
        <v>484</v>
      </c>
      <c r="B18" s="427"/>
      <c r="C18" s="42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6" t="s">
        <v>3</v>
      </c>
      <c r="B20" s="35" t="s">
        <v>64</v>
      </c>
      <c r="C20" s="34" t="s">
        <v>63</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62</v>
      </c>
      <c r="B22" s="31" t="s">
        <v>497</v>
      </c>
      <c r="C22" s="323" t="s">
        <v>664</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317"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1,88 МВт</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517</v>
      </c>
      <c r="C24" s="26" t="s">
        <v>686</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518</v>
      </c>
      <c r="C25" s="311" t="s">
        <v>687</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227</v>
      </c>
      <c r="C26" s="26" t="s">
        <v>652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56</v>
      </c>
      <c r="B27" s="27" t="s">
        <v>498</v>
      </c>
      <c r="C27" s="310" t="s">
        <v>650</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37">
        <v>2017</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37" t="s">
        <v>648</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691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8</v>
      </c>
    </row>
    <row r="3" spans="1:28" ht="18.75" x14ac:dyDescent="0.3">
      <c r="Z3" s="13" t="s">
        <v>65</v>
      </c>
    </row>
    <row r="4" spans="1:28"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3"/>
      <c r="AB6" s="153"/>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3"/>
      <c r="AB7" s="153"/>
    </row>
    <row r="8" spans="1:28" x14ac:dyDescent="0.25">
      <c r="A8" s="423" t="str">
        <f>'1. паспорт местоположение'!A9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54"/>
      <c r="AB8" s="154"/>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55"/>
      <c r="AB9" s="155"/>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3"/>
      <c r="AB10" s="153"/>
    </row>
    <row r="11" spans="1:28" x14ac:dyDescent="0.25">
      <c r="A11" s="423" t="str">
        <f>'1. паспорт местоположение'!A12:C12</f>
        <v>H_17-0361</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54"/>
      <c r="AB11" s="154"/>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55"/>
      <c r="AB12" s="155"/>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9"/>
      <c r="AB13" s="9"/>
    </row>
    <row r="14" spans="1:28" x14ac:dyDescent="0.25">
      <c r="A14" s="423" t="str">
        <f>'1. паспорт местоположение'!A15</f>
        <v>Строительство РП 15 кВ, КЛ 15кВ от ПС В-67 (инв. № 5147867), КЛ 15 кВ от абонентской КТП № 7 в г. Пионерском, ул. Портовая</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54"/>
      <c r="AB14" s="154"/>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55"/>
      <c r="AB15" s="155"/>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4"/>
      <c r="AB16" s="164"/>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4"/>
      <c r="AB17" s="164"/>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4"/>
      <c r="AB18" s="164"/>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4"/>
      <c r="AB19" s="164"/>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5"/>
      <c r="AB20" s="165"/>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5"/>
      <c r="AB21" s="165"/>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6"/>
      <c r="AB22" s="166"/>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 style="1" customWidth="1"/>
    <col min="14" max="16384" width="9.140625" style="1"/>
  </cols>
  <sheetData>
    <row r="1" spans="1:26" s="10" customFormat="1" ht="18.75" customHeight="1" x14ac:dyDescent="0.2">
      <c r="A1" s="16"/>
      <c r="B1" s="16"/>
      <c r="M1" s="36"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163"/>
      <c r="O5" s="163"/>
      <c r="P5" s="163"/>
      <c r="Q5" s="163"/>
      <c r="R5" s="163"/>
      <c r="S5" s="163"/>
      <c r="T5" s="163"/>
      <c r="U5" s="163"/>
      <c r="V5" s="163"/>
      <c r="W5" s="163"/>
      <c r="X5" s="163"/>
      <c r="Y5" s="163"/>
      <c r="Z5" s="163"/>
    </row>
    <row r="6" spans="1:26" s="10" customFormat="1" ht="15.75" x14ac:dyDescent="0.2">
      <c r="A6" s="15"/>
      <c r="B6" s="15"/>
    </row>
    <row r="7" spans="1:26" s="10" customFormat="1" ht="18.75" x14ac:dyDescent="0.2">
      <c r="A7" s="429" t="s">
        <v>7</v>
      </c>
      <c r="B7" s="429"/>
      <c r="C7" s="429"/>
      <c r="D7" s="429"/>
      <c r="E7" s="429"/>
      <c r="F7" s="429"/>
      <c r="G7" s="429"/>
      <c r="H7" s="429"/>
      <c r="I7" s="429"/>
      <c r="J7" s="429"/>
      <c r="K7" s="429"/>
      <c r="L7" s="429"/>
      <c r="M7" s="429"/>
      <c r="N7" s="11"/>
      <c r="O7" s="11"/>
      <c r="P7" s="11"/>
      <c r="Q7" s="11"/>
      <c r="R7" s="11"/>
      <c r="S7" s="11"/>
      <c r="T7" s="11"/>
      <c r="U7" s="11"/>
      <c r="V7" s="11"/>
      <c r="W7" s="11"/>
      <c r="X7" s="11"/>
    </row>
    <row r="8" spans="1:26" s="10" customFormat="1" ht="18.75" x14ac:dyDescent="0.2">
      <c r="A8" s="429"/>
      <c r="B8" s="429"/>
      <c r="C8" s="429"/>
      <c r="D8" s="429"/>
      <c r="E8" s="429"/>
      <c r="F8" s="429"/>
      <c r="G8" s="429"/>
      <c r="H8" s="429"/>
      <c r="I8" s="429"/>
      <c r="J8" s="429"/>
      <c r="K8" s="429"/>
      <c r="L8" s="429"/>
      <c r="M8" s="429"/>
      <c r="N8" s="11"/>
      <c r="O8" s="11"/>
      <c r="P8" s="11"/>
      <c r="Q8" s="11"/>
      <c r="R8" s="11"/>
      <c r="S8" s="11"/>
      <c r="T8" s="11"/>
      <c r="U8" s="11"/>
      <c r="V8" s="11"/>
      <c r="W8" s="11"/>
      <c r="X8" s="11"/>
    </row>
    <row r="9" spans="1:26" s="10" customFormat="1" ht="18.75" x14ac:dyDescent="0.2">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11"/>
      <c r="O9" s="11"/>
      <c r="P9" s="11"/>
      <c r="Q9" s="11"/>
      <c r="R9" s="11"/>
      <c r="S9" s="11"/>
      <c r="T9" s="11"/>
      <c r="U9" s="11"/>
      <c r="V9" s="11"/>
      <c r="W9" s="11"/>
      <c r="X9" s="11"/>
    </row>
    <row r="10" spans="1:26" s="10" customFormat="1" ht="18.75" x14ac:dyDescent="0.2">
      <c r="A10" s="425" t="s">
        <v>6</v>
      </c>
      <c r="B10" s="425"/>
      <c r="C10" s="425"/>
      <c r="D10" s="425"/>
      <c r="E10" s="425"/>
      <c r="F10" s="425"/>
      <c r="G10" s="425"/>
      <c r="H10" s="425"/>
      <c r="I10" s="425"/>
      <c r="J10" s="425"/>
      <c r="K10" s="425"/>
      <c r="L10" s="425"/>
      <c r="M10" s="425"/>
      <c r="N10" s="11"/>
      <c r="O10" s="11"/>
      <c r="P10" s="11"/>
      <c r="Q10" s="11"/>
      <c r="R10" s="11"/>
      <c r="S10" s="11"/>
      <c r="T10" s="11"/>
      <c r="U10" s="11"/>
      <c r="V10" s="11"/>
      <c r="W10" s="11"/>
      <c r="X10" s="11"/>
    </row>
    <row r="11" spans="1:26" s="10" customFormat="1" ht="18.75" x14ac:dyDescent="0.2">
      <c r="A11" s="429"/>
      <c r="B11" s="429"/>
      <c r="C11" s="429"/>
      <c r="D11" s="429"/>
      <c r="E11" s="429"/>
      <c r="F11" s="429"/>
      <c r="G11" s="429"/>
      <c r="H11" s="429"/>
      <c r="I11" s="429"/>
      <c r="J11" s="429"/>
      <c r="K11" s="429"/>
      <c r="L11" s="429"/>
      <c r="M11" s="429"/>
      <c r="N11" s="11"/>
      <c r="O11" s="11"/>
      <c r="P11" s="11"/>
      <c r="Q11" s="11"/>
      <c r="R11" s="11"/>
      <c r="S11" s="11"/>
      <c r="T11" s="11"/>
      <c r="U11" s="11"/>
      <c r="V11" s="11"/>
      <c r="W11" s="11"/>
      <c r="X11" s="11"/>
    </row>
    <row r="12" spans="1:26" s="10" customFormat="1" ht="18.75" x14ac:dyDescent="0.2">
      <c r="A12" s="423" t="str">
        <f>'1. паспорт местоположение'!A12:C12</f>
        <v>H_17-0361</v>
      </c>
      <c r="B12" s="423"/>
      <c r="C12" s="423"/>
      <c r="D12" s="423"/>
      <c r="E12" s="423"/>
      <c r="F12" s="423"/>
      <c r="G12" s="423"/>
      <c r="H12" s="423"/>
      <c r="I12" s="423"/>
      <c r="J12" s="423"/>
      <c r="K12" s="423"/>
      <c r="L12" s="423"/>
      <c r="M12" s="423"/>
      <c r="N12" s="11"/>
      <c r="O12" s="11"/>
      <c r="P12" s="11"/>
      <c r="Q12" s="11"/>
      <c r="R12" s="11"/>
      <c r="S12" s="11"/>
      <c r="T12" s="11"/>
      <c r="U12" s="11"/>
      <c r="V12" s="11"/>
      <c r="W12" s="11"/>
      <c r="X12" s="11"/>
    </row>
    <row r="13" spans="1:26" s="10" customFormat="1" ht="18.75" x14ac:dyDescent="0.2">
      <c r="A13" s="425" t="s">
        <v>5</v>
      </c>
      <c r="B13" s="425"/>
      <c r="C13" s="425"/>
      <c r="D13" s="425"/>
      <c r="E13" s="425"/>
      <c r="F13" s="425"/>
      <c r="G13" s="425"/>
      <c r="H13" s="425"/>
      <c r="I13" s="425"/>
      <c r="J13" s="425"/>
      <c r="K13" s="425"/>
      <c r="L13" s="425"/>
      <c r="M13" s="425"/>
      <c r="N13" s="11"/>
      <c r="O13" s="11"/>
      <c r="P13" s="11"/>
      <c r="Q13" s="11"/>
      <c r="R13" s="11"/>
      <c r="S13" s="11"/>
      <c r="T13" s="11"/>
      <c r="U13" s="11"/>
      <c r="V13" s="11"/>
      <c r="W13" s="11"/>
      <c r="X13" s="11"/>
    </row>
    <row r="14" spans="1:26" s="7" customFormat="1" ht="15.75" customHeight="1" x14ac:dyDescent="0.2">
      <c r="A14" s="430"/>
      <c r="B14" s="430"/>
      <c r="C14" s="430"/>
      <c r="D14" s="430"/>
      <c r="E14" s="430"/>
      <c r="F14" s="430"/>
      <c r="G14" s="430"/>
      <c r="H14" s="430"/>
      <c r="I14" s="430"/>
      <c r="J14" s="430"/>
      <c r="K14" s="430"/>
      <c r="L14" s="430"/>
      <c r="M14" s="430"/>
      <c r="N14" s="8"/>
      <c r="O14" s="8"/>
      <c r="P14" s="8"/>
      <c r="Q14" s="8"/>
      <c r="R14" s="8"/>
      <c r="S14" s="8"/>
      <c r="T14" s="8"/>
      <c r="U14" s="8"/>
      <c r="V14" s="8"/>
      <c r="W14" s="8"/>
      <c r="X14" s="8"/>
    </row>
    <row r="15" spans="1:26" s="2" customFormat="1" ht="12" x14ac:dyDescent="0.2">
      <c r="A15" s="423" t="str">
        <f>'1. паспорт местоположение'!A15</f>
        <v>Строительство РП 15 кВ, КЛ 15кВ от ПС В-67 (инв. № 5147867), КЛ 15 кВ от абонентской КТП № 7 в г. Пионерском, ул. Портовая</v>
      </c>
      <c r="B15" s="423"/>
      <c r="C15" s="423"/>
      <c r="D15" s="423"/>
      <c r="E15" s="423"/>
      <c r="F15" s="423"/>
      <c r="G15" s="423"/>
      <c r="H15" s="423"/>
      <c r="I15" s="423"/>
      <c r="J15" s="423"/>
      <c r="K15" s="423"/>
      <c r="L15" s="423"/>
      <c r="M15" s="423"/>
      <c r="N15" s="6"/>
      <c r="O15" s="6"/>
      <c r="P15" s="6"/>
      <c r="Q15" s="6"/>
      <c r="R15" s="6"/>
      <c r="S15" s="6"/>
      <c r="T15" s="6"/>
      <c r="U15" s="6"/>
      <c r="V15" s="6"/>
      <c r="W15" s="6"/>
      <c r="X15" s="6"/>
    </row>
    <row r="16" spans="1:26" s="2" customFormat="1" ht="15" customHeight="1" x14ac:dyDescent="0.2">
      <c r="A16" s="425" t="s">
        <v>4</v>
      </c>
      <c r="B16" s="425"/>
      <c r="C16" s="425"/>
      <c r="D16" s="425"/>
      <c r="E16" s="425"/>
      <c r="F16" s="425"/>
      <c r="G16" s="425"/>
      <c r="H16" s="425"/>
      <c r="I16" s="425"/>
      <c r="J16" s="425"/>
      <c r="K16" s="425"/>
      <c r="L16" s="425"/>
      <c r="M16" s="425"/>
      <c r="N16" s="4"/>
      <c r="O16" s="4"/>
      <c r="P16" s="4"/>
      <c r="Q16" s="4"/>
      <c r="R16" s="4"/>
      <c r="S16" s="4"/>
      <c r="T16" s="4"/>
      <c r="U16" s="4"/>
      <c r="V16" s="4"/>
      <c r="W16" s="4"/>
      <c r="X16" s="4"/>
    </row>
    <row r="17" spans="1:24" s="2" customFormat="1" ht="15" customHeight="1" x14ac:dyDescent="0.2">
      <c r="A17" s="426"/>
      <c r="B17" s="426"/>
      <c r="C17" s="426"/>
      <c r="D17" s="426"/>
      <c r="E17" s="426"/>
      <c r="F17" s="426"/>
      <c r="G17" s="426"/>
      <c r="H17" s="426"/>
      <c r="I17" s="426"/>
      <c r="J17" s="426"/>
      <c r="K17" s="426"/>
      <c r="L17" s="426"/>
      <c r="M17" s="426"/>
      <c r="N17" s="3"/>
      <c r="O17" s="3"/>
      <c r="P17" s="3"/>
      <c r="Q17" s="3"/>
      <c r="R17" s="3"/>
      <c r="S17" s="3"/>
      <c r="T17" s="3"/>
      <c r="U17" s="3"/>
    </row>
    <row r="18" spans="1:24" s="2" customFormat="1" ht="91.5" customHeight="1" x14ac:dyDescent="0.2">
      <c r="A18" s="465" t="s">
        <v>493</v>
      </c>
      <c r="B18" s="465"/>
      <c r="C18" s="465"/>
      <c r="D18" s="465"/>
      <c r="E18" s="465"/>
      <c r="F18" s="465"/>
      <c r="G18" s="465"/>
      <c r="H18" s="465"/>
      <c r="I18" s="465"/>
      <c r="J18" s="465"/>
      <c r="K18" s="465"/>
      <c r="L18" s="465"/>
      <c r="M18" s="465"/>
      <c r="N18" s="5"/>
      <c r="O18" s="5"/>
      <c r="P18" s="5"/>
      <c r="Q18" s="5"/>
      <c r="R18" s="5"/>
      <c r="S18" s="5"/>
      <c r="T18" s="5"/>
      <c r="U18" s="5"/>
      <c r="V18" s="5"/>
      <c r="W18" s="5"/>
      <c r="X18" s="5"/>
    </row>
    <row r="19" spans="1:24" s="2" customFormat="1" ht="78" customHeight="1" x14ac:dyDescent="0.2">
      <c r="A19" s="431" t="s">
        <v>3</v>
      </c>
      <c r="B19" s="431" t="s">
        <v>82</v>
      </c>
      <c r="C19" s="431" t="s">
        <v>81</v>
      </c>
      <c r="D19" s="431" t="s">
        <v>73</v>
      </c>
      <c r="E19" s="466" t="s">
        <v>80</v>
      </c>
      <c r="F19" s="467"/>
      <c r="G19" s="467"/>
      <c r="H19" s="467"/>
      <c r="I19" s="468"/>
      <c r="J19" s="431" t="s">
        <v>79</v>
      </c>
      <c r="K19" s="431"/>
      <c r="L19" s="431"/>
      <c r="M19" s="431"/>
      <c r="N19" s="3"/>
      <c r="O19" s="3"/>
      <c r="P19" s="3"/>
      <c r="Q19" s="3"/>
      <c r="R19" s="3"/>
      <c r="S19" s="3"/>
      <c r="T19" s="3"/>
      <c r="U19" s="3"/>
    </row>
    <row r="20" spans="1:24" s="2" customFormat="1" ht="51" customHeight="1" x14ac:dyDescent="0.2">
      <c r="A20" s="431"/>
      <c r="B20" s="431"/>
      <c r="C20" s="431"/>
      <c r="D20" s="431"/>
      <c r="E20" s="38" t="s">
        <v>78</v>
      </c>
      <c r="F20" s="38" t="s">
        <v>77</v>
      </c>
      <c r="G20" s="38" t="s">
        <v>76</v>
      </c>
      <c r="H20" s="38" t="s">
        <v>75</v>
      </c>
      <c r="I20" s="38" t="s">
        <v>74</v>
      </c>
      <c r="J20" s="38">
        <v>2020</v>
      </c>
      <c r="K20" s="341">
        <v>2021</v>
      </c>
      <c r="L20" s="396">
        <v>2022</v>
      </c>
      <c r="M20" s="396">
        <v>2023</v>
      </c>
      <c r="N20" s="29"/>
      <c r="O20" s="29"/>
      <c r="P20" s="29"/>
      <c r="Q20" s="29"/>
      <c r="R20" s="29"/>
      <c r="S20" s="29"/>
      <c r="T20" s="29"/>
      <c r="U20" s="29"/>
      <c r="V20" s="28"/>
      <c r="W20" s="28"/>
      <c r="X20" s="28"/>
    </row>
    <row r="21" spans="1:24"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29"/>
      <c r="O21" s="29"/>
      <c r="P21" s="29"/>
      <c r="Q21" s="29"/>
      <c r="R21" s="29"/>
      <c r="S21" s="29"/>
      <c r="T21" s="29"/>
      <c r="U21" s="29"/>
      <c r="V21" s="28"/>
      <c r="W21" s="28"/>
      <c r="X21" s="28"/>
    </row>
    <row r="22" spans="1:24" s="2" customFormat="1" ht="33" customHeight="1" x14ac:dyDescent="0.2">
      <c r="A22" s="42" t="s">
        <v>62</v>
      </c>
      <c r="B22" s="44" t="s">
        <v>753</v>
      </c>
      <c r="C22" s="31">
        <v>0</v>
      </c>
      <c r="D22" s="31">
        <v>0</v>
      </c>
      <c r="E22" s="31">
        <v>0</v>
      </c>
      <c r="F22" s="31">
        <v>0</v>
      </c>
      <c r="G22" s="31">
        <v>0</v>
      </c>
      <c r="H22" s="31">
        <v>0</v>
      </c>
      <c r="I22" s="31">
        <v>0</v>
      </c>
      <c r="J22" s="41">
        <v>0</v>
      </c>
      <c r="K22" s="41">
        <v>0</v>
      </c>
      <c r="L22" s="41">
        <v>0</v>
      </c>
      <c r="M22" s="41">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6"/>
      <c r="B1" s="10"/>
      <c r="C1" s="10"/>
      <c r="D1" s="10"/>
      <c r="G1" s="10"/>
      <c r="H1" s="36" t="s">
        <v>66</v>
      </c>
      <c r="I1" s="14"/>
      <c r="J1" s="14"/>
      <c r="K1" s="36"/>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73"/>
      <c r="F2" s="173"/>
      <c r="G2" s="10"/>
      <c r="H2" s="13" t="s">
        <v>8</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74"/>
      <c r="AR2" s="174"/>
    </row>
    <row r="3" spans="1:44" ht="18.75" x14ac:dyDescent="0.3">
      <c r="A3" s="15"/>
      <c r="B3" s="10"/>
      <c r="C3" s="10"/>
      <c r="D3" s="10"/>
      <c r="E3" s="173"/>
      <c r="F3" s="173"/>
      <c r="G3" s="10"/>
      <c r="H3" s="13" t="s">
        <v>345</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74"/>
      <c r="AR3" s="174"/>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75"/>
      <c r="AR4" s="175"/>
    </row>
    <row r="5" spans="1:44" x14ac:dyDescent="0.2">
      <c r="A5" s="484" t="str">
        <f>'1. паспорт местоположение'!A5:C5</f>
        <v>Год раскрытия информации: 2023 год</v>
      </c>
      <c r="B5" s="484"/>
      <c r="C5" s="484"/>
      <c r="D5" s="484"/>
      <c r="E5" s="484"/>
      <c r="F5" s="484"/>
      <c r="G5" s="484"/>
      <c r="H5" s="484"/>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75"/>
      <c r="AR6" s="175"/>
    </row>
    <row r="7" spans="1:44" ht="18.75" x14ac:dyDescent="0.2">
      <c r="A7" s="429" t="s">
        <v>7</v>
      </c>
      <c r="B7" s="429"/>
      <c r="C7" s="429"/>
      <c r="D7" s="429"/>
      <c r="E7" s="429"/>
      <c r="F7" s="429"/>
      <c r="G7" s="429"/>
      <c r="H7" s="42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8"/>
      <c r="AR7" s="178"/>
    </row>
    <row r="8" spans="1:44" ht="18.75" x14ac:dyDescent="0.2">
      <c r="A8" s="401"/>
      <c r="B8" s="401"/>
      <c r="C8" s="401"/>
      <c r="D8" s="401"/>
      <c r="E8" s="401"/>
      <c r="F8" s="401"/>
      <c r="G8" s="401"/>
      <c r="H8" s="401"/>
      <c r="I8" s="401"/>
      <c r="J8" s="401"/>
      <c r="K8" s="401"/>
      <c r="L8" s="153"/>
      <c r="M8" s="153"/>
      <c r="N8" s="153"/>
      <c r="O8" s="153"/>
      <c r="P8" s="153"/>
      <c r="Q8" s="153"/>
      <c r="R8" s="153"/>
      <c r="S8" s="153"/>
      <c r="T8" s="153"/>
      <c r="U8" s="153"/>
      <c r="V8" s="153"/>
      <c r="W8" s="153"/>
      <c r="X8" s="153"/>
      <c r="Y8" s="153"/>
      <c r="Z8" s="10"/>
      <c r="AA8" s="10"/>
      <c r="AB8" s="10"/>
      <c r="AC8" s="10"/>
      <c r="AD8" s="10"/>
      <c r="AE8" s="10"/>
      <c r="AF8" s="10"/>
      <c r="AG8" s="10"/>
      <c r="AH8" s="10"/>
      <c r="AI8" s="10"/>
      <c r="AJ8" s="10"/>
      <c r="AK8" s="10"/>
      <c r="AL8" s="10"/>
      <c r="AM8" s="10"/>
      <c r="AN8" s="10"/>
      <c r="AO8" s="10"/>
      <c r="AP8" s="10"/>
      <c r="AQ8" s="175"/>
      <c r="AR8" s="175"/>
    </row>
    <row r="9" spans="1:44" ht="18.75" x14ac:dyDescent="0.2">
      <c r="A9" s="438" t="str">
        <f>'1. паспорт местоположение'!A9:C9</f>
        <v>Акционерное общество "Россети Янтарь" ДЗО  ПАО "Россети"</v>
      </c>
      <c r="B9" s="438"/>
      <c r="C9" s="438"/>
      <c r="D9" s="438"/>
      <c r="E9" s="438"/>
      <c r="F9" s="438"/>
      <c r="G9" s="438"/>
      <c r="H9" s="438"/>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25" t="s">
        <v>6</v>
      </c>
      <c r="B10" s="425"/>
      <c r="C10" s="425"/>
      <c r="D10" s="425"/>
      <c r="E10" s="425"/>
      <c r="F10" s="425"/>
      <c r="G10" s="425"/>
      <c r="H10" s="42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80"/>
      <c r="AR10" s="180"/>
    </row>
    <row r="11" spans="1:44" ht="18.75" x14ac:dyDescent="0.2">
      <c r="A11" s="401"/>
      <c r="B11" s="401"/>
      <c r="C11" s="401"/>
      <c r="D11" s="401"/>
      <c r="E11" s="401"/>
      <c r="F11" s="401"/>
      <c r="G11" s="401"/>
      <c r="H11" s="401"/>
      <c r="I11" s="401"/>
      <c r="J11" s="401"/>
      <c r="K11" s="401"/>
      <c r="L11" s="153"/>
      <c r="M11" s="153"/>
      <c r="N11" s="153"/>
      <c r="O11" s="153"/>
      <c r="P11" s="153"/>
      <c r="Q11" s="153"/>
      <c r="R11" s="153"/>
      <c r="S11" s="153"/>
      <c r="T11" s="153"/>
      <c r="U11" s="153"/>
      <c r="V11" s="153"/>
      <c r="W11" s="153"/>
      <c r="X11" s="153"/>
      <c r="Y11" s="153"/>
      <c r="Z11" s="10"/>
      <c r="AA11" s="10"/>
      <c r="AB11" s="10"/>
      <c r="AC11" s="10"/>
      <c r="AD11" s="10"/>
      <c r="AE11" s="10"/>
      <c r="AF11" s="10"/>
      <c r="AG11" s="10"/>
      <c r="AH11" s="10"/>
      <c r="AI11" s="10"/>
      <c r="AJ11" s="10"/>
      <c r="AK11" s="10"/>
      <c r="AL11" s="10"/>
      <c r="AM11" s="10"/>
      <c r="AN11" s="10"/>
      <c r="AO11" s="10"/>
      <c r="AP11" s="10"/>
      <c r="AQ11" s="175"/>
      <c r="AR11" s="175"/>
    </row>
    <row r="12" spans="1:44" ht="18.75" x14ac:dyDescent="0.2">
      <c r="A12" s="438" t="str">
        <f>'1. паспорт местоположение'!A12:C12</f>
        <v>H_17-0361</v>
      </c>
      <c r="B12" s="438"/>
      <c r="C12" s="438"/>
      <c r="D12" s="438"/>
      <c r="E12" s="438"/>
      <c r="F12" s="438"/>
      <c r="G12" s="438"/>
      <c r="H12" s="438"/>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25" t="s">
        <v>5</v>
      </c>
      <c r="B13" s="425"/>
      <c r="C13" s="425"/>
      <c r="D13" s="425"/>
      <c r="E13" s="425"/>
      <c r="F13" s="425"/>
      <c r="G13" s="425"/>
      <c r="H13" s="42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80"/>
      <c r="AR13" s="180"/>
    </row>
    <row r="14" spans="1:44" ht="18.75" x14ac:dyDescent="0.2">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7"/>
      <c r="AA14" s="7"/>
      <c r="AB14" s="7"/>
      <c r="AC14" s="7"/>
      <c r="AD14" s="7"/>
      <c r="AE14" s="7"/>
      <c r="AF14" s="7"/>
      <c r="AG14" s="7"/>
      <c r="AH14" s="7"/>
      <c r="AI14" s="7"/>
      <c r="AJ14" s="7"/>
      <c r="AK14" s="7"/>
      <c r="AL14" s="7"/>
      <c r="AM14" s="7"/>
      <c r="AN14" s="7"/>
      <c r="AO14" s="7"/>
      <c r="AP14" s="7"/>
      <c r="AQ14" s="181"/>
      <c r="AR14" s="181"/>
    </row>
    <row r="15" spans="1:44" ht="18.75" x14ac:dyDescent="0.2">
      <c r="A15" s="485" t="str">
        <f>'1. паспорт местоположение'!A15:C15</f>
        <v>Строительство РП 15 кВ, КЛ 15кВ от ПС В-67 (инв. № 5147867), КЛ 15 кВ от абонентской КТП № 7 в г. Пионерском, ул. Портовая</v>
      </c>
      <c r="B15" s="427"/>
      <c r="C15" s="427"/>
      <c r="D15" s="427"/>
      <c r="E15" s="427"/>
      <c r="F15" s="427"/>
      <c r="G15" s="427"/>
      <c r="H15" s="427"/>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25" t="s">
        <v>4</v>
      </c>
      <c r="B16" s="425"/>
      <c r="C16" s="425"/>
      <c r="D16" s="425"/>
      <c r="E16" s="425"/>
      <c r="F16" s="425"/>
      <c r="G16" s="425"/>
      <c r="H16" s="42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80"/>
      <c r="AR16" s="180"/>
    </row>
    <row r="17" spans="1:44" ht="18.75" x14ac:dyDescent="0.2">
      <c r="A17" s="400"/>
      <c r="B17" s="400"/>
      <c r="C17" s="400"/>
      <c r="D17" s="400"/>
      <c r="E17" s="400"/>
      <c r="F17" s="400"/>
      <c r="G17" s="400"/>
      <c r="H17" s="400"/>
      <c r="I17" s="400"/>
      <c r="J17" s="400"/>
      <c r="K17" s="400"/>
      <c r="L17" s="400"/>
      <c r="M17" s="400"/>
      <c r="N17" s="400"/>
      <c r="O17" s="400"/>
      <c r="P17" s="400"/>
      <c r="Q17" s="400"/>
      <c r="R17" s="400"/>
      <c r="S17" s="400"/>
      <c r="T17" s="400"/>
      <c r="U17" s="400"/>
      <c r="V17" s="400"/>
      <c r="W17" s="2"/>
      <c r="X17" s="2"/>
      <c r="Y17" s="2"/>
      <c r="Z17" s="2"/>
      <c r="AA17" s="2"/>
      <c r="AB17" s="2"/>
      <c r="AC17" s="2"/>
      <c r="AD17" s="2"/>
      <c r="AE17" s="2"/>
      <c r="AF17" s="2"/>
      <c r="AG17" s="2"/>
      <c r="AH17" s="2"/>
      <c r="AI17" s="2"/>
      <c r="AJ17" s="2"/>
      <c r="AK17" s="2"/>
      <c r="AL17" s="2"/>
      <c r="AM17" s="2"/>
      <c r="AN17" s="2"/>
      <c r="AO17" s="2"/>
      <c r="AP17" s="2"/>
      <c r="AQ17" s="182"/>
      <c r="AR17" s="182"/>
    </row>
    <row r="18" spans="1:44" ht="18.75" x14ac:dyDescent="0.2">
      <c r="A18" s="438" t="s">
        <v>494</v>
      </c>
      <c r="B18" s="438"/>
      <c r="C18" s="438"/>
      <c r="D18" s="438"/>
      <c r="E18" s="438"/>
      <c r="F18" s="438"/>
      <c r="G18" s="438"/>
      <c r="H18" s="43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533</v>
      </c>
      <c r="B25" s="193">
        <f>$B$126/1.2</f>
        <v>39324600.000000007</v>
      </c>
    </row>
    <row r="26" spans="1:44" x14ac:dyDescent="0.2">
      <c r="A26" s="194" t="s">
        <v>342</v>
      </c>
      <c r="B26" s="324">
        <v>0</v>
      </c>
    </row>
    <row r="27" spans="1:44" x14ac:dyDescent="0.2">
      <c r="A27" s="194" t="s">
        <v>340</v>
      </c>
      <c r="B27" s="324">
        <f>$B$123</f>
        <v>30</v>
      </c>
      <c r="D27" s="187" t="s">
        <v>343</v>
      </c>
    </row>
    <row r="28" spans="1:44" ht="16.149999999999999" customHeight="1" thickBot="1" x14ac:dyDescent="0.25">
      <c r="A28" s="195" t="s">
        <v>338</v>
      </c>
      <c r="B28" s="196">
        <v>1</v>
      </c>
      <c r="D28" s="471" t="s">
        <v>341</v>
      </c>
      <c r="E28" s="472"/>
      <c r="F28" s="473"/>
      <c r="G28" s="482" t="str">
        <f>IF(SUM(B89:L89)=0,"не окупается",SUM(B89:L89))</f>
        <v>не окупается</v>
      </c>
      <c r="H28" s="483"/>
    </row>
    <row r="29" spans="1:44" ht="15.6" customHeight="1" x14ac:dyDescent="0.2">
      <c r="A29" s="192" t="s">
        <v>336</v>
      </c>
      <c r="B29" s="193">
        <f>$B$126*$B$127</f>
        <v>471895.20000000007</v>
      </c>
      <c r="D29" s="471" t="s">
        <v>339</v>
      </c>
      <c r="E29" s="472"/>
      <c r="F29" s="473"/>
      <c r="G29" s="482" t="str">
        <f>IF(SUM(B90:L90)=0,"не окупается",SUM(B90:L90))</f>
        <v>не окупается</v>
      </c>
      <c r="H29" s="483"/>
    </row>
    <row r="30" spans="1:44" ht="27.6" customHeight="1" x14ac:dyDescent="0.2">
      <c r="A30" s="194" t="s">
        <v>534</v>
      </c>
      <c r="B30" s="324">
        <v>1</v>
      </c>
      <c r="D30" s="471" t="s">
        <v>337</v>
      </c>
      <c r="E30" s="472"/>
      <c r="F30" s="473"/>
      <c r="G30" s="474">
        <f>L87</f>
        <v>-3930352.5686621903</v>
      </c>
      <c r="H30" s="475"/>
    </row>
    <row r="31" spans="1:44" x14ac:dyDescent="0.2">
      <c r="A31" s="194" t="s">
        <v>335</v>
      </c>
      <c r="B31" s="324">
        <v>1</v>
      </c>
      <c r="D31" s="476"/>
      <c r="E31" s="477"/>
      <c r="F31" s="478"/>
      <c r="G31" s="476"/>
      <c r="H31" s="478"/>
    </row>
    <row r="32" spans="1:44" x14ac:dyDescent="0.2">
      <c r="A32" s="194" t="s">
        <v>313</v>
      </c>
      <c r="B32" s="324"/>
    </row>
    <row r="33" spans="1:42" x14ac:dyDescent="0.2">
      <c r="A33" s="194" t="s">
        <v>334</v>
      </c>
      <c r="B33" s="324"/>
    </row>
    <row r="34" spans="1:42" x14ac:dyDescent="0.2">
      <c r="A34" s="194" t="s">
        <v>333</v>
      </c>
      <c r="B34" s="324"/>
    </row>
    <row r="35" spans="1:42" x14ac:dyDescent="0.2">
      <c r="A35" s="325"/>
      <c r="B35" s="324"/>
    </row>
    <row r="36" spans="1:42" ht="16.5" thickBot="1" x14ac:dyDescent="0.25">
      <c r="A36" s="195" t="s">
        <v>305</v>
      </c>
      <c r="B36" s="197">
        <v>0.2</v>
      </c>
    </row>
    <row r="37" spans="1:42" x14ac:dyDescent="0.2">
      <c r="A37" s="192" t="s">
        <v>535</v>
      </c>
      <c r="B37" s="193">
        <v>0</v>
      </c>
    </row>
    <row r="38" spans="1:42" x14ac:dyDescent="0.2">
      <c r="A38" s="194" t="s">
        <v>332</v>
      </c>
      <c r="B38" s="324"/>
    </row>
    <row r="39" spans="1:42" ht="16.5" thickBot="1" x14ac:dyDescent="0.25">
      <c r="A39" s="326" t="s">
        <v>331</v>
      </c>
      <c r="B39" s="327"/>
    </row>
    <row r="40" spans="1:42" x14ac:dyDescent="0.2">
      <c r="A40" s="198" t="s">
        <v>536</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328" t="s">
        <v>325</v>
      </c>
      <c r="B46" s="329">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46">
        <f>I136</f>
        <v>4.2000000000000003E-2</v>
      </c>
      <c r="C48" s="346">
        <f t="shared" ref="C48:AP48" si="1">J136</f>
        <v>4.2000000000000003E-2</v>
      </c>
      <c r="D48" s="346">
        <f>K136</f>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si="1"/>
        <v>4.2000000000000003E-2</v>
      </c>
      <c r="T48" s="346">
        <f t="shared" si="1"/>
        <v>4.2000000000000003E-2</v>
      </c>
      <c r="U48" s="346">
        <f t="shared" si="1"/>
        <v>4.2000000000000003E-2</v>
      </c>
      <c r="V48" s="346">
        <f t="shared" si="1"/>
        <v>4.2000000000000003E-2</v>
      </c>
      <c r="W48" s="346">
        <f t="shared" si="1"/>
        <v>4.2000000000000003E-2</v>
      </c>
      <c r="X48" s="346">
        <f t="shared" si="1"/>
        <v>4.2000000000000003E-2</v>
      </c>
      <c r="Y48" s="346">
        <f t="shared" si="1"/>
        <v>4.2000000000000003E-2</v>
      </c>
      <c r="Z48" s="346">
        <f t="shared" si="1"/>
        <v>4.2000000000000003E-2</v>
      </c>
      <c r="AA48" s="346">
        <f t="shared" si="1"/>
        <v>4.2000000000000003E-2</v>
      </c>
      <c r="AB48" s="346">
        <f t="shared" si="1"/>
        <v>4.2000000000000003E-2</v>
      </c>
      <c r="AC48" s="346">
        <f t="shared" si="1"/>
        <v>4.2000000000000003E-2</v>
      </c>
      <c r="AD48" s="346">
        <f t="shared" si="1"/>
        <v>4.2000000000000003E-2</v>
      </c>
      <c r="AE48" s="346">
        <f t="shared" si="1"/>
        <v>4.2000000000000003E-2</v>
      </c>
      <c r="AF48" s="346">
        <f t="shared" si="1"/>
        <v>4.2000000000000003E-2</v>
      </c>
      <c r="AG48" s="346">
        <f t="shared" si="1"/>
        <v>4.2000000000000003E-2</v>
      </c>
      <c r="AH48" s="346">
        <f t="shared" si="1"/>
        <v>4.2000000000000003E-2</v>
      </c>
      <c r="AI48" s="346">
        <f t="shared" si="1"/>
        <v>4.2000000000000003E-2</v>
      </c>
      <c r="AJ48" s="346">
        <f t="shared" si="1"/>
        <v>4.2000000000000003E-2</v>
      </c>
      <c r="AK48" s="346">
        <f t="shared" si="1"/>
        <v>4.2000000000000003E-2</v>
      </c>
      <c r="AL48" s="346">
        <f t="shared" si="1"/>
        <v>4.2000000000000003E-2</v>
      </c>
      <c r="AM48" s="346">
        <f t="shared" si="1"/>
        <v>4.2000000000000003E-2</v>
      </c>
      <c r="AN48" s="346">
        <f t="shared" si="1"/>
        <v>4.2000000000000003E-2</v>
      </c>
      <c r="AO48" s="346">
        <f t="shared" si="1"/>
        <v>4.2000000000000003E-2</v>
      </c>
      <c r="AP48" s="346">
        <f t="shared" si="1"/>
        <v>4.2000000000000003E-2</v>
      </c>
    </row>
    <row r="49" spans="1:45" s="206" customFormat="1" x14ac:dyDescent="0.2">
      <c r="A49" s="207" t="s">
        <v>322</v>
      </c>
      <c r="B49" s="346">
        <f>H137</f>
        <v>0.2354789208821122</v>
      </c>
      <c r="C49" s="346">
        <f t="shared" ref="C49:AP49" si="2">I137</f>
        <v>0.28736903555916093</v>
      </c>
      <c r="D49" s="346">
        <f t="shared" si="2"/>
        <v>0.34143853505264565</v>
      </c>
      <c r="E49" s="346">
        <f t="shared" si="2"/>
        <v>0.39777895352485682</v>
      </c>
      <c r="F49" s="346">
        <f t="shared" si="2"/>
        <v>0.45648566957290093</v>
      </c>
      <c r="G49" s="346">
        <f t="shared" si="2"/>
        <v>0.51765806769496292</v>
      </c>
      <c r="H49" s="346">
        <f t="shared" si="2"/>
        <v>0.58139970653815132</v>
      </c>
      <c r="I49" s="346">
        <f t="shared" si="2"/>
        <v>0.64781849421275384</v>
      </c>
      <c r="J49" s="346">
        <f t="shared" si="2"/>
        <v>0.71702687096968964</v>
      </c>
      <c r="K49" s="346">
        <f t="shared" si="2"/>
        <v>0.78914199955041675</v>
      </c>
      <c r="L49" s="346">
        <f t="shared" si="2"/>
        <v>0.86428596353153431</v>
      </c>
      <c r="M49" s="346">
        <f t="shared" si="2"/>
        <v>0.94258597399985877</v>
      </c>
      <c r="N49" s="346">
        <f t="shared" si="2"/>
        <v>1.0241745849078527</v>
      </c>
      <c r="O49" s="346">
        <f t="shared" si="2"/>
        <v>1.1091899174739828</v>
      </c>
      <c r="P49" s="346">
        <f t="shared" si="2"/>
        <v>1.19777589400789</v>
      </c>
      <c r="Q49" s="346">
        <f t="shared" si="2"/>
        <v>1.2900824815562215</v>
      </c>
      <c r="R49" s="346">
        <f t="shared" si="2"/>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2"/>
        <v>3.8025297725422709</v>
      </c>
      <c r="AJ49" s="346">
        <f t="shared" si="2"/>
        <v>4.0042360229890468</v>
      </c>
      <c r="AK49" s="346">
        <f t="shared" si="2"/>
        <v>4.2144139359545871</v>
      </c>
      <c r="AL49" s="346">
        <f t="shared" si="2"/>
        <v>4.4334193212646804</v>
      </c>
      <c r="AM49" s="346">
        <f t="shared" si="2"/>
        <v>4.6616229327577976</v>
      </c>
      <c r="AN49" s="346">
        <f t="shared" si="2"/>
        <v>4.8994110959336252</v>
      </c>
      <c r="AO49" s="346">
        <f t="shared" si="2"/>
        <v>5.147186361962838</v>
      </c>
      <c r="AP49" s="346">
        <f t="shared" si="2"/>
        <v>5.4053681891652774</v>
      </c>
    </row>
    <row r="50" spans="1:45" s="206" customFormat="1" ht="16.5" thickBot="1" x14ac:dyDescent="0.25">
      <c r="A50" s="208" t="s">
        <v>537</v>
      </c>
      <c r="B50" s="209">
        <f>IF($B$124="да",($B$126-0.05),0)</f>
        <v>47189519.95000001</v>
      </c>
      <c r="C50" s="209">
        <f>C108*(1+C49)</f>
        <v>0</v>
      </c>
      <c r="D50" s="209">
        <f t="shared" ref="D50:AP50" si="3">D108*(1+D49)</f>
        <v>0</v>
      </c>
      <c r="E50" s="209">
        <f t="shared" si="3"/>
        <v>0</v>
      </c>
      <c r="F50" s="209">
        <f t="shared" si="3"/>
        <v>0</v>
      </c>
      <c r="G50" s="209">
        <f t="shared" si="3"/>
        <v>0</v>
      </c>
      <c r="H50" s="209">
        <f t="shared" si="3"/>
        <v>0</v>
      </c>
      <c r="I50" s="209">
        <f t="shared" si="3"/>
        <v>0</v>
      </c>
      <c r="J50" s="209">
        <f t="shared" si="3"/>
        <v>0</v>
      </c>
      <c r="K50" s="209">
        <f t="shared" si="3"/>
        <v>0</v>
      </c>
      <c r="L50" s="209">
        <f t="shared" si="3"/>
        <v>0</v>
      </c>
      <c r="M50" s="209">
        <f t="shared" si="3"/>
        <v>0</v>
      </c>
      <c r="N50" s="209">
        <f t="shared" si="3"/>
        <v>0</v>
      </c>
      <c r="O50" s="209">
        <f t="shared" si="3"/>
        <v>0</v>
      </c>
      <c r="P50" s="209">
        <f t="shared" si="3"/>
        <v>0</v>
      </c>
      <c r="Q50" s="209">
        <f t="shared" si="3"/>
        <v>0</v>
      </c>
      <c r="R50" s="209">
        <f t="shared" si="3"/>
        <v>0</v>
      </c>
      <c r="S50" s="209">
        <f t="shared" si="3"/>
        <v>0</v>
      </c>
      <c r="T50" s="209">
        <f t="shared" si="3"/>
        <v>0</v>
      </c>
      <c r="U50" s="209">
        <f t="shared" si="3"/>
        <v>0</v>
      </c>
      <c r="V50" s="209">
        <f t="shared" si="3"/>
        <v>0</v>
      </c>
      <c r="W50" s="209">
        <f t="shared" si="3"/>
        <v>0</v>
      </c>
      <c r="X50" s="209">
        <f t="shared" si="3"/>
        <v>0</v>
      </c>
      <c r="Y50" s="209">
        <f t="shared" si="3"/>
        <v>0</v>
      </c>
      <c r="Z50" s="209">
        <f t="shared" si="3"/>
        <v>0</v>
      </c>
      <c r="AA50" s="209">
        <f t="shared" si="3"/>
        <v>0</v>
      </c>
      <c r="AB50" s="209">
        <f t="shared" si="3"/>
        <v>0</v>
      </c>
      <c r="AC50" s="209">
        <f t="shared" si="3"/>
        <v>0</v>
      </c>
      <c r="AD50" s="209">
        <f t="shared" si="3"/>
        <v>0</v>
      </c>
      <c r="AE50" s="209">
        <f t="shared" si="3"/>
        <v>0</v>
      </c>
      <c r="AF50" s="209">
        <f t="shared" si="3"/>
        <v>0</v>
      </c>
      <c r="AG50" s="209">
        <f t="shared" si="3"/>
        <v>0</v>
      </c>
      <c r="AH50" s="209">
        <f t="shared" si="3"/>
        <v>0</v>
      </c>
      <c r="AI50" s="209">
        <f t="shared" si="3"/>
        <v>0</v>
      </c>
      <c r="AJ50" s="209">
        <f t="shared" si="3"/>
        <v>0</v>
      </c>
      <c r="AK50" s="209">
        <f t="shared" si="3"/>
        <v>0</v>
      </c>
      <c r="AL50" s="209">
        <f t="shared" si="3"/>
        <v>0</v>
      </c>
      <c r="AM50" s="209">
        <f t="shared" si="3"/>
        <v>0</v>
      </c>
      <c r="AN50" s="209">
        <f t="shared" si="3"/>
        <v>0</v>
      </c>
      <c r="AO50" s="209">
        <f t="shared" si="3"/>
        <v>0</v>
      </c>
      <c r="AP50" s="209">
        <f t="shared" si="3"/>
        <v>0</v>
      </c>
    </row>
    <row r="51" spans="1:45" ht="16.5" thickBot="1" x14ac:dyDescent="0.25"/>
    <row r="52" spans="1:45" x14ac:dyDescent="0.2">
      <c r="A52" s="210" t="s">
        <v>321</v>
      </c>
      <c r="B52" s="211">
        <f>B58</f>
        <v>1</v>
      </c>
      <c r="C52" s="211">
        <f t="shared" ref="C52:AO52" si="4">C58</f>
        <v>2</v>
      </c>
      <c r="D52" s="211">
        <f t="shared" si="4"/>
        <v>3</v>
      </c>
      <c r="E52" s="211">
        <f t="shared" si="4"/>
        <v>4</v>
      </c>
      <c r="F52" s="211">
        <f t="shared" si="4"/>
        <v>5</v>
      </c>
      <c r="G52" s="211">
        <f t="shared" si="4"/>
        <v>6</v>
      </c>
      <c r="H52" s="211">
        <f t="shared" si="4"/>
        <v>7</v>
      </c>
      <c r="I52" s="211">
        <f t="shared" si="4"/>
        <v>8</v>
      </c>
      <c r="J52" s="211">
        <f t="shared" si="4"/>
        <v>9</v>
      </c>
      <c r="K52" s="211">
        <f t="shared" si="4"/>
        <v>10</v>
      </c>
      <c r="L52" s="211">
        <f t="shared" si="4"/>
        <v>11</v>
      </c>
      <c r="M52" s="211">
        <f t="shared" si="4"/>
        <v>12</v>
      </c>
      <c r="N52" s="211">
        <f t="shared" si="4"/>
        <v>13</v>
      </c>
      <c r="O52" s="211">
        <f t="shared" si="4"/>
        <v>14</v>
      </c>
      <c r="P52" s="211">
        <f t="shared" si="4"/>
        <v>15</v>
      </c>
      <c r="Q52" s="211">
        <f t="shared" si="4"/>
        <v>16</v>
      </c>
      <c r="R52" s="211">
        <f t="shared" si="4"/>
        <v>17</v>
      </c>
      <c r="S52" s="211">
        <f t="shared" si="4"/>
        <v>18</v>
      </c>
      <c r="T52" s="211">
        <f t="shared" si="4"/>
        <v>19</v>
      </c>
      <c r="U52" s="211">
        <f t="shared" si="4"/>
        <v>20</v>
      </c>
      <c r="V52" s="211">
        <f t="shared" si="4"/>
        <v>21</v>
      </c>
      <c r="W52" s="211">
        <f t="shared" si="4"/>
        <v>22</v>
      </c>
      <c r="X52" s="211">
        <f t="shared" si="4"/>
        <v>23</v>
      </c>
      <c r="Y52" s="211">
        <f t="shared" si="4"/>
        <v>24</v>
      </c>
      <c r="Z52" s="211">
        <f t="shared" si="4"/>
        <v>25</v>
      </c>
      <c r="AA52" s="211">
        <f t="shared" si="4"/>
        <v>26</v>
      </c>
      <c r="AB52" s="211">
        <f t="shared" si="4"/>
        <v>27</v>
      </c>
      <c r="AC52" s="211">
        <f t="shared" si="4"/>
        <v>28</v>
      </c>
      <c r="AD52" s="211">
        <f t="shared" si="4"/>
        <v>29</v>
      </c>
      <c r="AE52" s="211">
        <f t="shared" si="4"/>
        <v>30</v>
      </c>
      <c r="AF52" s="211">
        <f t="shared" si="4"/>
        <v>31</v>
      </c>
      <c r="AG52" s="211">
        <f t="shared" si="4"/>
        <v>32</v>
      </c>
      <c r="AH52" s="211">
        <f t="shared" si="4"/>
        <v>33</v>
      </c>
      <c r="AI52" s="211">
        <f t="shared" si="4"/>
        <v>34</v>
      </c>
      <c r="AJ52" s="211">
        <f t="shared" si="4"/>
        <v>35</v>
      </c>
      <c r="AK52" s="211">
        <f t="shared" si="4"/>
        <v>36</v>
      </c>
      <c r="AL52" s="211">
        <f t="shared" si="4"/>
        <v>37</v>
      </c>
      <c r="AM52" s="211">
        <f t="shared" si="4"/>
        <v>38</v>
      </c>
      <c r="AN52" s="211">
        <f t="shared" si="4"/>
        <v>39</v>
      </c>
      <c r="AO52" s="211">
        <f t="shared" si="4"/>
        <v>40</v>
      </c>
      <c r="AP52" s="211">
        <f>AP58</f>
        <v>41</v>
      </c>
    </row>
    <row r="53" spans="1:45" x14ac:dyDescent="0.2">
      <c r="A53" s="212" t="s">
        <v>320</v>
      </c>
      <c r="B53" s="347">
        <v>0</v>
      </c>
      <c r="C53" s="347">
        <f t="shared" ref="C53:AP53" si="5">B53+B54-B55</f>
        <v>0</v>
      </c>
      <c r="D53" s="347">
        <f t="shared" si="5"/>
        <v>0</v>
      </c>
      <c r="E53" s="347">
        <f t="shared" si="5"/>
        <v>0</v>
      </c>
      <c r="F53" s="347">
        <f t="shared" si="5"/>
        <v>0</v>
      </c>
      <c r="G53" s="347">
        <f t="shared" si="5"/>
        <v>0</v>
      </c>
      <c r="H53" s="347">
        <f t="shared" si="5"/>
        <v>0</v>
      </c>
      <c r="I53" s="347">
        <f t="shared" si="5"/>
        <v>0</v>
      </c>
      <c r="J53" s="347">
        <f t="shared" si="5"/>
        <v>0</v>
      </c>
      <c r="K53" s="347">
        <f t="shared" si="5"/>
        <v>0</v>
      </c>
      <c r="L53" s="347">
        <f t="shared" si="5"/>
        <v>0</v>
      </c>
      <c r="M53" s="347">
        <f t="shared" si="5"/>
        <v>0</v>
      </c>
      <c r="N53" s="347">
        <f t="shared" si="5"/>
        <v>0</v>
      </c>
      <c r="O53" s="347">
        <f t="shared" si="5"/>
        <v>0</v>
      </c>
      <c r="P53" s="347">
        <f t="shared" si="5"/>
        <v>0</v>
      </c>
      <c r="Q53" s="347">
        <f t="shared" si="5"/>
        <v>0</v>
      </c>
      <c r="R53" s="347">
        <f t="shared" si="5"/>
        <v>0</v>
      </c>
      <c r="S53" s="347">
        <f t="shared" si="5"/>
        <v>0</v>
      </c>
      <c r="T53" s="347">
        <f t="shared" si="5"/>
        <v>0</v>
      </c>
      <c r="U53" s="347">
        <f t="shared" si="5"/>
        <v>0</v>
      </c>
      <c r="V53" s="347">
        <f t="shared" si="5"/>
        <v>0</v>
      </c>
      <c r="W53" s="347">
        <f t="shared" si="5"/>
        <v>0</v>
      </c>
      <c r="X53" s="347">
        <f t="shared" si="5"/>
        <v>0</v>
      </c>
      <c r="Y53" s="347">
        <f t="shared" si="5"/>
        <v>0</v>
      </c>
      <c r="Z53" s="347">
        <f t="shared" si="5"/>
        <v>0</v>
      </c>
      <c r="AA53" s="347">
        <f t="shared" si="5"/>
        <v>0</v>
      </c>
      <c r="AB53" s="347">
        <f t="shared" si="5"/>
        <v>0</v>
      </c>
      <c r="AC53" s="347">
        <f t="shared" si="5"/>
        <v>0</v>
      </c>
      <c r="AD53" s="347">
        <f t="shared" si="5"/>
        <v>0</v>
      </c>
      <c r="AE53" s="347">
        <f t="shared" si="5"/>
        <v>0</v>
      </c>
      <c r="AF53" s="347">
        <f t="shared" si="5"/>
        <v>0</v>
      </c>
      <c r="AG53" s="347">
        <f t="shared" si="5"/>
        <v>0</v>
      </c>
      <c r="AH53" s="347">
        <f t="shared" si="5"/>
        <v>0</v>
      </c>
      <c r="AI53" s="347">
        <f t="shared" si="5"/>
        <v>0</v>
      </c>
      <c r="AJ53" s="347">
        <f t="shared" si="5"/>
        <v>0</v>
      </c>
      <c r="AK53" s="347">
        <f t="shared" si="5"/>
        <v>0</v>
      </c>
      <c r="AL53" s="347">
        <f t="shared" si="5"/>
        <v>0</v>
      </c>
      <c r="AM53" s="347">
        <f t="shared" si="5"/>
        <v>0</v>
      </c>
      <c r="AN53" s="347">
        <f t="shared" si="5"/>
        <v>0</v>
      </c>
      <c r="AO53" s="347">
        <f t="shared" si="5"/>
        <v>0</v>
      </c>
      <c r="AP53" s="347">
        <f t="shared" si="5"/>
        <v>0</v>
      </c>
    </row>
    <row r="54" spans="1:45" x14ac:dyDescent="0.2">
      <c r="A54" s="212"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2" t="s">
        <v>318</v>
      </c>
      <c r="B55" s="347">
        <f>$B$54/$B$40</f>
        <v>0</v>
      </c>
      <c r="C55" s="347">
        <f t="shared" ref="C55:AP55" si="6">IF(ROUND(C53,1)=0,0,B55+C54/$B$40)</f>
        <v>0</v>
      </c>
      <c r="D55" s="347">
        <f t="shared" si="6"/>
        <v>0</v>
      </c>
      <c r="E55" s="347">
        <f t="shared" si="6"/>
        <v>0</v>
      </c>
      <c r="F55" s="347">
        <f t="shared" si="6"/>
        <v>0</v>
      </c>
      <c r="G55" s="347">
        <f t="shared" si="6"/>
        <v>0</v>
      </c>
      <c r="H55" s="347">
        <f t="shared" si="6"/>
        <v>0</v>
      </c>
      <c r="I55" s="347">
        <f t="shared" si="6"/>
        <v>0</v>
      </c>
      <c r="J55" s="347">
        <f t="shared" si="6"/>
        <v>0</v>
      </c>
      <c r="K55" s="347">
        <f t="shared" si="6"/>
        <v>0</v>
      </c>
      <c r="L55" s="347">
        <f t="shared" si="6"/>
        <v>0</v>
      </c>
      <c r="M55" s="347">
        <f t="shared" si="6"/>
        <v>0</v>
      </c>
      <c r="N55" s="347">
        <f t="shared" si="6"/>
        <v>0</v>
      </c>
      <c r="O55" s="347">
        <f t="shared" si="6"/>
        <v>0</v>
      </c>
      <c r="P55" s="347">
        <f t="shared" si="6"/>
        <v>0</v>
      </c>
      <c r="Q55" s="347">
        <f t="shared" si="6"/>
        <v>0</v>
      </c>
      <c r="R55" s="347">
        <f t="shared" si="6"/>
        <v>0</v>
      </c>
      <c r="S55" s="347">
        <f t="shared" si="6"/>
        <v>0</v>
      </c>
      <c r="T55" s="347">
        <f t="shared" si="6"/>
        <v>0</v>
      </c>
      <c r="U55" s="347">
        <f t="shared" si="6"/>
        <v>0</v>
      </c>
      <c r="V55" s="347">
        <f t="shared" si="6"/>
        <v>0</v>
      </c>
      <c r="W55" s="347">
        <f t="shared" si="6"/>
        <v>0</v>
      </c>
      <c r="X55" s="347">
        <f t="shared" si="6"/>
        <v>0</v>
      </c>
      <c r="Y55" s="347">
        <f t="shared" si="6"/>
        <v>0</v>
      </c>
      <c r="Z55" s="347">
        <f t="shared" si="6"/>
        <v>0</v>
      </c>
      <c r="AA55" s="347">
        <f t="shared" si="6"/>
        <v>0</v>
      </c>
      <c r="AB55" s="347">
        <f t="shared" si="6"/>
        <v>0</v>
      </c>
      <c r="AC55" s="347">
        <f t="shared" si="6"/>
        <v>0</v>
      </c>
      <c r="AD55" s="347">
        <f t="shared" si="6"/>
        <v>0</v>
      </c>
      <c r="AE55" s="347">
        <f t="shared" si="6"/>
        <v>0</v>
      </c>
      <c r="AF55" s="347">
        <f t="shared" si="6"/>
        <v>0</v>
      </c>
      <c r="AG55" s="347">
        <f t="shared" si="6"/>
        <v>0</v>
      </c>
      <c r="AH55" s="347">
        <f t="shared" si="6"/>
        <v>0</v>
      </c>
      <c r="AI55" s="347">
        <f t="shared" si="6"/>
        <v>0</v>
      </c>
      <c r="AJ55" s="347">
        <f t="shared" si="6"/>
        <v>0</v>
      </c>
      <c r="AK55" s="347">
        <f t="shared" si="6"/>
        <v>0</v>
      </c>
      <c r="AL55" s="347">
        <f t="shared" si="6"/>
        <v>0</v>
      </c>
      <c r="AM55" s="347">
        <f t="shared" si="6"/>
        <v>0</v>
      </c>
      <c r="AN55" s="347">
        <f t="shared" si="6"/>
        <v>0</v>
      </c>
      <c r="AO55" s="347">
        <f t="shared" si="6"/>
        <v>0</v>
      </c>
      <c r="AP55" s="347">
        <f t="shared" si="6"/>
        <v>0</v>
      </c>
    </row>
    <row r="56" spans="1:45" ht="16.5" thickBot="1" x14ac:dyDescent="0.25">
      <c r="A56" s="213" t="s">
        <v>317</v>
      </c>
      <c r="B56" s="214">
        <f t="shared" ref="B56:AP56" si="7">AVERAGE(SUM(B53:B54),(SUM(B53:B54)-B55))*$B$42</f>
        <v>0</v>
      </c>
      <c r="C56" s="214">
        <f t="shared" si="7"/>
        <v>0</v>
      </c>
      <c r="D56" s="214">
        <f t="shared" si="7"/>
        <v>0</v>
      </c>
      <c r="E56" s="214">
        <f t="shared" si="7"/>
        <v>0</v>
      </c>
      <c r="F56" s="214">
        <f t="shared" si="7"/>
        <v>0</v>
      </c>
      <c r="G56" s="214">
        <f t="shared" si="7"/>
        <v>0</v>
      </c>
      <c r="H56" s="214">
        <f t="shared" si="7"/>
        <v>0</v>
      </c>
      <c r="I56" s="214">
        <f t="shared" si="7"/>
        <v>0</v>
      </c>
      <c r="J56" s="214">
        <f t="shared" si="7"/>
        <v>0</v>
      </c>
      <c r="K56" s="214">
        <f t="shared" si="7"/>
        <v>0</v>
      </c>
      <c r="L56" s="214">
        <f t="shared" si="7"/>
        <v>0</v>
      </c>
      <c r="M56" s="214">
        <f t="shared" si="7"/>
        <v>0</v>
      </c>
      <c r="N56" s="214">
        <f t="shared" si="7"/>
        <v>0</v>
      </c>
      <c r="O56" s="214">
        <f t="shared" si="7"/>
        <v>0</v>
      </c>
      <c r="P56" s="214">
        <f t="shared" si="7"/>
        <v>0</v>
      </c>
      <c r="Q56" s="214">
        <f t="shared" si="7"/>
        <v>0</v>
      </c>
      <c r="R56" s="214">
        <f t="shared" si="7"/>
        <v>0</v>
      </c>
      <c r="S56" s="214">
        <f t="shared" si="7"/>
        <v>0</v>
      </c>
      <c r="T56" s="214">
        <f t="shared" si="7"/>
        <v>0</v>
      </c>
      <c r="U56" s="214">
        <f t="shared" si="7"/>
        <v>0</v>
      </c>
      <c r="V56" s="214">
        <f t="shared" si="7"/>
        <v>0</v>
      </c>
      <c r="W56" s="214">
        <f t="shared" si="7"/>
        <v>0</v>
      </c>
      <c r="X56" s="214">
        <f t="shared" si="7"/>
        <v>0</v>
      </c>
      <c r="Y56" s="214">
        <f t="shared" si="7"/>
        <v>0</v>
      </c>
      <c r="Z56" s="214">
        <f t="shared" si="7"/>
        <v>0</v>
      </c>
      <c r="AA56" s="214">
        <f t="shared" si="7"/>
        <v>0</v>
      </c>
      <c r="AB56" s="214">
        <f t="shared" si="7"/>
        <v>0</v>
      </c>
      <c r="AC56" s="214">
        <f t="shared" si="7"/>
        <v>0</v>
      </c>
      <c r="AD56" s="214">
        <f t="shared" si="7"/>
        <v>0</v>
      </c>
      <c r="AE56" s="214">
        <f t="shared" si="7"/>
        <v>0</v>
      </c>
      <c r="AF56" s="214">
        <f t="shared" si="7"/>
        <v>0</v>
      </c>
      <c r="AG56" s="214">
        <f t="shared" si="7"/>
        <v>0</v>
      </c>
      <c r="AH56" s="214">
        <f t="shared" si="7"/>
        <v>0</v>
      </c>
      <c r="AI56" s="214">
        <f t="shared" si="7"/>
        <v>0</v>
      </c>
      <c r="AJ56" s="214">
        <f t="shared" si="7"/>
        <v>0</v>
      </c>
      <c r="AK56" s="214">
        <f t="shared" si="7"/>
        <v>0</v>
      </c>
      <c r="AL56" s="214">
        <f t="shared" si="7"/>
        <v>0</v>
      </c>
      <c r="AM56" s="214">
        <f t="shared" si="7"/>
        <v>0</v>
      </c>
      <c r="AN56" s="214">
        <f t="shared" si="7"/>
        <v>0</v>
      </c>
      <c r="AO56" s="214">
        <f t="shared" si="7"/>
        <v>0</v>
      </c>
      <c r="AP56" s="214">
        <f t="shared" si="7"/>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72"/>
      <c r="AR57" s="172"/>
      <c r="AS57" s="172"/>
    </row>
    <row r="58" spans="1:45" x14ac:dyDescent="0.2">
      <c r="A58" s="210" t="s">
        <v>538</v>
      </c>
      <c r="B58" s="211">
        <v>1</v>
      </c>
      <c r="C58" s="211">
        <f>B58+1</f>
        <v>2</v>
      </c>
      <c r="D58" s="211">
        <f t="shared" ref="D58:AP58" si="8">C58+1</f>
        <v>3</v>
      </c>
      <c r="E58" s="211">
        <f t="shared" si="8"/>
        <v>4</v>
      </c>
      <c r="F58" s="211">
        <f t="shared" si="8"/>
        <v>5</v>
      </c>
      <c r="G58" s="211">
        <f t="shared" si="8"/>
        <v>6</v>
      </c>
      <c r="H58" s="211">
        <f t="shared" si="8"/>
        <v>7</v>
      </c>
      <c r="I58" s="211">
        <f t="shared" si="8"/>
        <v>8</v>
      </c>
      <c r="J58" s="211">
        <f t="shared" si="8"/>
        <v>9</v>
      </c>
      <c r="K58" s="211">
        <f t="shared" si="8"/>
        <v>10</v>
      </c>
      <c r="L58" s="211">
        <f t="shared" si="8"/>
        <v>11</v>
      </c>
      <c r="M58" s="211">
        <f t="shared" si="8"/>
        <v>12</v>
      </c>
      <c r="N58" s="211">
        <f t="shared" si="8"/>
        <v>13</v>
      </c>
      <c r="O58" s="211">
        <f t="shared" si="8"/>
        <v>14</v>
      </c>
      <c r="P58" s="211">
        <f t="shared" si="8"/>
        <v>15</v>
      </c>
      <c r="Q58" s="211">
        <f t="shared" si="8"/>
        <v>16</v>
      </c>
      <c r="R58" s="211">
        <f t="shared" si="8"/>
        <v>17</v>
      </c>
      <c r="S58" s="211">
        <f t="shared" si="8"/>
        <v>18</v>
      </c>
      <c r="T58" s="211">
        <f t="shared" si="8"/>
        <v>19</v>
      </c>
      <c r="U58" s="211">
        <f t="shared" si="8"/>
        <v>20</v>
      </c>
      <c r="V58" s="211">
        <f t="shared" si="8"/>
        <v>21</v>
      </c>
      <c r="W58" s="211">
        <f t="shared" si="8"/>
        <v>22</v>
      </c>
      <c r="X58" s="211">
        <f t="shared" si="8"/>
        <v>23</v>
      </c>
      <c r="Y58" s="211">
        <f t="shared" si="8"/>
        <v>24</v>
      </c>
      <c r="Z58" s="211">
        <f t="shared" si="8"/>
        <v>25</v>
      </c>
      <c r="AA58" s="211">
        <f t="shared" si="8"/>
        <v>26</v>
      </c>
      <c r="AB58" s="211">
        <f t="shared" si="8"/>
        <v>27</v>
      </c>
      <c r="AC58" s="211">
        <f t="shared" si="8"/>
        <v>28</v>
      </c>
      <c r="AD58" s="211">
        <f t="shared" si="8"/>
        <v>29</v>
      </c>
      <c r="AE58" s="211">
        <f t="shared" si="8"/>
        <v>30</v>
      </c>
      <c r="AF58" s="211">
        <f t="shared" si="8"/>
        <v>31</v>
      </c>
      <c r="AG58" s="211">
        <f t="shared" si="8"/>
        <v>32</v>
      </c>
      <c r="AH58" s="211">
        <f t="shared" si="8"/>
        <v>33</v>
      </c>
      <c r="AI58" s="211">
        <f t="shared" si="8"/>
        <v>34</v>
      </c>
      <c r="AJ58" s="211">
        <f t="shared" si="8"/>
        <v>35</v>
      </c>
      <c r="AK58" s="211">
        <f t="shared" si="8"/>
        <v>36</v>
      </c>
      <c r="AL58" s="211">
        <f t="shared" si="8"/>
        <v>37</v>
      </c>
      <c r="AM58" s="211">
        <f t="shared" si="8"/>
        <v>38</v>
      </c>
      <c r="AN58" s="211">
        <f t="shared" si="8"/>
        <v>39</v>
      </c>
      <c r="AO58" s="211">
        <f t="shared" si="8"/>
        <v>40</v>
      </c>
      <c r="AP58" s="211">
        <f t="shared" si="8"/>
        <v>41</v>
      </c>
    </row>
    <row r="59" spans="1:45" ht="14.25" x14ac:dyDescent="0.2">
      <c r="A59" s="218" t="s">
        <v>316</v>
      </c>
      <c r="B59" s="348">
        <f t="shared" ref="B59:AP59" si="9">B50*$B$28</f>
        <v>47189519.95000001</v>
      </c>
      <c r="C59" s="348">
        <f t="shared" si="9"/>
        <v>0</v>
      </c>
      <c r="D59" s="348">
        <f t="shared" si="9"/>
        <v>0</v>
      </c>
      <c r="E59" s="348">
        <f t="shared" si="9"/>
        <v>0</v>
      </c>
      <c r="F59" s="348">
        <f t="shared" si="9"/>
        <v>0</v>
      </c>
      <c r="G59" s="348">
        <f t="shared" si="9"/>
        <v>0</v>
      </c>
      <c r="H59" s="348">
        <f t="shared" si="9"/>
        <v>0</v>
      </c>
      <c r="I59" s="348">
        <f t="shared" si="9"/>
        <v>0</v>
      </c>
      <c r="J59" s="348">
        <f t="shared" si="9"/>
        <v>0</v>
      </c>
      <c r="K59" s="348">
        <f t="shared" si="9"/>
        <v>0</v>
      </c>
      <c r="L59" s="348">
        <f t="shared" si="9"/>
        <v>0</v>
      </c>
      <c r="M59" s="348">
        <f t="shared" si="9"/>
        <v>0</v>
      </c>
      <c r="N59" s="348">
        <f t="shared" si="9"/>
        <v>0</v>
      </c>
      <c r="O59" s="348">
        <f t="shared" si="9"/>
        <v>0</v>
      </c>
      <c r="P59" s="348">
        <f t="shared" si="9"/>
        <v>0</v>
      </c>
      <c r="Q59" s="348">
        <f t="shared" si="9"/>
        <v>0</v>
      </c>
      <c r="R59" s="348">
        <f t="shared" si="9"/>
        <v>0</v>
      </c>
      <c r="S59" s="348">
        <f t="shared" si="9"/>
        <v>0</v>
      </c>
      <c r="T59" s="348">
        <f t="shared" si="9"/>
        <v>0</v>
      </c>
      <c r="U59" s="348">
        <f t="shared" si="9"/>
        <v>0</v>
      </c>
      <c r="V59" s="348">
        <f t="shared" si="9"/>
        <v>0</v>
      </c>
      <c r="W59" s="348">
        <f t="shared" si="9"/>
        <v>0</v>
      </c>
      <c r="X59" s="348">
        <f t="shared" si="9"/>
        <v>0</v>
      </c>
      <c r="Y59" s="348">
        <f t="shared" si="9"/>
        <v>0</v>
      </c>
      <c r="Z59" s="348">
        <f t="shared" si="9"/>
        <v>0</v>
      </c>
      <c r="AA59" s="348">
        <f t="shared" si="9"/>
        <v>0</v>
      </c>
      <c r="AB59" s="348">
        <f t="shared" si="9"/>
        <v>0</v>
      </c>
      <c r="AC59" s="348">
        <f t="shared" si="9"/>
        <v>0</v>
      </c>
      <c r="AD59" s="348">
        <f t="shared" si="9"/>
        <v>0</v>
      </c>
      <c r="AE59" s="348">
        <f t="shared" si="9"/>
        <v>0</v>
      </c>
      <c r="AF59" s="348">
        <f t="shared" si="9"/>
        <v>0</v>
      </c>
      <c r="AG59" s="348">
        <f t="shared" si="9"/>
        <v>0</v>
      </c>
      <c r="AH59" s="348">
        <f t="shared" si="9"/>
        <v>0</v>
      </c>
      <c r="AI59" s="348">
        <f t="shared" si="9"/>
        <v>0</v>
      </c>
      <c r="AJ59" s="348">
        <f t="shared" si="9"/>
        <v>0</v>
      </c>
      <c r="AK59" s="348">
        <f t="shared" si="9"/>
        <v>0</v>
      </c>
      <c r="AL59" s="348">
        <f t="shared" si="9"/>
        <v>0</v>
      </c>
      <c r="AM59" s="348">
        <f t="shared" si="9"/>
        <v>0</v>
      </c>
      <c r="AN59" s="348">
        <f t="shared" si="9"/>
        <v>0</v>
      </c>
      <c r="AO59" s="348">
        <f t="shared" si="9"/>
        <v>0</v>
      </c>
      <c r="AP59" s="348">
        <f t="shared" si="9"/>
        <v>0</v>
      </c>
    </row>
    <row r="60" spans="1:45" x14ac:dyDescent="0.2">
      <c r="A60" s="212" t="s">
        <v>315</v>
      </c>
      <c r="B60" s="347">
        <f t="shared" ref="B60:Z60" si="10">SUM(B61:B65)</f>
        <v>0</v>
      </c>
      <c r="C60" s="347">
        <f t="shared" si="10"/>
        <v>-607503.2685089974</v>
      </c>
      <c r="D60" s="347">
        <f>SUM(D61:D65)</f>
        <v>-633018.40578637528</v>
      </c>
      <c r="E60" s="347">
        <f t="shared" si="10"/>
        <v>-659605.17882940313</v>
      </c>
      <c r="F60" s="347">
        <f t="shared" si="10"/>
        <v>-687308.59634023812</v>
      </c>
      <c r="G60" s="347">
        <f t="shared" si="10"/>
        <v>-716175.55738652812</v>
      </c>
      <c r="H60" s="347">
        <f t="shared" si="10"/>
        <v>-746254.93079676235</v>
      </c>
      <c r="I60" s="347">
        <f t="shared" si="10"/>
        <v>-777597.63789022644</v>
      </c>
      <c r="J60" s="347">
        <f t="shared" si="10"/>
        <v>-810256.73868161603</v>
      </c>
      <c r="K60" s="347">
        <f t="shared" si="10"/>
        <v>-844287.52170624398</v>
      </c>
      <c r="L60" s="347">
        <f t="shared" si="10"/>
        <v>-879747.59761790617</v>
      </c>
      <c r="M60" s="347">
        <f t="shared" si="10"/>
        <v>-916696.99671785824</v>
      </c>
      <c r="N60" s="347">
        <f t="shared" si="10"/>
        <v>-955198.27058000828</v>
      </c>
      <c r="O60" s="347">
        <f t="shared" si="10"/>
        <v>-995316.59794436872</v>
      </c>
      <c r="P60" s="347">
        <f t="shared" si="10"/>
        <v>-1037119.8950580322</v>
      </c>
      <c r="Q60" s="347">
        <f t="shared" si="10"/>
        <v>-1080678.9306504696</v>
      </c>
      <c r="R60" s="347">
        <f t="shared" si="10"/>
        <v>-1126067.4457377894</v>
      </c>
      <c r="S60" s="347">
        <f t="shared" si="10"/>
        <v>-1173362.2784587764</v>
      </c>
      <c r="T60" s="347">
        <f t="shared" si="10"/>
        <v>-1222643.4941540451</v>
      </c>
      <c r="U60" s="347">
        <f t="shared" si="10"/>
        <v>-1273994.5209085152</v>
      </c>
      <c r="V60" s="347">
        <f t="shared" si="10"/>
        <v>-1327502.2907866728</v>
      </c>
      <c r="W60" s="347">
        <f t="shared" si="10"/>
        <v>-1383257.386999713</v>
      </c>
      <c r="X60" s="347">
        <f t="shared" si="10"/>
        <v>-1441354.1972537013</v>
      </c>
      <c r="Y60" s="347">
        <f t="shared" si="10"/>
        <v>-1501891.0735383567</v>
      </c>
      <c r="Z60" s="347">
        <f t="shared" si="10"/>
        <v>-1564970.4986269679</v>
      </c>
      <c r="AA60" s="347">
        <f t="shared" ref="AA60:AP60" si="11">SUM(AA61:AA65)</f>
        <v>-1630699.2595693006</v>
      </c>
      <c r="AB60" s="347">
        <f t="shared" si="11"/>
        <v>-1699188.6284712115</v>
      </c>
      <c r="AC60" s="347">
        <f t="shared" si="11"/>
        <v>-1770554.5508670025</v>
      </c>
      <c r="AD60" s="347">
        <f t="shared" si="11"/>
        <v>-1844917.8420034165</v>
      </c>
      <c r="AE60" s="347">
        <f t="shared" si="11"/>
        <v>-1922404.39136756</v>
      </c>
      <c r="AF60" s="347">
        <f t="shared" si="11"/>
        <v>-2003145.3758049975</v>
      </c>
      <c r="AG60" s="347">
        <f t="shared" si="11"/>
        <v>-2087277.4815888074</v>
      </c>
      <c r="AH60" s="347">
        <f t="shared" si="11"/>
        <v>-2174943.1358155371</v>
      </c>
      <c r="AI60" s="347">
        <f t="shared" si="11"/>
        <v>-2266290.7475197897</v>
      </c>
      <c r="AJ60" s="347">
        <f t="shared" si="11"/>
        <v>-2361474.958915621</v>
      </c>
      <c r="AK60" s="347">
        <f t="shared" si="11"/>
        <v>-2460656.9071900775</v>
      </c>
      <c r="AL60" s="347">
        <f t="shared" si="11"/>
        <v>-2564004.4972920609</v>
      </c>
      <c r="AM60" s="347">
        <f t="shared" si="11"/>
        <v>-2671692.686178328</v>
      </c>
      <c r="AN60" s="347">
        <f t="shared" si="11"/>
        <v>-2783903.7789978175</v>
      </c>
      <c r="AO60" s="347">
        <f t="shared" si="11"/>
        <v>-2900827.7377157263</v>
      </c>
      <c r="AP60" s="347">
        <f t="shared" si="11"/>
        <v>-3022662.5026997868</v>
      </c>
    </row>
    <row r="61" spans="1:45" x14ac:dyDescent="0.2">
      <c r="A61" s="219" t="s">
        <v>314</v>
      </c>
      <c r="B61" s="347"/>
      <c r="C61" s="347">
        <f>-IF(C$47&lt;=$B$30,0,$B$29*(1+C$49)*$B$28)</f>
        <v>-607503.2685089974</v>
      </c>
      <c r="D61" s="347">
        <f>-IF(D$47&lt;=$B$30,0,$B$29*(1+D$49)*$B$28)</f>
        <v>-633018.40578637528</v>
      </c>
      <c r="E61" s="347">
        <f t="shared" ref="E61:AP61" si="12">-IF(E$47&lt;=$B$30,0,$B$29*(1+E$49)*$B$28)</f>
        <v>-659605.17882940313</v>
      </c>
      <c r="F61" s="347">
        <f t="shared" si="12"/>
        <v>-687308.59634023812</v>
      </c>
      <c r="G61" s="347">
        <f t="shared" si="12"/>
        <v>-716175.55738652812</v>
      </c>
      <c r="H61" s="347">
        <f t="shared" si="12"/>
        <v>-746254.93079676235</v>
      </c>
      <c r="I61" s="347">
        <f t="shared" si="12"/>
        <v>-777597.63789022644</v>
      </c>
      <c r="J61" s="347">
        <f t="shared" si="12"/>
        <v>-810256.73868161603</v>
      </c>
      <c r="K61" s="347">
        <f t="shared" si="12"/>
        <v>-844287.52170624398</v>
      </c>
      <c r="L61" s="347">
        <f t="shared" si="12"/>
        <v>-879747.59761790617</v>
      </c>
      <c r="M61" s="347">
        <f t="shared" si="12"/>
        <v>-916696.99671785824</v>
      </c>
      <c r="N61" s="347">
        <f t="shared" si="12"/>
        <v>-955198.27058000828</v>
      </c>
      <c r="O61" s="347">
        <f t="shared" si="12"/>
        <v>-995316.59794436872</v>
      </c>
      <c r="P61" s="347">
        <f t="shared" si="12"/>
        <v>-1037119.8950580322</v>
      </c>
      <c r="Q61" s="347">
        <f t="shared" si="12"/>
        <v>-1080678.9306504696</v>
      </c>
      <c r="R61" s="347">
        <f t="shared" si="12"/>
        <v>-1126067.4457377894</v>
      </c>
      <c r="S61" s="347">
        <f t="shared" si="12"/>
        <v>-1173362.2784587764</v>
      </c>
      <c r="T61" s="347">
        <f t="shared" si="12"/>
        <v>-1222643.4941540451</v>
      </c>
      <c r="U61" s="347">
        <f t="shared" si="12"/>
        <v>-1273994.5209085152</v>
      </c>
      <c r="V61" s="347">
        <f t="shared" si="12"/>
        <v>-1327502.2907866728</v>
      </c>
      <c r="W61" s="347">
        <f t="shared" si="12"/>
        <v>-1383257.386999713</v>
      </c>
      <c r="X61" s="347">
        <f t="shared" si="12"/>
        <v>-1441354.1972537013</v>
      </c>
      <c r="Y61" s="347">
        <f t="shared" si="12"/>
        <v>-1501891.0735383567</v>
      </c>
      <c r="Z61" s="347">
        <f t="shared" si="12"/>
        <v>-1564970.4986269679</v>
      </c>
      <c r="AA61" s="347">
        <f t="shared" si="12"/>
        <v>-1630699.2595693006</v>
      </c>
      <c r="AB61" s="347">
        <f t="shared" si="12"/>
        <v>-1699188.6284712115</v>
      </c>
      <c r="AC61" s="347">
        <f t="shared" si="12"/>
        <v>-1770554.5508670025</v>
      </c>
      <c r="AD61" s="347">
        <f t="shared" si="12"/>
        <v>-1844917.8420034165</v>
      </c>
      <c r="AE61" s="347">
        <f t="shared" si="12"/>
        <v>-1922404.39136756</v>
      </c>
      <c r="AF61" s="347">
        <f t="shared" si="12"/>
        <v>-2003145.3758049975</v>
      </c>
      <c r="AG61" s="347">
        <f t="shared" si="12"/>
        <v>-2087277.4815888074</v>
      </c>
      <c r="AH61" s="347">
        <f t="shared" si="12"/>
        <v>-2174943.1358155371</v>
      </c>
      <c r="AI61" s="347">
        <f t="shared" si="12"/>
        <v>-2266290.7475197897</v>
      </c>
      <c r="AJ61" s="347">
        <f t="shared" si="12"/>
        <v>-2361474.958915621</v>
      </c>
      <c r="AK61" s="347">
        <f t="shared" si="12"/>
        <v>-2460656.9071900775</v>
      </c>
      <c r="AL61" s="347">
        <f t="shared" si="12"/>
        <v>-2564004.4972920609</v>
      </c>
      <c r="AM61" s="347">
        <f t="shared" si="12"/>
        <v>-2671692.686178328</v>
      </c>
      <c r="AN61" s="347">
        <f t="shared" si="12"/>
        <v>-2783903.7789978175</v>
      </c>
      <c r="AO61" s="347">
        <f t="shared" si="12"/>
        <v>-2900827.7377157263</v>
      </c>
      <c r="AP61" s="347">
        <f t="shared" si="12"/>
        <v>-3022662.5026997868</v>
      </c>
    </row>
    <row r="62" spans="1:45" x14ac:dyDescent="0.2">
      <c r="A62" s="219"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9" t="s">
        <v>535</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9" t="s">
        <v>535</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9" t="s">
        <v>539</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20" t="s">
        <v>312</v>
      </c>
      <c r="B66" s="348">
        <f t="shared" ref="B66:AO66" si="13">B59+B60</f>
        <v>47189519.95000001</v>
      </c>
      <c r="C66" s="348">
        <f t="shared" si="13"/>
        <v>-607503.2685089974</v>
      </c>
      <c r="D66" s="348">
        <f t="shared" si="13"/>
        <v>-633018.40578637528</v>
      </c>
      <c r="E66" s="348">
        <f t="shared" si="13"/>
        <v>-659605.17882940313</v>
      </c>
      <c r="F66" s="348">
        <f t="shared" si="13"/>
        <v>-687308.59634023812</v>
      </c>
      <c r="G66" s="348">
        <f t="shared" si="13"/>
        <v>-716175.55738652812</v>
      </c>
      <c r="H66" s="348">
        <f t="shared" si="13"/>
        <v>-746254.93079676235</v>
      </c>
      <c r="I66" s="348">
        <f t="shared" si="13"/>
        <v>-777597.63789022644</v>
      </c>
      <c r="J66" s="348">
        <f t="shared" si="13"/>
        <v>-810256.73868161603</v>
      </c>
      <c r="K66" s="348">
        <f t="shared" si="13"/>
        <v>-844287.52170624398</v>
      </c>
      <c r="L66" s="348">
        <f t="shared" si="13"/>
        <v>-879747.59761790617</v>
      </c>
      <c r="M66" s="348">
        <f t="shared" si="13"/>
        <v>-916696.99671785824</v>
      </c>
      <c r="N66" s="348">
        <f t="shared" si="13"/>
        <v>-955198.27058000828</v>
      </c>
      <c r="O66" s="348">
        <f t="shared" si="13"/>
        <v>-995316.59794436872</v>
      </c>
      <c r="P66" s="348">
        <f t="shared" si="13"/>
        <v>-1037119.8950580322</v>
      </c>
      <c r="Q66" s="348">
        <f t="shared" si="13"/>
        <v>-1080678.9306504696</v>
      </c>
      <c r="R66" s="348">
        <f t="shared" si="13"/>
        <v>-1126067.4457377894</v>
      </c>
      <c r="S66" s="348">
        <f t="shared" si="13"/>
        <v>-1173362.2784587764</v>
      </c>
      <c r="T66" s="348">
        <f t="shared" si="13"/>
        <v>-1222643.4941540451</v>
      </c>
      <c r="U66" s="348">
        <f t="shared" si="13"/>
        <v>-1273994.5209085152</v>
      </c>
      <c r="V66" s="348">
        <f t="shared" si="13"/>
        <v>-1327502.2907866728</v>
      </c>
      <c r="W66" s="348">
        <f t="shared" si="13"/>
        <v>-1383257.386999713</v>
      </c>
      <c r="X66" s="348">
        <f t="shared" si="13"/>
        <v>-1441354.1972537013</v>
      </c>
      <c r="Y66" s="348">
        <f t="shared" si="13"/>
        <v>-1501891.0735383567</v>
      </c>
      <c r="Z66" s="348">
        <f t="shared" si="13"/>
        <v>-1564970.4986269679</v>
      </c>
      <c r="AA66" s="348">
        <f t="shared" si="13"/>
        <v>-1630699.2595693006</v>
      </c>
      <c r="AB66" s="348">
        <f t="shared" si="13"/>
        <v>-1699188.6284712115</v>
      </c>
      <c r="AC66" s="348">
        <f t="shared" si="13"/>
        <v>-1770554.5508670025</v>
      </c>
      <c r="AD66" s="348">
        <f t="shared" si="13"/>
        <v>-1844917.8420034165</v>
      </c>
      <c r="AE66" s="348">
        <f t="shared" si="13"/>
        <v>-1922404.39136756</v>
      </c>
      <c r="AF66" s="348">
        <f t="shared" si="13"/>
        <v>-2003145.3758049975</v>
      </c>
      <c r="AG66" s="348">
        <f t="shared" si="13"/>
        <v>-2087277.4815888074</v>
      </c>
      <c r="AH66" s="348">
        <f t="shared" si="13"/>
        <v>-2174943.1358155371</v>
      </c>
      <c r="AI66" s="348">
        <f t="shared" si="13"/>
        <v>-2266290.7475197897</v>
      </c>
      <c r="AJ66" s="348">
        <f t="shared" si="13"/>
        <v>-2361474.958915621</v>
      </c>
      <c r="AK66" s="348">
        <f t="shared" si="13"/>
        <v>-2460656.9071900775</v>
      </c>
      <c r="AL66" s="348">
        <f t="shared" si="13"/>
        <v>-2564004.4972920609</v>
      </c>
      <c r="AM66" s="348">
        <f t="shared" si="13"/>
        <v>-2671692.686178328</v>
      </c>
      <c r="AN66" s="348">
        <f t="shared" si="13"/>
        <v>-2783903.7789978175</v>
      </c>
      <c r="AO66" s="348">
        <f t="shared" si="13"/>
        <v>-2900827.7377157263</v>
      </c>
      <c r="AP66" s="348">
        <f>AP59+AP60</f>
        <v>-3022662.5026997868</v>
      </c>
    </row>
    <row r="67" spans="1:45" x14ac:dyDescent="0.2">
      <c r="A67" s="219" t="s">
        <v>307</v>
      </c>
      <c r="B67" s="221"/>
      <c r="C67" s="347">
        <f>-($B$25)*1.18*$B$28/$B$27</f>
        <v>-1546767.6000000003</v>
      </c>
      <c r="D67" s="347">
        <f>C67</f>
        <v>-1546767.6000000003</v>
      </c>
      <c r="E67" s="347">
        <f t="shared" ref="E67:AP67" si="14">D67</f>
        <v>-1546767.6000000003</v>
      </c>
      <c r="F67" s="347">
        <f t="shared" si="14"/>
        <v>-1546767.6000000003</v>
      </c>
      <c r="G67" s="347">
        <f t="shared" si="14"/>
        <v>-1546767.6000000003</v>
      </c>
      <c r="H67" s="347">
        <f t="shared" si="14"/>
        <v>-1546767.6000000003</v>
      </c>
      <c r="I67" s="347">
        <f t="shared" si="14"/>
        <v>-1546767.6000000003</v>
      </c>
      <c r="J67" s="347">
        <f t="shared" si="14"/>
        <v>-1546767.6000000003</v>
      </c>
      <c r="K67" s="347">
        <f t="shared" si="14"/>
        <v>-1546767.6000000003</v>
      </c>
      <c r="L67" s="347">
        <f t="shared" si="14"/>
        <v>-1546767.6000000003</v>
      </c>
      <c r="M67" s="347">
        <f t="shared" si="14"/>
        <v>-1546767.6000000003</v>
      </c>
      <c r="N67" s="347">
        <f t="shared" si="14"/>
        <v>-1546767.6000000003</v>
      </c>
      <c r="O67" s="347">
        <f t="shared" si="14"/>
        <v>-1546767.6000000003</v>
      </c>
      <c r="P67" s="347">
        <f t="shared" si="14"/>
        <v>-1546767.6000000003</v>
      </c>
      <c r="Q67" s="347">
        <f t="shared" si="14"/>
        <v>-1546767.6000000003</v>
      </c>
      <c r="R67" s="347">
        <f t="shared" si="14"/>
        <v>-1546767.6000000003</v>
      </c>
      <c r="S67" s="347">
        <f t="shared" si="14"/>
        <v>-1546767.6000000003</v>
      </c>
      <c r="T67" s="347">
        <f t="shared" si="14"/>
        <v>-1546767.6000000003</v>
      </c>
      <c r="U67" s="347">
        <f t="shared" si="14"/>
        <v>-1546767.6000000003</v>
      </c>
      <c r="V67" s="347">
        <f t="shared" si="14"/>
        <v>-1546767.6000000003</v>
      </c>
      <c r="W67" s="347">
        <f t="shared" si="14"/>
        <v>-1546767.6000000003</v>
      </c>
      <c r="X67" s="347">
        <f t="shared" si="14"/>
        <v>-1546767.6000000003</v>
      </c>
      <c r="Y67" s="347">
        <f t="shared" si="14"/>
        <v>-1546767.6000000003</v>
      </c>
      <c r="Z67" s="347">
        <f t="shared" si="14"/>
        <v>-1546767.6000000003</v>
      </c>
      <c r="AA67" s="347">
        <f t="shared" si="14"/>
        <v>-1546767.6000000003</v>
      </c>
      <c r="AB67" s="347">
        <f t="shared" si="14"/>
        <v>-1546767.6000000003</v>
      </c>
      <c r="AC67" s="347">
        <f t="shared" si="14"/>
        <v>-1546767.6000000003</v>
      </c>
      <c r="AD67" s="347">
        <f t="shared" si="14"/>
        <v>-1546767.6000000003</v>
      </c>
      <c r="AE67" s="347">
        <f t="shared" si="14"/>
        <v>-1546767.6000000003</v>
      </c>
      <c r="AF67" s="347">
        <f t="shared" si="14"/>
        <v>-1546767.6000000003</v>
      </c>
      <c r="AG67" s="347">
        <f t="shared" si="14"/>
        <v>-1546767.6000000003</v>
      </c>
      <c r="AH67" s="347">
        <f t="shared" si="14"/>
        <v>-1546767.6000000003</v>
      </c>
      <c r="AI67" s="347">
        <f t="shared" si="14"/>
        <v>-1546767.6000000003</v>
      </c>
      <c r="AJ67" s="347">
        <f t="shared" si="14"/>
        <v>-1546767.6000000003</v>
      </c>
      <c r="AK67" s="347">
        <f t="shared" si="14"/>
        <v>-1546767.6000000003</v>
      </c>
      <c r="AL67" s="347">
        <f t="shared" si="14"/>
        <v>-1546767.6000000003</v>
      </c>
      <c r="AM67" s="347">
        <f t="shared" si="14"/>
        <v>-1546767.6000000003</v>
      </c>
      <c r="AN67" s="347">
        <f t="shared" si="14"/>
        <v>-1546767.6000000003</v>
      </c>
      <c r="AO67" s="347">
        <f t="shared" si="14"/>
        <v>-1546767.6000000003</v>
      </c>
      <c r="AP67" s="347">
        <f t="shared" si="14"/>
        <v>-1546767.6000000003</v>
      </c>
      <c r="AQ67" s="222">
        <f>SUM(B67:AA67)/1.18</f>
        <v>-32770500.000000022</v>
      </c>
      <c r="AR67" s="223">
        <f>SUM(B67:AF67)/1.18</f>
        <v>-39324600.00000003</v>
      </c>
      <c r="AS67" s="223">
        <f>SUM(B67:AP67)/1.18</f>
        <v>-52432800.000000037</v>
      </c>
    </row>
    <row r="68" spans="1:45" ht="28.5" x14ac:dyDescent="0.2">
      <c r="A68" s="220" t="s">
        <v>308</v>
      </c>
      <c r="B68" s="348">
        <f t="shared" ref="B68:J68" si="15">B66+B67</f>
        <v>47189519.95000001</v>
      </c>
      <c r="C68" s="348">
        <f>C66+C67</f>
        <v>-2154270.8685089978</v>
      </c>
      <c r="D68" s="348">
        <f>D66+D67</f>
        <v>-2179786.0057863756</v>
      </c>
      <c r="E68" s="348">
        <f t="shared" si="15"/>
        <v>-2206372.7788294032</v>
      </c>
      <c r="F68" s="348">
        <f>F66+C67</f>
        <v>-2234076.1963402387</v>
      </c>
      <c r="G68" s="348">
        <f t="shared" si="15"/>
        <v>-2262943.1573865283</v>
      </c>
      <c r="H68" s="348">
        <f t="shared" si="15"/>
        <v>-2293022.5307967626</v>
      </c>
      <c r="I68" s="348">
        <f t="shared" si="15"/>
        <v>-2324365.2378902268</v>
      </c>
      <c r="J68" s="348">
        <f t="shared" si="15"/>
        <v>-2357024.3386816164</v>
      </c>
      <c r="K68" s="348">
        <f>K66+K67</f>
        <v>-2391055.1217062445</v>
      </c>
      <c r="L68" s="348">
        <f>L66+L67</f>
        <v>-2426515.1976179066</v>
      </c>
      <c r="M68" s="348">
        <f t="shared" ref="M68:AO68" si="16">M66+M67</f>
        <v>-2463464.5967178587</v>
      </c>
      <c r="N68" s="348">
        <f t="shared" si="16"/>
        <v>-2501965.8705800087</v>
      </c>
      <c r="O68" s="348">
        <f t="shared" si="16"/>
        <v>-2542084.1979443692</v>
      </c>
      <c r="P68" s="348">
        <f t="shared" si="16"/>
        <v>-2583887.4950580327</v>
      </c>
      <c r="Q68" s="348">
        <f t="shared" si="16"/>
        <v>-2627446.5306504699</v>
      </c>
      <c r="R68" s="348">
        <f t="shared" si="16"/>
        <v>-2672835.0457377899</v>
      </c>
      <c r="S68" s="348">
        <f t="shared" si="16"/>
        <v>-2720129.8784587765</v>
      </c>
      <c r="T68" s="348">
        <f t="shared" si="16"/>
        <v>-2769411.0941540455</v>
      </c>
      <c r="U68" s="348">
        <f t="shared" si="16"/>
        <v>-2820762.1209085155</v>
      </c>
      <c r="V68" s="348">
        <f t="shared" si="16"/>
        <v>-2874269.8907866729</v>
      </c>
      <c r="W68" s="348">
        <f t="shared" si="16"/>
        <v>-2930024.9869997134</v>
      </c>
      <c r="X68" s="348">
        <f t="shared" si="16"/>
        <v>-2988121.7972537018</v>
      </c>
      <c r="Y68" s="348">
        <f t="shared" si="16"/>
        <v>-3048658.673538357</v>
      </c>
      <c r="Z68" s="348">
        <f t="shared" si="16"/>
        <v>-3111738.0986269685</v>
      </c>
      <c r="AA68" s="348">
        <f t="shared" si="16"/>
        <v>-3177466.8595693009</v>
      </c>
      <c r="AB68" s="348">
        <f t="shared" si="16"/>
        <v>-3245956.2284712121</v>
      </c>
      <c r="AC68" s="348">
        <f t="shared" si="16"/>
        <v>-3317322.150867003</v>
      </c>
      <c r="AD68" s="348">
        <f t="shared" si="16"/>
        <v>-3391685.4420034168</v>
      </c>
      <c r="AE68" s="348">
        <f t="shared" si="16"/>
        <v>-3469171.9913675603</v>
      </c>
      <c r="AF68" s="348">
        <f t="shared" si="16"/>
        <v>-3549912.9758049976</v>
      </c>
      <c r="AG68" s="348">
        <f t="shared" si="16"/>
        <v>-3634045.0815888075</v>
      </c>
      <c r="AH68" s="348">
        <f t="shared" si="16"/>
        <v>-3721710.7358155372</v>
      </c>
      <c r="AI68" s="348">
        <f t="shared" si="16"/>
        <v>-3813058.3475197898</v>
      </c>
      <c r="AJ68" s="348">
        <f t="shared" si="16"/>
        <v>-3908242.5589156216</v>
      </c>
      <c r="AK68" s="348">
        <f t="shared" si="16"/>
        <v>-4007424.5071900776</v>
      </c>
      <c r="AL68" s="348">
        <f t="shared" si="16"/>
        <v>-4110772.097292061</v>
      </c>
      <c r="AM68" s="348">
        <f t="shared" si="16"/>
        <v>-4218460.2861783281</v>
      </c>
      <c r="AN68" s="348">
        <f t="shared" si="16"/>
        <v>-4330671.3789978176</v>
      </c>
      <c r="AO68" s="348">
        <f t="shared" si="16"/>
        <v>-4447595.3377157263</v>
      </c>
      <c r="AP68" s="348">
        <f>AP66+AP67</f>
        <v>-4569430.1026997874</v>
      </c>
      <c r="AQ68" s="172">
        <v>25</v>
      </c>
      <c r="AR68" s="172">
        <v>30</v>
      </c>
      <c r="AS68" s="172">
        <v>40</v>
      </c>
    </row>
    <row r="69" spans="1:45" x14ac:dyDescent="0.2">
      <c r="A69" s="219" t="s">
        <v>306</v>
      </c>
      <c r="B69" s="347">
        <f t="shared" ref="B69:AO69" si="17">-B56</f>
        <v>0</v>
      </c>
      <c r="C69" s="347">
        <f t="shared" si="17"/>
        <v>0</v>
      </c>
      <c r="D69" s="347">
        <f t="shared" si="17"/>
        <v>0</v>
      </c>
      <c r="E69" s="347">
        <f t="shared" si="17"/>
        <v>0</v>
      </c>
      <c r="F69" s="347">
        <f t="shared" si="17"/>
        <v>0</v>
      </c>
      <c r="G69" s="347">
        <f t="shared" si="17"/>
        <v>0</v>
      </c>
      <c r="H69" s="347">
        <f t="shared" si="17"/>
        <v>0</v>
      </c>
      <c r="I69" s="347">
        <f t="shared" si="17"/>
        <v>0</v>
      </c>
      <c r="J69" s="347">
        <f t="shared" si="17"/>
        <v>0</v>
      </c>
      <c r="K69" s="347">
        <f t="shared" si="17"/>
        <v>0</v>
      </c>
      <c r="L69" s="347">
        <f t="shared" si="17"/>
        <v>0</v>
      </c>
      <c r="M69" s="347">
        <f t="shared" si="17"/>
        <v>0</v>
      </c>
      <c r="N69" s="347">
        <f t="shared" si="17"/>
        <v>0</v>
      </c>
      <c r="O69" s="347">
        <f t="shared" si="17"/>
        <v>0</v>
      </c>
      <c r="P69" s="347">
        <f t="shared" si="17"/>
        <v>0</v>
      </c>
      <c r="Q69" s="347">
        <f t="shared" si="17"/>
        <v>0</v>
      </c>
      <c r="R69" s="347">
        <f t="shared" si="17"/>
        <v>0</v>
      </c>
      <c r="S69" s="347">
        <f t="shared" si="17"/>
        <v>0</v>
      </c>
      <c r="T69" s="347">
        <f t="shared" si="17"/>
        <v>0</v>
      </c>
      <c r="U69" s="347">
        <f t="shared" si="17"/>
        <v>0</v>
      </c>
      <c r="V69" s="347">
        <f t="shared" si="17"/>
        <v>0</v>
      </c>
      <c r="W69" s="347">
        <f t="shared" si="17"/>
        <v>0</v>
      </c>
      <c r="X69" s="347">
        <f t="shared" si="17"/>
        <v>0</v>
      </c>
      <c r="Y69" s="347">
        <f t="shared" si="17"/>
        <v>0</v>
      </c>
      <c r="Z69" s="347">
        <f t="shared" si="17"/>
        <v>0</v>
      </c>
      <c r="AA69" s="347">
        <f t="shared" si="17"/>
        <v>0</v>
      </c>
      <c r="AB69" s="347">
        <f t="shared" si="17"/>
        <v>0</v>
      </c>
      <c r="AC69" s="347">
        <f t="shared" si="17"/>
        <v>0</v>
      </c>
      <c r="AD69" s="347">
        <f t="shared" si="17"/>
        <v>0</v>
      </c>
      <c r="AE69" s="347">
        <f t="shared" si="17"/>
        <v>0</v>
      </c>
      <c r="AF69" s="347">
        <f t="shared" si="17"/>
        <v>0</v>
      </c>
      <c r="AG69" s="347">
        <f t="shared" si="17"/>
        <v>0</v>
      </c>
      <c r="AH69" s="347">
        <f t="shared" si="17"/>
        <v>0</v>
      </c>
      <c r="AI69" s="347">
        <f t="shared" si="17"/>
        <v>0</v>
      </c>
      <c r="AJ69" s="347">
        <f t="shared" si="17"/>
        <v>0</v>
      </c>
      <c r="AK69" s="347">
        <f t="shared" si="17"/>
        <v>0</v>
      </c>
      <c r="AL69" s="347">
        <f t="shared" si="17"/>
        <v>0</v>
      </c>
      <c r="AM69" s="347">
        <f t="shared" si="17"/>
        <v>0</v>
      </c>
      <c r="AN69" s="347">
        <f t="shared" si="17"/>
        <v>0</v>
      </c>
      <c r="AO69" s="347">
        <f t="shared" si="17"/>
        <v>0</v>
      </c>
      <c r="AP69" s="347">
        <f>-AP56</f>
        <v>0</v>
      </c>
    </row>
    <row r="70" spans="1:45" ht="14.25" x14ac:dyDescent="0.2">
      <c r="A70" s="220" t="s">
        <v>311</v>
      </c>
      <c r="B70" s="348">
        <f t="shared" ref="B70:AO70" si="18">B68+B69</f>
        <v>47189519.95000001</v>
      </c>
      <c r="C70" s="348">
        <f t="shared" si="18"/>
        <v>-2154270.8685089978</v>
      </c>
      <c r="D70" s="348">
        <f t="shared" si="18"/>
        <v>-2179786.0057863756</v>
      </c>
      <c r="E70" s="348">
        <f t="shared" si="18"/>
        <v>-2206372.7788294032</v>
      </c>
      <c r="F70" s="348">
        <f t="shared" si="18"/>
        <v>-2234076.1963402387</v>
      </c>
      <c r="G70" s="348">
        <f t="shared" si="18"/>
        <v>-2262943.1573865283</v>
      </c>
      <c r="H70" s="348">
        <f t="shared" si="18"/>
        <v>-2293022.5307967626</v>
      </c>
      <c r="I70" s="348">
        <f t="shared" si="18"/>
        <v>-2324365.2378902268</v>
      </c>
      <c r="J70" s="348">
        <f t="shared" si="18"/>
        <v>-2357024.3386816164</v>
      </c>
      <c r="K70" s="348">
        <f t="shared" si="18"/>
        <v>-2391055.1217062445</v>
      </c>
      <c r="L70" s="348">
        <f t="shared" si="18"/>
        <v>-2426515.1976179066</v>
      </c>
      <c r="M70" s="348">
        <f t="shared" si="18"/>
        <v>-2463464.5967178587</v>
      </c>
      <c r="N70" s="348">
        <f t="shared" si="18"/>
        <v>-2501965.8705800087</v>
      </c>
      <c r="O70" s="348">
        <f t="shared" si="18"/>
        <v>-2542084.1979443692</v>
      </c>
      <c r="P70" s="348">
        <f t="shared" si="18"/>
        <v>-2583887.4950580327</v>
      </c>
      <c r="Q70" s="348">
        <f t="shared" si="18"/>
        <v>-2627446.5306504699</v>
      </c>
      <c r="R70" s="348">
        <f t="shared" si="18"/>
        <v>-2672835.0457377899</v>
      </c>
      <c r="S70" s="348">
        <f t="shared" si="18"/>
        <v>-2720129.8784587765</v>
      </c>
      <c r="T70" s="348">
        <f t="shared" si="18"/>
        <v>-2769411.0941540455</v>
      </c>
      <c r="U70" s="348">
        <f t="shared" si="18"/>
        <v>-2820762.1209085155</v>
      </c>
      <c r="V70" s="348">
        <f t="shared" si="18"/>
        <v>-2874269.8907866729</v>
      </c>
      <c r="W70" s="348">
        <f t="shared" si="18"/>
        <v>-2930024.9869997134</v>
      </c>
      <c r="X70" s="348">
        <f t="shared" si="18"/>
        <v>-2988121.7972537018</v>
      </c>
      <c r="Y70" s="348">
        <f t="shared" si="18"/>
        <v>-3048658.673538357</v>
      </c>
      <c r="Z70" s="348">
        <f t="shared" si="18"/>
        <v>-3111738.0986269685</v>
      </c>
      <c r="AA70" s="348">
        <f t="shared" si="18"/>
        <v>-3177466.8595693009</v>
      </c>
      <c r="AB70" s="348">
        <f t="shared" si="18"/>
        <v>-3245956.2284712121</v>
      </c>
      <c r="AC70" s="348">
        <f t="shared" si="18"/>
        <v>-3317322.150867003</v>
      </c>
      <c r="AD70" s="348">
        <f t="shared" si="18"/>
        <v>-3391685.4420034168</v>
      </c>
      <c r="AE70" s="348">
        <f t="shared" si="18"/>
        <v>-3469171.9913675603</v>
      </c>
      <c r="AF70" s="348">
        <f t="shared" si="18"/>
        <v>-3549912.9758049976</v>
      </c>
      <c r="AG70" s="348">
        <f t="shared" si="18"/>
        <v>-3634045.0815888075</v>
      </c>
      <c r="AH70" s="348">
        <f t="shared" si="18"/>
        <v>-3721710.7358155372</v>
      </c>
      <c r="AI70" s="348">
        <f t="shared" si="18"/>
        <v>-3813058.3475197898</v>
      </c>
      <c r="AJ70" s="348">
        <f t="shared" si="18"/>
        <v>-3908242.5589156216</v>
      </c>
      <c r="AK70" s="348">
        <f t="shared" si="18"/>
        <v>-4007424.5071900776</v>
      </c>
      <c r="AL70" s="348">
        <f t="shared" si="18"/>
        <v>-4110772.097292061</v>
      </c>
      <c r="AM70" s="348">
        <f t="shared" si="18"/>
        <v>-4218460.2861783281</v>
      </c>
      <c r="AN70" s="348">
        <f t="shared" si="18"/>
        <v>-4330671.3789978176</v>
      </c>
      <c r="AO70" s="348">
        <f t="shared" si="18"/>
        <v>-4447595.3377157263</v>
      </c>
      <c r="AP70" s="348">
        <f>AP68+AP69</f>
        <v>-4569430.1026997874</v>
      </c>
    </row>
    <row r="71" spans="1:45" x14ac:dyDescent="0.2">
      <c r="A71" s="219" t="s">
        <v>305</v>
      </c>
      <c r="B71" s="347">
        <f t="shared" ref="B71:AP71" si="19">-B70*$B$36</f>
        <v>-9437903.9900000021</v>
      </c>
      <c r="C71" s="347">
        <f t="shared" si="19"/>
        <v>430854.17370179959</v>
      </c>
      <c r="D71" s="347">
        <f t="shared" si="19"/>
        <v>435957.20115727512</v>
      </c>
      <c r="E71" s="347">
        <f t="shared" si="19"/>
        <v>441274.55576588068</v>
      </c>
      <c r="F71" s="347">
        <f t="shared" si="19"/>
        <v>446815.23926804774</v>
      </c>
      <c r="G71" s="347">
        <f t="shared" si="19"/>
        <v>452588.63147730567</v>
      </c>
      <c r="H71" s="347">
        <f t="shared" si="19"/>
        <v>458604.50615935255</v>
      </c>
      <c r="I71" s="347">
        <f t="shared" si="19"/>
        <v>464873.0475780454</v>
      </c>
      <c r="J71" s="347">
        <f t="shared" si="19"/>
        <v>471404.86773632327</v>
      </c>
      <c r="K71" s="347">
        <f t="shared" si="19"/>
        <v>478211.02434124891</v>
      </c>
      <c r="L71" s="347">
        <f t="shared" si="19"/>
        <v>485303.03952358133</v>
      </c>
      <c r="M71" s="347">
        <f t="shared" si="19"/>
        <v>492692.91934357176</v>
      </c>
      <c r="N71" s="347">
        <f t="shared" si="19"/>
        <v>500393.17411600176</v>
      </c>
      <c r="O71" s="347">
        <f t="shared" si="19"/>
        <v>508416.83958887385</v>
      </c>
      <c r="P71" s="347">
        <f t="shared" si="19"/>
        <v>516777.49901160656</v>
      </c>
      <c r="Q71" s="347">
        <f t="shared" si="19"/>
        <v>525489.30613009399</v>
      </c>
      <c r="R71" s="347">
        <f t="shared" si="19"/>
        <v>534567.00914755801</v>
      </c>
      <c r="S71" s="347">
        <f t="shared" si="19"/>
        <v>544025.9756917553</v>
      </c>
      <c r="T71" s="347">
        <f t="shared" si="19"/>
        <v>553882.21883080911</v>
      </c>
      <c r="U71" s="347">
        <f t="shared" si="19"/>
        <v>564152.42418170313</v>
      </c>
      <c r="V71" s="347">
        <f t="shared" si="19"/>
        <v>574853.97815733461</v>
      </c>
      <c r="W71" s="347">
        <f t="shared" si="19"/>
        <v>586004.99739994272</v>
      </c>
      <c r="X71" s="347">
        <f t="shared" si="19"/>
        <v>597624.35945074039</v>
      </c>
      <c r="Y71" s="347">
        <f t="shared" si="19"/>
        <v>609731.73470767145</v>
      </c>
      <c r="Z71" s="347">
        <f t="shared" si="19"/>
        <v>622347.61972539371</v>
      </c>
      <c r="AA71" s="347">
        <f t="shared" si="19"/>
        <v>635493.3719138602</v>
      </c>
      <c r="AB71" s="347">
        <f t="shared" si="19"/>
        <v>649191.24569424242</v>
      </c>
      <c r="AC71" s="347">
        <f t="shared" si="19"/>
        <v>663464.43017340067</v>
      </c>
      <c r="AD71" s="347">
        <f t="shared" si="19"/>
        <v>678337.08840068337</v>
      </c>
      <c r="AE71" s="347">
        <f t="shared" si="19"/>
        <v>693834.39827351214</v>
      </c>
      <c r="AF71" s="347">
        <f t="shared" si="19"/>
        <v>709982.59516099957</v>
      </c>
      <c r="AG71" s="347">
        <f t="shared" si="19"/>
        <v>726809.0163177615</v>
      </c>
      <c r="AH71" s="347">
        <f t="shared" si="19"/>
        <v>744342.14716310753</v>
      </c>
      <c r="AI71" s="347">
        <f t="shared" si="19"/>
        <v>762611.66950395796</v>
      </c>
      <c r="AJ71" s="347">
        <f t="shared" si="19"/>
        <v>781648.51178312441</v>
      </c>
      <c r="AK71" s="347">
        <f t="shared" si="19"/>
        <v>801484.90143801551</v>
      </c>
      <c r="AL71" s="347">
        <f t="shared" si="19"/>
        <v>822154.41945841222</v>
      </c>
      <c r="AM71" s="347">
        <f t="shared" si="19"/>
        <v>843692.05723566562</v>
      </c>
      <c r="AN71" s="347">
        <f t="shared" si="19"/>
        <v>866134.27579956362</v>
      </c>
      <c r="AO71" s="347">
        <f t="shared" si="19"/>
        <v>889519.06754314527</v>
      </c>
      <c r="AP71" s="347">
        <f t="shared" si="19"/>
        <v>913886.02053995756</v>
      </c>
    </row>
    <row r="72" spans="1:45" ht="15" thickBot="1" x14ac:dyDescent="0.25">
      <c r="A72" s="224" t="s">
        <v>310</v>
      </c>
      <c r="B72" s="225">
        <f t="shared" ref="B72:AO72" si="20">B70+B71</f>
        <v>37751615.960000008</v>
      </c>
      <c r="C72" s="225">
        <f t="shared" si="20"/>
        <v>-1723416.6948071984</v>
      </c>
      <c r="D72" s="225">
        <f t="shared" si="20"/>
        <v>-1743828.8046291005</v>
      </c>
      <c r="E72" s="225">
        <f t="shared" si="20"/>
        <v>-1765098.2230635225</v>
      </c>
      <c r="F72" s="225">
        <f t="shared" si="20"/>
        <v>-1787260.9570721909</v>
      </c>
      <c r="G72" s="225">
        <f t="shared" si="20"/>
        <v>-1810354.5259092227</v>
      </c>
      <c r="H72" s="225">
        <f t="shared" si="20"/>
        <v>-1834418.02463741</v>
      </c>
      <c r="I72" s="225">
        <f t="shared" si="20"/>
        <v>-1859492.1903121814</v>
      </c>
      <c r="J72" s="225">
        <f t="shared" si="20"/>
        <v>-1885619.4709452931</v>
      </c>
      <c r="K72" s="225">
        <f t="shared" si="20"/>
        <v>-1912844.0973649956</v>
      </c>
      <c r="L72" s="225">
        <f t="shared" si="20"/>
        <v>-1941212.1580943253</v>
      </c>
      <c r="M72" s="225">
        <f t="shared" si="20"/>
        <v>-1970771.677374287</v>
      </c>
      <c r="N72" s="225">
        <f t="shared" si="20"/>
        <v>-2001572.696464007</v>
      </c>
      <c r="O72" s="225">
        <f t="shared" si="20"/>
        <v>-2033667.3583554954</v>
      </c>
      <c r="P72" s="225">
        <f t="shared" si="20"/>
        <v>-2067109.9960464262</v>
      </c>
      <c r="Q72" s="225">
        <f t="shared" si="20"/>
        <v>-2101957.224520376</v>
      </c>
      <c r="R72" s="225">
        <f t="shared" si="20"/>
        <v>-2138268.036590232</v>
      </c>
      <c r="S72" s="225">
        <f t="shared" si="20"/>
        <v>-2176103.9027670212</v>
      </c>
      <c r="T72" s="225">
        <f t="shared" si="20"/>
        <v>-2215528.8753232365</v>
      </c>
      <c r="U72" s="225">
        <f t="shared" si="20"/>
        <v>-2256609.6967268125</v>
      </c>
      <c r="V72" s="225">
        <f t="shared" si="20"/>
        <v>-2299415.9126293384</v>
      </c>
      <c r="W72" s="225">
        <f t="shared" si="20"/>
        <v>-2344019.9895997709</v>
      </c>
      <c r="X72" s="225">
        <f t="shared" si="20"/>
        <v>-2390497.4378029616</v>
      </c>
      <c r="Y72" s="225">
        <f t="shared" si="20"/>
        <v>-2438926.9388306858</v>
      </c>
      <c r="Z72" s="225">
        <f t="shared" si="20"/>
        <v>-2489390.4789015749</v>
      </c>
      <c r="AA72" s="225">
        <f t="shared" si="20"/>
        <v>-2541973.4876554408</v>
      </c>
      <c r="AB72" s="225">
        <f t="shared" si="20"/>
        <v>-2596764.9827769697</v>
      </c>
      <c r="AC72" s="225">
        <f t="shared" si="20"/>
        <v>-2653857.7206936022</v>
      </c>
      <c r="AD72" s="225">
        <f t="shared" si="20"/>
        <v>-2713348.3536027335</v>
      </c>
      <c r="AE72" s="225">
        <f t="shared" si="20"/>
        <v>-2775337.5930940481</v>
      </c>
      <c r="AF72" s="225">
        <f t="shared" si="20"/>
        <v>-2839930.3806439983</v>
      </c>
      <c r="AG72" s="225">
        <f t="shared" si="20"/>
        <v>-2907236.065271046</v>
      </c>
      <c r="AH72" s="225">
        <f t="shared" si="20"/>
        <v>-2977368.5886524296</v>
      </c>
      <c r="AI72" s="225">
        <f t="shared" si="20"/>
        <v>-3050446.6780158319</v>
      </c>
      <c r="AJ72" s="225">
        <f t="shared" si="20"/>
        <v>-3126594.0471324972</v>
      </c>
      <c r="AK72" s="225">
        <f t="shared" si="20"/>
        <v>-3205939.6057520621</v>
      </c>
      <c r="AL72" s="225">
        <f t="shared" si="20"/>
        <v>-3288617.6778336489</v>
      </c>
      <c r="AM72" s="225">
        <f t="shared" si="20"/>
        <v>-3374768.2289426625</v>
      </c>
      <c r="AN72" s="225">
        <f t="shared" si="20"/>
        <v>-3464537.103198254</v>
      </c>
      <c r="AO72" s="225">
        <f t="shared" si="20"/>
        <v>-3558076.2701725811</v>
      </c>
      <c r="AP72" s="225">
        <f>AP70+AP71</f>
        <v>-3655544.0821598298</v>
      </c>
    </row>
    <row r="73" spans="1:45" s="227" customFormat="1" ht="16.5" thickBot="1" x14ac:dyDescent="0.25">
      <c r="A73" s="215"/>
      <c r="B73" s="226">
        <f>I141</f>
        <v>5.5</v>
      </c>
      <c r="C73" s="226">
        <f t="shared" ref="C73:AP73" si="21">J141</f>
        <v>6.5</v>
      </c>
      <c r="D73" s="226">
        <f t="shared" si="21"/>
        <v>7.5</v>
      </c>
      <c r="E73" s="226">
        <f t="shared" si="21"/>
        <v>8.5</v>
      </c>
      <c r="F73" s="226">
        <f t="shared" si="21"/>
        <v>9.5</v>
      </c>
      <c r="G73" s="226">
        <f t="shared" si="21"/>
        <v>10.5</v>
      </c>
      <c r="H73" s="226">
        <f t="shared" si="21"/>
        <v>11.5</v>
      </c>
      <c r="I73" s="226">
        <f t="shared" si="21"/>
        <v>12.5</v>
      </c>
      <c r="J73" s="226">
        <f t="shared" si="21"/>
        <v>13.5</v>
      </c>
      <c r="K73" s="226">
        <f t="shared" si="21"/>
        <v>14.5</v>
      </c>
      <c r="L73" s="226">
        <f t="shared" si="21"/>
        <v>15.5</v>
      </c>
      <c r="M73" s="226">
        <f t="shared" si="21"/>
        <v>16.5</v>
      </c>
      <c r="N73" s="226">
        <f t="shared" si="21"/>
        <v>17.5</v>
      </c>
      <c r="O73" s="226">
        <f t="shared" si="21"/>
        <v>18.5</v>
      </c>
      <c r="P73" s="226">
        <f t="shared" si="21"/>
        <v>19.5</v>
      </c>
      <c r="Q73" s="226">
        <f t="shared" si="21"/>
        <v>20.5</v>
      </c>
      <c r="R73" s="226">
        <f t="shared" si="21"/>
        <v>21.5</v>
      </c>
      <c r="S73" s="226">
        <f t="shared" si="21"/>
        <v>22.5</v>
      </c>
      <c r="T73" s="226">
        <f t="shared" si="21"/>
        <v>23.5</v>
      </c>
      <c r="U73" s="226">
        <f t="shared" si="21"/>
        <v>24.5</v>
      </c>
      <c r="V73" s="226">
        <f t="shared" si="21"/>
        <v>25.5</v>
      </c>
      <c r="W73" s="226">
        <f t="shared" si="21"/>
        <v>26.5</v>
      </c>
      <c r="X73" s="226">
        <f t="shared" si="21"/>
        <v>27.5</v>
      </c>
      <c r="Y73" s="226">
        <f t="shared" si="21"/>
        <v>28.5</v>
      </c>
      <c r="Z73" s="226">
        <f t="shared" si="21"/>
        <v>29.5</v>
      </c>
      <c r="AA73" s="226">
        <f t="shared" si="21"/>
        <v>30.5</v>
      </c>
      <c r="AB73" s="226">
        <f t="shared" si="21"/>
        <v>31.5</v>
      </c>
      <c r="AC73" s="226">
        <f t="shared" si="21"/>
        <v>32.5</v>
      </c>
      <c r="AD73" s="226">
        <f t="shared" si="21"/>
        <v>33.5</v>
      </c>
      <c r="AE73" s="226">
        <f t="shared" si="21"/>
        <v>34.5</v>
      </c>
      <c r="AF73" s="226">
        <f t="shared" si="21"/>
        <v>35.5</v>
      </c>
      <c r="AG73" s="226">
        <f t="shared" si="21"/>
        <v>36.5</v>
      </c>
      <c r="AH73" s="226">
        <f t="shared" si="21"/>
        <v>37.5</v>
      </c>
      <c r="AI73" s="226">
        <f t="shared" si="21"/>
        <v>38.5</v>
      </c>
      <c r="AJ73" s="226">
        <f t="shared" si="21"/>
        <v>39.5</v>
      </c>
      <c r="AK73" s="226">
        <f t="shared" si="21"/>
        <v>40.5</v>
      </c>
      <c r="AL73" s="226">
        <f t="shared" si="21"/>
        <v>41.5</v>
      </c>
      <c r="AM73" s="226">
        <f t="shared" si="21"/>
        <v>42.5</v>
      </c>
      <c r="AN73" s="226">
        <f t="shared" si="21"/>
        <v>43.5</v>
      </c>
      <c r="AO73" s="226">
        <f t="shared" si="21"/>
        <v>44.5</v>
      </c>
      <c r="AP73" s="226">
        <f t="shared" si="21"/>
        <v>45.5</v>
      </c>
      <c r="AQ73" s="172"/>
      <c r="AR73" s="172"/>
      <c r="AS73" s="172"/>
    </row>
    <row r="74" spans="1:45" x14ac:dyDescent="0.2">
      <c r="A74" s="210" t="s">
        <v>309</v>
      </c>
      <c r="B74" s="211">
        <f t="shared" ref="B74:AO74" si="22">B58</f>
        <v>1</v>
      </c>
      <c r="C74" s="211">
        <f t="shared" si="22"/>
        <v>2</v>
      </c>
      <c r="D74" s="211">
        <f t="shared" si="22"/>
        <v>3</v>
      </c>
      <c r="E74" s="211">
        <f t="shared" si="22"/>
        <v>4</v>
      </c>
      <c r="F74" s="211">
        <f t="shared" si="22"/>
        <v>5</v>
      </c>
      <c r="G74" s="211">
        <f t="shared" si="22"/>
        <v>6</v>
      </c>
      <c r="H74" s="211">
        <f t="shared" si="22"/>
        <v>7</v>
      </c>
      <c r="I74" s="211">
        <f t="shared" si="22"/>
        <v>8</v>
      </c>
      <c r="J74" s="211">
        <f t="shared" si="22"/>
        <v>9</v>
      </c>
      <c r="K74" s="211">
        <f t="shared" si="22"/>
        <v>10</v>
      </c>
      <c r="L74" s="211">
        <f t="shared" si="22"/>
        <v>11</v>
      </c>
      <c r="M74" s="211">
        <f t="shared" si="22"/>
        <v>12</v>
      </c>
      <c r="N74" s="211">
        <f t="shared" si="22"/>
        <v>13</v>
      </c>
      <c r="O74" s="211">
        <f t="shared" si="22"/>
        <v>14</v>
      </c>
      <c r="P74" s="211">
        <f t="shared" si="22"/>
        <v>15</v>
      </c>
      <c r="Q74" s="211">
        <f t="shared" si="22"/>
        <v>16</v>
      </c>
      <c r="R74" s="211">
        <f t="shared" si="22"/>
        <v>17</v>
      </c>
      <c r="S74" s="211">
        <f t="shared" si="22"/>
        <v>18</v>
      </c>
      <c r="T74" s="211">
        <f t="shared" si="22"/>
        <v>19</v>
      </c>
      <c r="U74" s="211">
        <f t="shared" si="22"/>
        <v>20</v>
      </c>
      <c r="V74" s="211">
        <f t="shared" si="22"/>
        <v>21</v>
      </c>
      <c r="W74" s="211">
        <f t="shared" si="22"/>
        <v>22</v>
      </c>
      <c r="X74" s="211">
        <f t="shared" si="22"/>
        <v>23</v>
      </c>
      <c r="Y74" s="211">
        <f t="shared" si="22"/>
        <v>24</v>
      </c>
      <c r="Z74" s="211">
        <f t="shared" si="22"/>
        <v>25</v>
      </c>
      <c r="AA74" s="211">
        <f t="shared" si="22"/>
        <v>26</v>
      </c>
      <c r="AB74" s="211">
        <f t="shared" si="22"/>
        <v>27</v>
      </c>
      <c r="AC74" s="211">
        <f t="shared" si="22"/>
        <v>28</v>
      </c>
      <c r="AD74" s="211">
        <f t="shared" si="22"/>
        <v>29</v>
      </c>
      <c r="AE74" s="211">
        <f t="shared" si="22"/>
        <v>30</v>
      </c>
      <c r="AF74" s="211">
        <f t="shared" si="22"/>
        <v>31</v>
      </c>
      <c r="AG74" s="211">
        <f t="shared" si="22"/>
        <v>32</v>
      </c>
      <c r="AH74" s="211">
        <f t="shared" si="22"/>
        <v>33</v>
      </c>
      <c r="AI74" s="211">
        <f t="shared" si="22"/>
        <v>34</v>
      </c>
      <c r="AJ74" s="211">
        <f t="shared" si="22"/>
        <v>35</v>
      </c>
      <c r="AK74" s="211">
        <f t="shared" si="22"/>
        <v>36</v>
      </c>
      <c r="AL74" s="211">
        <f t="shared" si="22"/>
        <v>37</v>
      </c>
      <c r="AM74" s="211">
        <f t="shared" si="22"/>
        <v>38</v>
      </c>
      <c r="AN74" s="211">
        <f t="shared" si="22"/>
        <v>39</v>
      </c>
      <c r="AO74" s="211">
        <f t="shared" si="22"/>
        <v>40</v>
      </c>
      <c r="AP74" s="211">
        <f>AP58</f>
        <v>41</v>
      </c>
    </row>
    <row r="75" spans="1:45" ht="28.5" x14ac:dyDescent="0.2">
      <c r="A75" s="218" t="s">
        <v>308</v>
      </c>
      <c r="B75" s="348">
        <f t="shared" ref="B75:AO75" si="23">B68</f>
        <v>47189519.95000001</v>
      </c>
      <c r="C75" s="348">
        <f t="shared" si="23"/>
        <v>-2154270.8685089978</v>
      </c>
      <c r="D75" s="348">
        <f>D68</f>
        <v>-2179786.0057863756</v>
      </c>
      <c r="E75" s="348">
        <f t="shared" si="23"/>
        <v>-2206372.7788294032</v>
      </c>
      <c r="F75" s="348">
        <f t="shared" si="23"/>
        <v>-2234076.1963402387</v>
      </c>
      <c r="G75" s="348">
        <f t="shared" si="23"/>
        <v>-2262943.1573865283</v>
      </c>
      <c r="H75" s="348">
        <f t="shared" si="23"/>
        <v>-2293022.5307967626</v>
      </c>
      <c r="I75" s="348">
        <f t="shared" si="23"/>
        <v>-2324365.2378902268</v>
      </c>
      <c r="J75" s="348">
        <f t="shared" si="23"/>
        <v>-2357024.3386816164</v>
      </c>
      <c r="K75" s="348">
        <f t="shared" si="23"/>
        <v>-2391055.1217062445</v>
      </c>
      <c r="L75" s="348">
        <f t="shared" si="23"/>
        <v>-2426515.1976179066</v>
      </c>
      <c r="M75" s="348">
        <f t="shared" si="23"/>
        <v>-2463464.5967178587</v>
      </c>
      <c r="N75" s="348">
        <f t="shared" si="23"/>
        <v>-2501965.8705800087</v>
      </c>
      <c r="O75" s="348">
        <f t="shared" si="23"/>
        <v>-2542084.1979443692</v>
      </c>
      <c r="P75" s="348">
        <f t="shared" si="23"/>
        <v>-2583887.4950580327</v>
      </c>
      <c r="Q75" s="348">
        <f t="shared" si="23"/>
        <v>-2627446.5306504699</v>
      </c>
      <c r="R75" s="348">
        <f t="shared" si="23"/>
        <v>-2672835.0457377899</v>
      </c>
      <c r="S75" s="348">
        <f t="shared" si="23"/>
        <v>-2720129.8784587765</v>
      </c>
      <c r="T75" s="348">
        <f t="shared" si="23"/>
        <v>-2769411.0941540455</v>
      </c>
      <c r="U75" s="348">
        <f t="shared" si="23"/>
        <v>-2820762.1209085155</v>
      </c>
      <c r="V75" s="348">
        <f t="shared" si="23"/>
        <v>-2874269.8907866729</v>
      </c>
      <c r="W75" s="348">
        <f t="shared" si="23"/>
        <v>-2930024.9869997134</v>
      </c>
      <c r="X75" s="348">
        <f t="shared" si="23"/>
        <v>-2988121.7972537018</v>
      </c>
      <c r="Y75" s="348">
        <f t="shared" si="23"/>
        <v>-3048658.673538357</v>
      </c>
      <c r="Z75" s="348">
        <f t="shared" si="23"/>
        <v>-3111738.0986269685</v>
      </c>
      <c r="AA75" s="348">
        <f t="shared" si="23"/>
        <v>-3177466.8595693009</v>
      </c>
      <c r="AB75" s="348">
        <f t="shared" si="23"/>
        <v>-3245956.2284712121</v>
      </c>
      <c r="AC75" s="348">
        <f t="shared" si="23"/>
        <v>-3317322.150867003</v>
      </c>
      <c r="AD75" s="348">
        <f t="shared" si="23"/>
        <v>-3391685.4420034168</v>
      </c>
      <c r="AE75" s="348">
        <f t="shared" si="23"/>
        <v>-3469171.9913675603</v>
      </c>
      <c r="AF75" s="348">
        <f t="shared" si="23"/>
        <v>-3549912.9758049976</v>
      </c>
      <c r="AG75" s="348">
        <f t="shared" si="23"/>
        <v>-3634045.0815888075</v>
      </c>
      <c r="AH75" s="348">
        <f t="shared" si="23"/>
        <v>-3721710.7358155372</v>
      </c>
      <c r="AI75" s="348">
        <f t="shared" si="23"/>
        <v>-3813058.3475197898</v>
      </c>
      <c r="AJ75" s="348">
        <f t="shared" si="23"/>
        <v>-3908242.5589156216</v>
      </c>
      <c r="AK75" s="348">
        <f t="shared" si="23"/>
        <v>-4007424.5071900776</v>
      </c>
      <c r="AL75" s="348">
        <f t="shared" si="23"/>
        <v>-4110772.097292061</v>
      </c>
      <c r="AM75" s="348">
        <f t="shared" si="23"/>
        <v>-4218460.2861783281</v>
      </c>
      <c r="AN75" s="348">
        <f t="shared" si="23"/>
        <v>-4330671.3789978176</v>
      </c>
      <c r="AO75" s="348">
        <f t="shared" si="23"/>
        <v>-4447595.3377157263</v>
      </c>
      <c r="AP75" s="348">
        <f>AP68</f>
        <v>-4569430.1026997874</v>
      </c>
    </row>
    <row r="76" spans="1:45" x14ac:dyDescent="0.2">
      <c r="A76" s="219" t="s">
        <v>307</v>
      </c>
      <c r="B76" s="347">
        <f t="shared" ref="B76:AO76" si="24">-B67</f>
        <v>0</v>
      </c>
      <c r="C76" s="347">
        <f>-C67</f>
        <v>1546767.6000000003</v>
      </c>
      <c r="D76" s="347">
        <f t="shared" si="24"/>
        <v>1546767.6000000003</v>
      </c>
      <c r="E76" s="347">
        <f t="shared" si="24"/>
        <v>1546767.6000000003</v>
      </c>
      <c r="F76" s="347">
        <f>-C67</f>
        <v>1546767.6000000003</v>
      </c>
      <c r="G76" s="347">
        <f t="shared" si="24"/>
        <v>1546767.6000000003</v>
      </c>
      <c r="H76" s="347">
        <f t="shared" si="24"/>
        <v>1546767.6000000003</v>
      </c>
      <c r="I76" s="347">
        <f t="shared" si="24"/>
        <v>1546767.6000000003</v>
      </c>
      <c r="J76" s="347">
        <f t="shared" si="24"/>
        <v>1546767.6000000003</v>
      </c>
      <c r="K76" s="347">
        <f t="shared" si="24"/>
        <v>1546767.6000000003</v>
      </c>
      <c r="L76" s="347">
        <f>-L67</f>
        <v>1546767.6000000003</v>
      </c>
      <c r="M76" s="347">
        <f>-M67</f>
        <v>1546767.6000000003</v>
      </c>
      <c r="N76" s="347">
        <f t="shared" si="24"/>
        <v>1546767.6000000003</v>
      </c>
      <c r="O76" s="347">
        <f t="shared" si="24"/>
        <v>1546767.6000000003</v>
      </c>
      <c r="P76" s="347">
        <f t="shared" si="24"/>
        <v>1546767.6000000003</v>
      </c>
      <c r="Q76" s="347">
        <f t="shared" si="24"/>
        <v>1546767.6000000003</v>
      </c>
      <c r="R76" s="347">
        <f t="shared" si="24"/>
        <v>1546767.6000000003</v>
      </c>
      <c r="S76" s="347">
        <f t="shared" si="24"/>
        <v>1546767.6000000003</v>
      </c>
      <c r="T76" s="347">
        <f t="shared" si="24"/>
        <v>1546767.6000000003</v>
      </c>
      <c r="U76" s="347">
        <f t="shared" si="24"/>
        <v>1546767.6000000003</v>
      </c>
      <c r="V76" s="347">
        <f t="shared" si="24"/>
        <v>1546767.6000000003</v>
      </c>
      <c r="W76" s="347">
        <f t="shared" si="24"/>
        <v>1546767.6000000003</v>
      </c>
      <c r="X76" s="347">
        <f t="shared" si="24"/>
        <v>1546767.6000000003</v>
      </c>
      <c r="Y76" s="347">
        <f t="shared" si="24"/>
        <v>1546767.6000000003</v>
      </c>
      <c r="Z76" s="347">
        <f t="shared" si="24"/>
        <v>1546767.6000000003</v>
      </c>
      <c r="AA76" s="347">
        <f t="shared" si="24"/>
        <v>1546767.6000000003</v>
      </c>
      <c r="AB76" s="347">
        <f t="shared" si="24"/>
        <v>1546767.6000000003</v>
      </c>
      <c r="AC76" s="347">
        <f t="shared" si="24"/>
        <v>1546767.6000000003</v>
      </c>
      <c r="AD76" s="347">
        <f t="shared" si="24"/>
        <v>1546767.6000000003</v>
      </c>
      <c r="AE76" s="347">
        <f t="shared" si="24"/>
        <v>1546767.6000000003</v>
      </c>
      <c r="AF76" s="347">
        <f t="shared" si="24"/>
        <v>1546767.6000000003</v>
      </c>
      <c r="AG76" s="347">
        <f t="shared" si="24"/>
        <v>1546767.6000000003</v>
      </c>
      <c r="AH76" s="347">
        <f t="shared" si="24"/>
        <v>1546767.6000000003</v>
      </c>
      <c r="AI76" s="347">
        <f t="shared" si="24"/>
        <v>1546767.6000000003</v>
      </c>
      <c r="AJ76" s="347">
        <f t="shared" si="24"/>
        <v>1546767.6000000003</v>
      </c>
      <c r="AK76" s="347">
        <f t="shared" si="24"/>
        <v>1546767.6000000003</v>
      </c>
      <c r="AL76" s="347">
        <f t="shared" si="24"/>
        <v>1546767.6000000003</v>
      </c>
      <c r="AM76" s="347">
        <f t="shared" si="24"/>
        <v>1546767.6000000003</v>
      </c>
      <c r="AN76" s="347">
        <f t="shared" si="24"/>
        <v>1546767.6000000003</v>
      </c>
      <c r="AO76" s="347">
        <f t="shared" si="24"/>
        <v>1546767.6000000003</v>
      </c>
      <c r="AP76" s="347">
        <f>-AP67</f>
        <v>1546767.6000000003</v>
      </c>
    </row>
    <row r="77" spans="1:45" x14ac:dyDescent="0.2">
      <c r="A77" s="219" t="s">
        <v>306</v>
      </c>
      <c r="B77" s="347">
        <f t="shared" ref="B77:AO77" si="25">B69</f>
        <v>0</v>
      </c>
      <c r="C77" s="347">
        <f t="shared" si="25"/>
        <v>0</v>
      </c>
      <c r="D77" s="347">
        <f t="shared" si="25"/>
        <v>0</v>
      </c>
      <c r="E77" s="347">
        <f t="shared" si="25"/>
        <v>0</v>
      </c>
      <c r="F77" s="347">
        <f t="shared" si="25"/>
        <v>0</v>
      </c>
      <c r="G77" s="347">
        <f t="shared" si="25"/>
        <v>0</v>
      </c>
      <c r="H77" s="347">
        <f t="shared" si="25"/>
        <v>0</v>
      </c>
      <c r="I77" s="347">
        <f t="shared" si="25"/>
        <v>0</v>
      </c>
      <c r="J77" s="347">
        <f t="shared" si="25"/>
        <v>0</v>
      </c>
      <c r="K77" s="347">
        <f t="shared" si="25"/>
        <v>0</v>
      </c>
      <c r="L77" s="347">
        <f t="shared" si="25"/>
        <v>0</v>
      </c>
      <c r="M77" s="347">
        <f t="shared" si="25"/>
        <v>0</v>
      </c>
      <c r="N77" s="347">
        <f t="shared" si="25"/>
        <v>0</v>
      </c>
      <c r="O77" s="347">
        <f t="shared" si="25"/>
        <v>0</v>
      </c>
      <c r="P77" s="347">
        <f t="shared" si="25"/>
        <v>0</v>
      </c>
      <c r="Q77" s="347">
        <f t="shared" si="25"/>
        <v>0</v>
      </c>
      <c r="R77" s="347">
        <f t="shared" si="25"/>
        <v>0</v>
      </c>
      <c r="S77" s="347">
        <f t="shared" si="25"/>
        <v>0</v>
      </c>
      <c r="T77" s="347">
        <f t="shared" si="25"/>
        <v>0</v>
      </c>
      <c r="U77" s="347">
        <f t="shared" si="25"/>
        <v>0</v>
      </c>
      <c r="V77" s="347">
        <f t="shared" si="25"/>
        <v>0</v>
      </c>
      <c r="W77" s="347">
        <f t="shared" si="25"/>
        <v>0</v>
      </c>
      <c r="X77" s="347">
        <f t="shared" si="25"/>
        <v>0</v>
      </c>
      <c r="Y77" s="347">
        <f t="shared" si="25"/>
        <v>0</v>
      </c>
      <c r="Z77" s="347">
        <f t="shared" si="25"/>
        <v>0</v>
      </c>
      <c r="AA77" s="347">
        <f t="shared" si="25"/>
        <v>0</v>
      </c>
      <c r="AB77" s="347">
        <f t="shared" si="25"/>
        <v>0</v>
      </c>
      <c r="AC77" s="347">
        <f t="shared" si="25"/>
        <v>0</v>
      </c>
      <c r="AD77" s="347">
        <f t="shared" si="25"/>
        <v>0</v>
      </c>
      <c r="AE77" s="347">
        <f t="shared" si="25"/>
        <v>0</v>
      </c>
      <c r="AF77" s="347">
        <f t="shared" si="25"/>
        <v>0</v>
      </c>
      <c r="AG77" s="347">
        <f t="shared" si="25"/>
        <v>0</v>
      </c>
      <c r="AH77" s="347">
        <f t="shared" si="25"/>
        <v>0</v>
      </c>
      <c r="AI77" s="347">
        <f t="shared" si="25"/>
        <v>0</v>
      </c>
      <c r="AJ77" s="347">
        <f t="shared" si="25"/>
        <v>0</v>
      </c>
      <c r="AK77" s="347">
        <f t="shared" si="25"/>
        <v>0</v>
      </c>
      <c r="AL77" s="347">
        <f t="shared" si="25"/>
        <v>0</v>
      </c>
      <c r="AM77" s="347">
        <f t="shared" si="25"/>
        <v>0</v>
      </c>
      <c r="AN77" s="347">
        <f t="shared" si="25"/>
        <v>0</v>
      </c>
      <c r="AO77" s="347">
        <f t="shared" si="25"/>
        <v>0</v>
      </c>
      <c r="AP77" s="347">
        <f>AP69</f>
        <v>0</v>
      </c>
    </row>
    <row r="78" spans="1:45" x14ac:dyDescent="0.2">
      <c r="A78" s="219" t="s">
        <v>305</v>
      </c>
      <c r="B78" s="347">
        <f>IF(SUM($B$71:B71)+SUM($A$78:A78)&gt;0,0,SUM($B$71:B71)-SUM($A$78:A78))</f>
        <v>-9437903.9900000021</v>
      </c>
      <c r="C78" s="347">
        <f>IF(SUM($B$71:C71)+SUM($A$78:B78)&gt;0,0,SUM($B$71:C71)-SUM($A$78:B78))</f>
        <v>430854.17370180041</v>
      </c>
      <c r="D78" s="347">
        <f>IF(SUM($B$71:D71)+SUM($A$78:C78)&gt;0,0,SUM($B$71:D71)-SUM($A$78:C78))</f>
        <v>435957.20115727559</v>
      </c>
      <c r="E78" s="347">
        <f>IF(SUM($B$71:E71)+SUM($A$78:D78)&gt;0,0,SUM($B$71:E71)-SUM($A$78:D78))</f>
        <v>441274.55576588027</v>
      </c>
      <c r="F78" s="347">
        <f>IF(SUM($B$71:F71)+SUM($A$78:E78)&gt;0,0,SUM($B$71:F71)-SUM($A$78:E78))</f>
        <v>446815.23926804774</v>
      </c>
      <c r="G78" s="347">
        <f>IF(SUM($B$71:G71)+SUM($A$78:F78)&gt;0,0,SUM($B$71:G71)-SUM($A$78:F78))</f>
        <v>452588.63147730567</v>
      </c>
      <c r="H78" s="347">
        <f>IF(SUM($B$71:H71)+SUM($A$78:G78)&gt;0,0,SUM($B$71:H71)-SUM($A$78:G78))</f>
        <v>458604.50615935214</v>
      </c>
      <c r="I78" s="347">
        <f>IF(SUM($B$71:I71)+SUM($A$78:H78)&gt;0,0,SUM($B$71:I71)-SUM($A$78:H78))</f>
        <v>464873.04757804517</v>
      </c>
      <c r="J78" s="347">
        <f>IF(SUM($B$71:J71)+SUM($A$78:I78)&gt;0,0,SUM($B$71:J71)-SUM($A$78:I78))</f>
        <v>471404.86773632374</v>
      </c>
      <c r="K78" s="347">
        <f>IF(SUM($B$71:K71)+SUM($A$78:J78)&gt;0,0,SUM($B$71:K71)-SUM($A$78:J78))</f>
        <v>478211.02434124891</v>
      </c>
      <c r="L78" s="347">
        <f>IF(SUM($B$71:L71)+SUM($A$78:K78)&gt;0,0,SUM($B$71:L71)-SUM($A$78:K78))</f>
        <v>485303.03952358104</v>
      </c>
      <c r="M78" s="347">
        <f>IF(SUM($B$71:M71)+SUM($A$78:L78)&gt;0,0,SUM($B$71:M71)-SUM($A$78:L78))</f>
        <v>492692.91934357211</v>
      </c>
      <c r="N78" s="347">
        <f>IF(SUM($B$71:N71)+SUM($A$78:M78)&gt;0,0,SUM($B$71:N71)-SUM($A$78:M78))</f>
        <v>500393.17411600193</v>
      </c>
      <c r="O78" s="347">
        <f>IF(SUM($B$71:O71)+SUM($A$78:N78)&gt;0,0,SUM($B$71:O71)-SUM($A$78:N78))</f>
        <v>508416.83958887402</v>
      </c>
      <c r="P78" s="347">
        <f>IF(SUM($B$71:P71)+SUM($A$78:O78)&gt;0,0,SUM($B$71:P71)-SUM($A$78:O78))</f>
        <v>516777.49901160644</v>
      </c>
      <c r="Q78" s="347">
        <f>IF(SUM($B$71:Q71)+SUM($A$78:P78)&gt;0,0,SUM($B$71:Q71)-SUM($A$78:P78))</f>
        <v>525489.30613009399</v>
      </c>
      <c r="R78" s="347">
        <f>IF(SUM($B$71:R71)+SUM($A$78:Q78)&gt;0,0,SUM($B$71:R71)-SUM($A$78:Q78))</f>
        <v>534567.0091475579</v>
      </c>
      <c r="S78" s="347">
        <f>IF(SUM($B$71:S71)+SUM($A$78:R78)&gt;0,0,SUM($B$71:S71)-SUM($A$78:R78))</f>
        <v>544025.9756917553</v>
      </c>
      <c r="T78" s="347">
        <f>IF(SUM($B$71:T71)+SUM($A$78:S78)&gt;0,0,SUM($B$71:T71)-SUM($A$78:S78))</f>
        <v>553882.21883080911</v>
      </c>
      <c r="U78" s="347">
        <f>IF(SUM($B$71:U71)+SUM($A$78:T78)&gt;0,0,SUM($B$71:U71)-SUM($A$78:T78))</f>
        <v>564152.42418170313</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9" t="s">
        <v>304</v>
      </c>
      <c r="B79" s="347">
        <f>IF(((SUM($B$59:B59)+SUM($B$61:B64))+SUM($B$81:B81))&lt;0,((SUM($B$59:B59)+SUM($B$61:B64))+SUM($B$81:B81))*0.18-SUM($A$79:A79),IF(SUM(A$79:$B79)&lt;0,0-SUM(A$79:$B79),0))</f>
        <v>-8.9999994635581969E-3</v>
      </c>
      <c r="C79" s="347">
        <f>IF(((SUM($B$59:C59)+SUM($B$61:C64))+SUM($B$81:C81))&lt;0,((SUM($B$59:C59)+SUM($B$61:C64))+SUM($B$81:C81))*0.18-SUM($A$79:B79),IF(SUM($B$79:B79)&lt;0,0-SUM($B$79:B79),0))</f>
        <v>-109350.58833162009</v>
      </c>
      <c r="D79" s="347">
        <f>IF(((SUM($B$59:D59)+SUM($B$61:D64))+SUM($B$81:D81))&lt;0,((SUM($B$59:D59)+SUM($B$61:D64))+SUM($B$81:D81))*0.18-SUM($A$79:C79),IF(SUM($B$79:C79)&lt;0,0-SUM($B$79:C79),0))</f>
        <v>-113943.31304154708</v>
      </c>
      <c r="E79" s="347">
        <f>IF(((SUM($B$59:E59)+SUM($B$61:E64))+SUM($B$81:E81))&lt;0,((SUM($B$59:E59)+SUM($B$61:E64))+SUM($B$81:E81))*0.18-SUM($A$79:D79),IF(SUM($B$79:D79)&lt;0,0-SUM($B$79:D79),0))</f>
        <v>-118728.9321892923</v>
      </c>
      <c r="F79" s="347">
        <f>IF(((SUM($B$59:F59)+SUM($B$61:F64))+SUM($B$81:F81))&lt;0,((SUM($B$59:F59)+SUM($B$61:F64))+SUM($B$81:F81))*0.18-SUM($A$79:E79),IF(SUM($B$79:E79)&lt;0,0-SUM($B$79:E79),0))</f>
        <v>-123715.54734124301</v>
      </c>
      <c r="G79" s="347">
        <f>IF(((SUM($B$59:G59)+SUM($B$61:G64))+SUM($B$81:G81))&lt;0,((SUM($B$59:G59)+SUM($B$61:G64))+SUM($B$81:G81))*0.18-SUM($A$79:F79),IF(SUM($B$79:F79)&lt;0,0-SUM($B$79:F79),0))</f>
        <v>-128911.60032957455</v>
      </c>
      <c r="H79" s="347">
        <f>IF(((SUM($B$59:H59)+SUM($B$61:H64))+SUM($B$81:H81))&lt;0,((SUM($B$59:H59)+SUM($B$61:H64))+SUM($B$81:H81))*0.18-SUM($A$79:G79),IF(SUM($B$79:G79)&lt;0,0-SUM($B$79:G79),0))</f>
        <v>-134325.88754341763</v>
      </c>
      <c r="I79" s="347">
        <f>IF(((SUM($B$59:I59)+SUM($B$61:I64))+SUM($B$81:I81))&lt;0,((SUM($B$59:I59)+SUM($B$61:I64))+SUM($B$81:I81))*0.18-SUM($A$79:H79),IF(SUM($B$79:H79)&lt;0,0-SUM($B$79:H79),0))</f>
        <v>-139967.57482024084</v>
      </c>
      <c r="J79" s="347">
        <f>IF(((SUM($B$59:J59)+SUM($B$61:J64))+SUM($B$81:J81))&lt;0,((SUM($B$59:J59)+SUM($B$61:J64))+SUM($B$81:J81))*0.18-SUM($A$79:I79),IF(SUM($B$79:I79)&lt;0,0-SUM($B$79:I79),0))</f>
        <v>-145846.21296269062</v>
      </c>
      <c r="K79" s="347">
        <f>IF(((SUM($B$59:K59)+SUM($B$61:K64))+SUM($B$81:K81))&lt;0,((SUM($B$59:K59)+SUM($B$61:K64))+SUM($B$81:K81))*0.18-SUM($A$79:J79),IF(SUM($B$79:J79)&lt;0,0-SUM($B$79:J79),0))</f>
        <v>-151971.75390712416</v>
      </c>
      <c r="L79" s="347">
        <f>IF(((SUM($B$59:L59)+SUM($B$61:L64))+SUM($B$81:L81))&lt;0,((SUM($B$59:L59)+SUM($B$61:L64))+SUM($B$81:L81))*0.18-SUM($A$79:K79),IF(SUM($B$79:K79)&lt;0,0-SUM($B$79:K79),0))</f>
        <v>-158354.56757122371</v>
      </c>
      <c r="M79" s="347">
        <f>IF(((SUM($B$59:M59)+SUM($B$61:M64))+SUM($B$81:M81))&lt;0,((SUM($B$59:M59)+SUM($B$61:M64))+SUM($B$81:M81))*0.18-SUM($A$79:L79),IF(SUM($B$79:L79)&lt;0,0-SUM($B$79:L79),0))</f>
        <v>-165005.45940921409</v>
      </c>
      <c r="N79" s="347">
        <f>IF(((SUM($B$59:N59)+SUM($B$61:N64))+SUM($B$81:N81))&lt;0,((SUM($B$59:N59)+SUM($B$61:N64))+SUM($B$81:N81))*0.18-SUM($A$79:M79),IF(SUM($B$79:M79)&lt;0,0-SUM($B$79:M79),0))</f>
        <v>-171935.68870440149</v>
      </c>
      <c r="O79" s="347">
        <f>IF(((SUM($B$59:O59)+SUM($B$61:O64))+SUM($B$81:O81))&lt;0,((SUM($B$59:O59)+SUM($B$61:O64))+SUM($B$81:O81))*0.18-SUM($A$79:N79),IF(SUM($B$79:N79)&lt;0,0-SUM($B$79:N79),0))</f>
        <v>-179156.98762998683</v>
      </c>
      <c r="P79" s="347">
        <f>IF(((SUM($B$59:P59)+SUM($B$61:P64))+SUM($B$81:P81))&lt;0,((SUM($B$59:P59)+SUM($B$61:P64))+SUM($B$81:P81))*0.18-SUM($A$79:O79),IF(SUM($B$79:O79)&lt;0,0-SUM($B$79:O79),0))</f>
        <v>-186681.58111044508</v>
      </c>
      <c r="Q79" s="347">
        <f>IF(((SUM($B$59:Q59)+SUM($B$61:Q64))+SUM($B$81:Q81))&lt;0,((SUM($B$59:Q59)+SUM($B$61:Q64))+SUM($B$81:Q81))*0.18-SUM($A$79:P79),IF(SUM($B$79:P79)&lt;0,0-SUM($B$79:P79),0))</f>
        <v>-194522.20751708513</v>
      </c>
      <c r="R79" s="347">
        <f>IF(((SUM($B$59:R59)+SUM($B$61:R64))+SUM($B$81:R81))&lt;0,((SUM($B$59:R59)+SUM($B$61:R64))+SUM($B$81:R81))*0.18-SUM($A$79:Q79),IF(SUM($B$79:Q79)&lt;0,0-SUM($B$79:Q79),0))</f>
        <v>-202692.14023280144</v>
      </c>
      <c r="S79" s="347">
        <f>IF(((SUM($B$59:S59)+SUM($B$61:S64))+SUM($B$81:S81))&lt;0,((SUM($B$59:S59)+SUM($B$61:S64))+SUM($B$81:S81))*0.18-SUM($A$79:R79),IF(SUM($B$79:R79)&lt;0,0-SUM($B$79:R79),0))</f>
        <v>-211205.21012257924</v>
      </c>
      <c r="T79" s="347">
        <f>IF(((SUM($B$59:T59)+SUM($B$61:T64))+SUM($B$81:T81))&lt;0,((SUM($B$59:T59)+SUM($B$61:T64))+SUM($B$81:T81))*0.18-SUM($A$79:S79),IF(SUM($B$79:S79)&lt;0,0-SUM($B$79:S79),0))</f>
        <v>-220075.8289477285</v>
      </c>
      <c r="U79" s="347">
        <f>IF(((SUM($B$59:U59)+SUM($B$61:U64))+SUM($B$81:U81))&lt;0,((SUM($B$59:U59)+SUM($B$61:U64))+SUM($B$81:U81))*0.18-SUM($A$79:T79),IF(SUM($B$79:T79)&lt;0,0-SUM($B$79:T79),0))</f>
        <v>-229319.01376353297</v>
      </c>
      <c r="V79" s="347">
        <f>IF(((SUM($B$59:V59)+SUM($B$61:V64))+SUM($B$81:V81))&lt;0,((SUM($B$59:V59)+SUM($B$61:V64))+SUM($B$81:V81))*0.18-SUM($A$79:U79),IF(SUM($B$79:U79)&lt;0,0-SUM($B$79:U79),0))</f>
        <v>-238950.41234160122</v>
      </c>
      <c r="W79" s="347">
        <f>IF(((SUM($B$59:W59)+SUM($B$61:W64))+SUM($B$81:W81))&lt;0,((SUM($B$59:W59)+SUM($B$61:W64))+SUM($B$81:W81))*0.18-SUM($A$79:V79),IF(SUM($B$79:V79)&lt;0,0-SUM($B$79:V79),0))</f>
        <v>-248986.32965994766</v>
      </c>
      <c r="X79" s="347">
        <f>IF(((SUM($B$59:X59)+SUM($B$61:X64))+SUM($B$81:X81))&lt;0,((SUM($B$59:X59)+SUM($B$61:X64))+SUM($B$81:X81))*0.18-SUM($A$79:W79),IF(SUM($B$79:W79)&lt;0,0-SUM($B$79:W79),0))</f>
        <v>-259443.75550566614</v>
      </c>
      <c r="Y79" s="347">
        <f>IF(((SUM($B$59:Y59)+SUM($B$61:Y64))+SUM($B$81:Y81))&lt;0,((SUM($B$59:Y59)+SUM($B$61:Y64))+SUM($B$81:Y81))*0.18-SUM($A$79:X79),IF(SUM($B$79:X79)&lt;0,0-SUM($B$79:X79),0))</f>
        <v>-270340.39323690394</v>
      </c>
      <c r="Z79" s="347">
        <f>IF(((SUM($B$59:Z59)+SUM($B$61:Z64))+SUM($B$81:Z81))&lt;0,((SUM($B$59:Z59)+SUM($B$61:Z64))+SUM($B$81:Z81))*0.18-SUM($A$79:Y79),IF(SUM($B$79:Y79)&lt;0,0-SUM($B$79:Y79),0))</f>
        <v>-281694.68975285487</v>
      </c>
      <c r="AA79" s="347">
        <f>IF(((SUM($B$59:AA59)+SUM($B$61:AA64))+SUM($B$81:AA81))&lt;0,((SUM($B$59:AA59)+SUM($B$61:AA64))+SUM($B$81:AA81))*0.18-SUM($A$79:Z79),IF(SUM($B$79:Z79)&lt;0,0-SUM($B$79:Z79),0))</f>
        <v>-293525.86672247387</v>
      </c>
      <c r="AB79" s="347">
        <f>IF(((SUM($B$59:AB59)+SUM($B$61:AB64))+SUM($B$81:AB81))&lt;0,((SUM($B$59:AB59)+SUM($B$61:AB64))+SUM($B$81:AB81))*0.18-SUM($A$79:AA79),IF(SUM($B$79:AA79)&lt;0,0-SUM($B$79:AA79),0))</f>
        <v>-305853.95312481839</v>
      </c>
      <c r="AC79" s="347">
        <f>IF(((SUM($B$59:AC59)+SUM($B$61:AC64))+SUM($B$81:AC81))&lt;0,((SUM($B$59:AC59)+SUM($B$61:AC64))+SUM($B$81:AC81))*0.18-SUM($A$79:AB79),IF(SUM($B$79:AB79)&lt;0,0-SUM($B$79:AB79),0))</f>
        <v>-318699.81915606</v>
      </c>
      <c r="AD79" s="347">
        <f>IF(((SUM($B$59:AD59)+SUM($B$61:AD64))+SUM($B$81:AD81))&lt;0,((SUM($B$59:AD59)+SUM($B$61:AD64))+SUM($B$81:AD81))*0.18-SUM($A$79:AC79),IF(SUM($B$79:AC79)&lt;0,0-SUM($B$79:AC79),0))</f>
        <v>-332085.21156061534</v>
      </c>
      <c r="AE79" s="347">
        <f>IF(((SUM($B$59:AE59)+SUM($B$61:AE64))+SUM($B$81:AE81))&lt;0,((SUM($B$59:AE59)+SUM($B$61:AE64))+SUM($B$81:AE81))*0.18-SUM($A$79:AD79),IF(SUM($B$79:AD79)&lt;0,0-SUM($B$79:AD79),0))</f>
        <v>-346032.79044616036</v>
      </c>
      <c r="AF79" s="347">
        <f>IF(((SUM($B$59:AF59)+SUM($B$61:AF64))+SUM($B$81:AF81))&lt;0,((SUM($B$59:AF59)+SUM($B$61:AF64))+SUM($B$81:AF81))*0.18-SUM($A$79:AE79),IF(SUM($B$79:AE79)&lt;0,0-SUM($B$79:AE79),0))</f>
        <v>-360566.16764489934</v>
      </c>
      <c r="AG79" s="347">
        <f>IF(((SUM($B$59:AG59)+SUM($B$61:AG64))+SUM($B$81:AG81))&lt;0,((SUM($B$59:AG59)+SUM($B$61:AG64))+SUM($B$81:AG81))*0.18-SUM($A$79:AF79),IF(SUM($B$79:AF79)&lt;0,0-SUM($B$79:AF79),0))</f>
        <v>-375709.94668598566</v>
      </c>
      <c r="AH79" s="347">
        <f>IF(((SUM($B$59:AH59)+SUM($B$61:AH64))+SUM($B$81:AH81))&lt;0,((SUM($B$59:AH59)+SUM($B$61:AH64))+SUM($B$81:AH81))*0.18-SUM($A$79:AG79),IF(SUM($B$79:AG79)&lt;0,0-SUM($B$79:AG79),0))</f>
        <v>-391489.76444679685</v>
      </c>
      <c r="AI79" s="347">
        <f>IF(((SUM($B$59:AI59)+SUM($B$61:AI64))+SUM($B$81:AI81))&lt;0,((SUM($B$59:AI59)+SUM($B$61:AI64))+SUM($B$81:AI81))*0.18-SUM($A$79:AH79),IF(SUM($B$79:AH79)&lt;0,0-SUM($B$79:AH79),0))</f>
        <v>-407932.3345535621</v>
      </c>
      <c r="AJ79" s="347">
        <f>IF(((SUM($B$59:AJ59)+SUM($B$61:AJ64))+SUM($B$81:AJ81))&lt;0,((SUM($B$59:AJ59)+SUM($B$61:AJ64))+SUM($B$81:AJ81))*0.18-SUM($A$79:AI79),IF(SUM($B$79:AI79)&lt;0,0-SUM($B$79:AI79),0))</f>
        <v>-425065.49260481168</v>
      </c>
      <c r="AK79" s="347">
        <f>IF(((SUM($B$59:AK59)+SUM($B$61:AK64))+SUM($B$81:AK81))&lt;0,((SUM($B$59:AK59)+SUM($B$61:AK64))+SUM($B$81:AK81))*0.18-SUM($A$79:AJ79),IF(SUM($B$79:AJ79)&lt;0,0-SUM($B$79:AJ79),0))</f>
        <v>-442918.2432942139</v>
      </c>
      <c r="AL79" s="347">
        <f>IF(((SUM($B$59:AL59)+SUM($B$61:AL64))+SUM($B$81:AL81))&lt;0,((SUM($B$59:AL59)+SUM($B$61:AL64))+SUM($B$81:AL81))*0.18-SUM($A$79:AK79),IF(SUM($B$79:AK79)&lt;0,0-SUM($B$79:AK79),0))</f>
        <v>-461520.80951257143</v>
      </c>
      <c r="AM79" s="347">
        <f>IF(((SUM($B$59:AM59)+SUM($B$61:AM64))+SUM($B$81:AM81))&lt;0,((SUM($B$59:AM59)+SUM($B$61:AM64))+SUM($B$81:AM81))*0.18-SUM($A$79:AL79),IF(SUM($B$79:AL79)&lt;0,0-SUM($B$79:AL79),0))</f>
        <v>-480904.68351209909</v>
      </c>
      <c r="AN79" s="347">
        <f>IF(((SUM($B$59:AN59)+SUM($B$61:AN64))+SUM($B$81:AN81))&lt;0,((SUM($B$59:AN59)+SUM($B$61:AN64))+SUM($B$81:AN81))*0.18-SUM($A$79:AM79),IF(SUM($B$79:AM79)&lt;0,0-SUM($B$79:AM79),0))</f>
        <v>-501102.68021960743</v>
      </c>
      <c r="AO79" s="347">
        <f>IF(((SUM($B$59:AO59)+SUM($B$61:AO64))+SUM($B$81:AO81))&lt;0,((SUM($B$59:AO59)+SUM($B$61:AO64))+SUM($B$81:AO81))*0.18-SUM($A$79:AN79),IF(SUM($B$79:AN79)&lt;0,0-SUM($B$79:AN79),0))</f>
        <v>-522148.99278883077</v>
      </c>
      <c r="AP79" s="347">
        <f>IF(((SUM($B$59:AP59)+SUM($B$61:AP64))+SUM($B$81:AP81))&lt;0,((SUM($B$59:AP59)+SUM($B$61:AP64))+SUM($B$81:AP81))*0.18-SUM($A$79:AO79),IF(SUM($B$79:AO79)&lt;0,0-SUM($B$79:AO79),0))</f>
        <v>-544079.25048596039</v>
      </c>
    </row>
    <row r="80" spans="1:45" x14ac:dyDescent="0.2">
      <c r="A80" s="219" t="s">
        <v>303</v>
      </c>
      <c r="B80" s="347">
        <f>-B59*(B39)</f>
        <v>0</v>
      </c>
      <c r="C80" s="347">
        <f t="shared" ref="C80:AP80" si="26">-(C59-B59)*$B$39</f>
        <v>0</v>
      </c>
      <c r="D80" s="347">
        <f t="shared" si="26"/>
        <v>0</v>
      </c>
      <c r="E80" s="347">
        <f t="shared" si="26"/>
        <v>0</v>
      </c>
      <c r="F80" s="347">
        <f t="shared" si="26"/>
        <v>0</v>
      </c>
      <c r="G80" s="347">
        <f t="shared" si="26"/>
        <v>0</v>
      </c>
      <c r="H80" s="347">
        <f t="shared" si="26"/>
        <v>0</v>
      </c>
      <c r="I80" s="347">
        <f t="shared" si="26"/>
        <v>0</v>
      </c>
      <c r="J80" s="347">
        <f t="shared" si="26"/>
        <v>0</v>
      </c>
      <c r="K80" s="347">
        <f t="shared" si="26"/>
        <v>0</v>
      </c>
      <c r="L80" s="347">
        <f t="shared" si="26"/>
        <v>0</v>
      </c>
      <c r="M80" s="347">
        <f t="shared" si="26"/>
        <v>0</v>
      </c>
      <c r="N80" s="347">
        <f t="shared" si="26"/>
        <v>0</v>
      </c>
      <c r="O80" s="347">
        <f t="shared" si="26"/>
        <v>0</v>
      </c>
      <c r="P80" s="347">
        <f t="shared" si="26"/>
        <v>0</v>
      </c>
      <c r="Q80" s="347">
        <f t="shared" si="26"/>
        <v>0</v>
      </c>
      <c r="R80" s="347">
        <f t="shared" si="26"/>
        <v>0</v>
      </c>
      <c r="S80" s="347">
        <f t="shared" si="26"/>
        <v>0</v>
      </c>
      <c r="T80" s="347">
        <f t="shared" si="26"/>
        <v>0</v>
      </c>
      <c r="U80" s="347">
        <f t="shared" si="26"/>
        <v>0</v>
      </c>
      <c r="V80" s="347">
        <f t="shared" si="26"/>
        <v>0</v>
      </c>
      <c r="W80" s="347">
        <f t="shared" si="26"/>
        <v>0</v>
      </c>
      <c r="X80" s="347">
        <f t="shared" si="26"/>
        <v>0</v>
      </c>
      <c r="Y80" s="347">
        <f t="shared" si="26"/>
        <v>0</v>
      </c>
      <c r="Z80" s="347">
        <f t="shared" si="26"/>
        <v>0</v>
      </c>
      <c r="AA80" s="347">
        <f t="shared" si="26"/>
        <v>0</v>
      </c>
      <c r="AB80" s="347">
        <f t="shared" si="26"/>
        <v>0</v>
      </c>
      <c r="AC80" s="347">
        <f t="shared" si="26"/>
        <v>0</v>
      </c>
      <c r="AD80" s="347">
        <f t="shared" si="26"/>
        <v>0</v>
      </c>
      <c r="AE80" s="347">
        <f t="shared" si="26"/>
        <v>0</v>
      </c>
      <c r="AF80" s="347">
        <f t="shared" si="26"/>
        <v>0</v>
      </c>
      <c r="AG80" s="347">
        <f t="shared" si="26"/>
        <v>0</v>
      </c>
      <c r="AH80" s="347">
        <f t="shared" si="26"/>
        <v>0</v>
      </c>
      <c r="AI80" s="347">
        <f t="shared" si="26"/>
        <v>0</v>
      </c>
      <c r="AJ80" s="347">
        <f t="shared" si="26"/>
        <v>0</v>
      </c>
      <c r="AK80" s="347">
        <f t="shared" si="26"/>
        <v>0</v>
      </c>
      <c r="AL80" s="347">
        <f t="shared" si="26"/>
        <v>0</v>
      </c>
      <c r="AM80" s="347">
        <f t="shared" si="26"/>
        <v>0</v>
      </c>
      <c r="AN80" s="347">
        <f t="shared" si="26"/>
        <v>0</v>
      </c>
      <c r="AO80" s="347">
        <f t="shared" si="26"/>
        <v>0</v>
      </c>
      <c r="AP80" s="347">
        <f t="shared" si="26"/>
        <v>0</v>
      </c>
    </row>
    <row r="81" spans="1:45" x14ac:dyDescent="0.2">
      <c r="A81" s="219" t="s">
        <v>540</v>
      </c>
      <c r="B81" s="347">
        <f>-$B$126</f>
        <v>-47189520.000000007</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2">
        <f>SUM(B81:AP81)</f>
        <v>-47189520.000000007</v>
      </c>
      <c r="AR81" s="223"/>
    </row>
    <row r="82" spans="1:45" x14ac:dyDescent="0.2">
      <c r="A82" s="219" t="s">
        <v>302</v>
      </c>
      <c r="B82" s="347">
        <f t="shared" ref="B82:AO82" si="27">B54-B55</f>
        <v>0</v>
      </c>
      <c r="C82" s="347">
        <f t="shared" si="27"/>
        <v>0</v>
      </c>
      <c r="D82" s="347">
        <f t="shared" si="27"/>
        <v>0</v>
      </c>
      <c r="E82" s="347">
        <f t="shared" si="27"/>
        <v>0</v>
      </c>
      <c r="F82" s="347">
        <f t="shared" si="27"/>
        <v>0</v>
      </c>
      <c r="G82" s="347">
        <f t="shared" si="27"/>
        <v>0</v>
      </c>
      <c r="H82" s="347">
        <f t="shared" si="27"/>
        <v>0</v>
      </c>
      <c r="I82" s="347">
        <f t="shared" si="27"/>
        <v>0</v>
      </c>
      <c r="J82" s="347">
        <f t="shared" si="27"/>
        <v>0</v>
      </c>
      <c r="K82" s="347">
        <f t="shared" si="27"/>
        <v>0</v>
      </c>
      <c r="L82" s="347">
        <f t="shared" si="27"/>
        <v>0</v>
      </c>
      <c r="M82" s="347">
        <f t="shared" si="27"/>
        <v>0</v>
      </c>
      <c r="N82" s="347">
        <f t="shared" si="27"/>
        <v>0</v>
      </c>
      <c r="O82" s="347">
        <f t="shared" si="27"/>
        <v>0</v>
      </c>
      <c r="P82" s="347">
        <f t="shared" si="27"/>
        <v>0</v>
      </c>
      <c r="Q82" s="347">
        <f t="shared" si="27"/>
        <v>0</v>
      </c>
      <c r="R82" s="347">
        <f t="shared" si="27"/>
        <v>0</v>
      </c>
      <c r="S82" s="347">
        <f t="shared" si="27"/>
        <v>0</v>
      </c>
      <c r="T82" s="347">
        <f t="shared" si="27"/>
        <v>0</v>
      </c>
      <c r="U82" s="347">
        <f t="shared" si="27"/>
        <v>0</v>
      </c>
      <c r="V82" s="347">
        <f t="shared" si="27"/>
        <v>0</v>
      </c>
      <c r="W82" s="347">
        <f t="shared" si="27"/>
        <v>0</v>
      </c>
      <c r="X82" s="347">
        <f t="shared" si="27"/>
        <v>0</v>
      </c>
      <c r="Y82" s="347">
        <f t="shared" si="27"/>
        <v>0</v>
      </c>
      <c r="Z82" s="347">
        <f t="shared" si="27"/>
        <v>0</v>
      </c>
      <c r="AA82" s="347">
        <f t="shared" si="27"/>
        <v>0</v>
      </c>
      <c r="AB82" s="347">
        <f t="shared" si="27"/>
        <v>0</v>
      </c>
      <c r="AC82" s="347">
        <f t="shared" si="27"/>
        <v>0</v>
      </c>
      <c r="AD82" s="347">
        <f t="shared" si="27"/>
        <v>0</v>
      </c>
      <c r="AE82" s="347">
        <f t="shared" si="27"/>
        <v>0</v>
      </c>
      <c r="AF82" s="347">
        <f t="shared" si="27"/>
        <v>0</v>
      </c>
      <c r="AG82" s="347">
        <f t="shared" si="27"/>
        <v>0</v>
      </c>
      <c r="AH82" s="347">
        <f t="shared" si="27"/>
        <v>0</v>
      </c>
      <c r="AI82" s="347">
        <f t="shared" si="27"/>
        <v>0</v>
      </c>
      <c r="AJ82" s="347">
        <f t="shared" si="27"/>
        <v>0</v>
      </c>
      <c r="AK82" s="347">
        <f t="shared" si="27"/>
        <v>0</v>
      </c>
      <c r="AL82" s="347">
        <f t="shared" si="27"/>
        <v>0</v>
      </c>
      <c r="AM82" s="347">
        <f t="shared" si="27"/>
        <v>0</v>
      </c>
      <c r="AN82" s="347">
        <f t="shared" si="27"/>
        <v>0</v>
      </c>
      <c r="AO82" s="347">
        <f t="shared" si="27"/>
        <v>0</v>
      </c>
      <c r="AP82" s="347">
        <f>AP54-AP55</f>
        <v>0</v>
      </c>
    </row>
    <row r="83" spans="1:45" ht="14.25" x14ac:dyDescent="0.2">
      <c r="A83" s="220" t="s">
        <v>301</v>
      </c>
      <c r="B83" s="348">
        <f>SUM(B75:B82)</f>
        <v>-9437904.048999995</v>
      </c>
      <c r="C83" s="348">
        <f t="shared" ref="C83:V83" si="28">SUM(C75:C82)</f>
        <v>-285999.6831388172</v>
      </c>
      <c r="D83" s="348">
        <f t="shared" si="28"/>
        <v>-311004.51767064678</v>
      </c>
      <c r="E83" s="348">
        <f t="shared" si="28"/>
        <v>-337059.5552528149</v>
      </c>
      <c r="F83" s="348">
        <f t="shared" si="28"/>
        <v>-364208.90441343363</v>
      </c>
      <c r="G83" s="348">
        <f t="shared" si="28"/>
        <v>-392498.52623879688</v>
      </c>
      <c r="H83" s="348">
        <f t="shared" si="28"/>
        <v>-421976.31218082772</v>
      </c>
      <c r="I83" s="348">
        <f t="shared" si="28"/>
        <v>-452692.16513242212</v>
      </c>
      <c r="J83" s="348">
        <f t="shared" si="28"/>
        <v>-484698.08390798292</v>
      </c>
      <c r="K83" s="348">
        <f t="shared" si="28"/>
        <v>-518048.25127211947</v>
      </c>
      <c r="L83" s="348">
        <f t="shared" si="28"/>
        <v>-552799.12566554896</v>
      </c>
      <c r="M83" s="348">
        <f t="shared" si="28"/>
        <v>-589009.53678350034</v>
      </c>
      <c r="N83" s="348">
        <f t="shared" si="28"/>
        <v>-626740.78516840795</v>
      </c>
      <c r="O83" s="348">
        <f t="shared" si="28"/>
        <v>-666056.74598548166</v>
      </c>
      <c r="P83" s="348">
        <f t="shared" si="28"/>
        <v>-707023.977156871</v>
      </c>
      <c r="Q83" s="348">
        <f t="shared" si="28"/>
        <v>-749711.83203746076</v>
      </c>
      <c r="R83" s="348">
        <f t="shared" si="28"/>
        <v>-794192.57682303316</v>
      </c>
      <c r="S83" s="348">
        <f t="shared" si="28"/>
        <v>-840541.51288960013</v>
      </c>
      <c r="T83" s="348">
        <f t="shared" si="28"/>
        <v>-888837.10427096451</v>
      </c>
      <c r="U83" s="348">
        <f t="shared" si="28"/>
        <v>-939161.11049034505</v>
      </c>
      <c r="V83" s="348">
        <f t="shared" si="28"/>
        <v>-1566452.7031282738</v>
      </c>
      <c r="W83" s="348">
        <f>SUM(W75:W82)</f>
        <v>-1632243.7166596607</v>
      </c>
      <c r="X83" s="348">
        <f>SUM(X75:X82)</f>
        <v>-1700797.9527593676</v>
      </c>
      <c r="Y83" s="348">
        <f>SUM(Y75:Y82)</f>
        <v>-1772231.4667752606</v>
      </c>
      <c r="Z83" s="348">
        <f>SUM(Z75:Z82)</f>
        <v>-1846665.188379823</v>
      </c>
      <c r="AA83" s="348">
        <f t="shared" ref="AA83:AP83" si="29">SUM(AA75:AA82)</f>
        <v>-1924225.1262917744</v>
      </c>
      <c r="AB83" s="348">
        <f t="shared" si="29"/>
        <v>-2005042.5815960302</v>
      </c>
      <c r="AC83" s="348">
        <f t="shared" si="29"/>
        <v>-2089254.3700230627</v>
      </c>
      <c r="AD83" s="348">
        <f t="shared" si="29"/>
        <v>-2177003.0535640316</v>
      </c>
      <c r="AE83" s="348">
        <f t="shared" si="29"/>
        <v>-2268437.1818137206</v>
      </c>
      <c r="AF83" s="348">
        <f t="shared" si="29"/>
        <v>-2363711.5434498964</v>
      </c>
      <c r="AG83" s="348">
        <f t="shared" si="29"/>
        <v>-2462987.4282747926</v>
      </c>
      <c r="AH83" s="348">
        <f t="shared" si="29"/>
        <v>-2566432.9002623335</v>
      </c>
      <c r="AI83" s="348">
        <f t="shared" si="29"/>
        <v>-2674223.0820733514</v>
      </c>
      <c r="AJ83" s="348">
        <f t="shared" si="29"/>
        <v>-2786540.4515204327</v>
      </c>
      <c r="AK83" s="348">
        <f t="shared" si="29"/>
        <v>-2903575.1504842909</v>
      </c>
      <c r="AL83" s="348">
        <f t="shared" si="29"/>
        <v>-3025525.3068046318</v>
      </c>
      <c r="AM83" s="348">
        <f t="shared" si="29"/>
        <v>-3152597.3696904266</v>
      </c>
      <c r="AN83" s="348">
        <f t="shared" si="29"/>
        <v>-3285006.4592174245</v>
      </c>
      <c r="AO83" s="348">
        <f t="shared" si="29"/>
        <v>-3422976.7305045566</v>
      </c>
      <c r="AP83" s="348">
        <f t="shared" si="29"/>
        <v>-3566741.7531857472</v>
      </c>
    </row>
    <row r="84" spans="1:45" ht="14.25" x14ac:dyDescent="0.2">
      <c r="A84" s="220" t="s">
        <v>300</v>
      </c>
      <c r="B84" s="348">
        <f>SUM($B$83:B83)</f>
        <v>-9437904.048999995</v>
      </c>
      <c r="C84" s="348">
        <f>SUM($B$83:C83)</f>
        <v>-9723903.7321388125</v>
      </c>
      <c r="D84" s="348">
        <f>SUM($B$83:D83)</f>
        <v>-10034908.249809459</v>
      </c>
      <c r="E84" s="348">
        <f>SUM($B$83:E83)</f>
        <v>-10371967.805062274</v>
      </c>
      <c r="F84" s="348">
        <f>SUM($B$83:F83)</f>
        <v>-10736176.709475707</v>
      </c>
      <c r="G84" s="348">
        <f>SUM($B$83:G83)</f>
        <v>-11128675.235714504</v>
      </c>
      <c r="H84" s="348">
        <f>SUM($B$83:H83)</f>
        <v>-11550651.547895333</v>
      </c>
      <c r="I84" s="348">
        <f>SUM($B$83:I83)</f>
        <v>-12003343.713027755</v>
      </c>
      <c r="J84" s="348">
        <f>SUM($B$83:J83)</f>
        <v>-12488041.796935737</v>
      </c>
      <c r="K84" s="348">
        <f>SUM($B$83:K83)</f>
        <v>-13006090.048207857</v>
      </c>
      <c r="L84" s="348">
        <f>SUM($B$83:L83)</f>
        <v>-13558889.173873406</v>
      </c>
      <c r="M84" s="348">
        <f>SUM($B$83:M83)</f>
        <v>-14147898.710656906</v>
      </c>
      <c r="N84" s="348">
        <f>SUM($B$83:N83)</f>
        <v>-14774639.495825313</v>
      </c>
      <c r="O84" s="348">
        <f>SUM($B$83:O83)</f>
        <v>-15440696.241810795</v>
      </c>
      <c r="P84" s="348">
        <f>SUM($B$83:P83)</f>
        <v>-16147720.218967665</v>
      </c>
      <c r="Q84" s="348">
        <f>SUM($B$83:Q83)</f>
        <v>-16897432.051005125</v>
      </c>
      <c r="R84" s="348">
        <f>SUM($B$83:R83)</f>
        <v>-17691624.627828158</v>
      </c>
      <c r="S84" s="348">
        <f>SUM($B$83:S83)</f>
        <v>-18532166.14071776</v>
      </c>
      <c r="T84" s="348">
        <f>SUM($B$83:T83)</f>
        <v>-19421003.244988725</v>
      </c>
      <c r="U84" s="348">
        <f>SUM($B$83:U83)</f>
        <v>-20360164.355479069</v>
      </c>
      <c r="V84" s="348">
        <f>SUM($B$83:V83)</f>
        <v>-21926617.058607344</v>
      </c>
      <c r="W84" s="348">
        <f>SUM($B$83:W83)</f>
        <v>-23558860.775267005</v>
      </c>
      <c r="X84" s="348">
        <f>SUM($B$83:X83)</f>
        <v>-25259658.728026371</v>
      </c>
      <c r="Y84" s="348">
        <f>SUM($B$83:Y83)</f>
        <v>-27031890.194801632</v>
      </c>
      <c r="Z84" s="348">
        <f>SUM($B$83:Z83)</f>
        <v>-28878555.383181456</v>
      </c>
      <c r="AA84" s="348">
        <f>SUM($B$83:AA83)</f>
        <v>-30802780.509473231</v>
      </c>
      <c r="AB84" s="348">
        <f>SUM($B$83:AB83)</f>
        <v>-32807823.091069262</v>
      </c>
      <c r="AC84" s="348">
        <f>SUM($B$83:AC83)</f>
        <v>-34897077.461092323</v>
      </c>
      <c r="AD84" s="348">
        <f>SUM($B$83:AD83)</f>
        <v>-37074080.514656357</v>
      </c>
      <c r="AE84" s="348">
        <f>SUM($B$83:AE83)</f>
        <v>-39342517.696470082</v>
      </c>
      <c r="AF84" s="348">
        <f>SUM($B$83:AF83)</f>
        <v>-41706229.239919975</v>
      </c>
      <c r="AG84" s="348">
        <f>SUM($B$83:AG83)</f>
        <v>-44169216.668194771</v>
      </c>
      <c r="AH84" s="348">
        <f>SUM($B$83:AH83)</f>
        <v>-46735649.568457104</v>
      </c>
      <c r="AI84" s="348">
        <f>SUM($B$83:AI83)</f>
        <v>-49409872.650530457</v>
      </c>
      <c r="AJ84" s="348">
        <f>SUM($B$83:AJ83)</f>
        <v>-52196413.102050893</v>
      </c>
      <c r="AK84" s="348">
        <f>SUM($B$83:AK83)</f>
        <v>-55099988.252535187</v>
      </c>
      <c r="AL84" s="348">
        <f>SUM($B$83:AL83)</f>
        <v>-58125513.559339821</v>
      </c>
      <c r="AM84" s="348">
        <f>SUM($B$83:AM83)</f>
        <v>-61278110.929030247</v>
      </c>
      <c r="AN84" s="348">
        <f>SUM($B$83:AN83)</f>
        <v>-64563117.388247669</v>
      </c>
      <c r="AO84" s="348">
        <f>SUM($B$83:AO83)</f>
        <v>-67986094.118752226</v>
      </c>
      <c r="AP84" s="348">
        <f>SUM($B$83:AP83)</f>
        <v>-71552835.871937975</v>
      </c>
    </row>
    <row r="85" spans="1:45" x14ac:dyDescent="0.2">
      <c r="A85" s="219" t="s">
        <v>541</v>
      </c>
      <c r="B85" s="349">
        <f t="shared" ref="B85:AP85" si="30">1/POWER((1+$B$44),B73)</f>
        <v>0.35856776317520883</v>
      </c>
      <c r="C85" s="349">
        <f t="shared" si="30"/>
        <v>0.29756660844415667</v>
      </c>
      <c r="D85" s="349">
        <f t="shared" si="30"/>
        <v>0.24694324352212174</v>
      </c>
      <c r="E85" s="349">
        <f t="shared" si="30"/>
        <v>0.20493215230051592</v>
      </c>
      <c r="F85" s="349">
        <f t="shared" si="30"/>
        <v>0.1700681761830008</v>
      </c>
      <c r="G85" s="349">
        <f t="shared" si="30"/>
        <v>0.14113541591950271</v>
      </c>
      <c r="H85" s="349">
        <f t="shared" si="30"/>
        <v>0.11712482648921385</v>
      </c>
      <c r="I85" s="349">
        <f t="shared" si="30"/>
        <v>9.719902613212765E-2</v>
      </c>
      <c r="J85" s="349">
        <f t="shared" si="30"/>
        <v>8.0663092225832109E-2</v>
      </c>
      <c r="K85" s="349">
        <f t="shared" si="30"/>
        <v>6.6940325498615838E-2</v>
      </c>
      <c r="L85" s="349">
        <f t="shared" si="30"/>
        <v>5.5552137343249659E-2</v>
      </c>
      <c r="M85" s="349">
        <f t="shared" si="30"/>
        <v>4.6101358791078552E-2</v>
      </c>
      <c r="N85" s="349">
        <f t="shared" si="30"/>
        <v>3.825838903823945E-2</v>
      </c>
      <c r="O85" s="349">
        <f t="shared" si="30"/>
        <v>3.174970044667174E-2</v>
      </c>
      <c r="P85" s="349">
        <f t="shared" si="30"/>
        <v>2.6348299125868668E-2</v>
      </c>
      <c r="Q85" s="349">
        <f t="shared" si="30"/>
        <v>2.1865808403210511E-2</v>
      </c>
      <c r="R85" s="349">
        <f t="shared" si="30"/>
        <v>1.814589908980126E-2</v>
      </c>
      <c r="S85" s="349">
        <f t="shared" si="30"/>
        <v>1.5058837418922204E-2</v>
      </c>
      <c r="T85" s="349">
        <f t="shared" si="30"/>
        <v>1.2496960513628384E-2</v>
      </c>
      <c r="U85" s="349">
        <f t="shared" si="30"/>
        <v>1.0370921588073345E-2</v>
      </c>
      <c r="V85" s="349">
        <f t="shared" si="30"/>
        <v>8.6065739320110735E-3</v>
      </c>
      <c r="W85" s="349">
        <f t="shared" si="30"/>
        <v>7.1423850058183183E-3</v>
      </c>
      <c r="X85" s="349">
        <f t="shared" si="30"/>
        <v>5.9272904612600145E-3</v>
      </c>
      <c r="Y85" s="349">
        <f t="shared" si="30"/>
        <v>4.9189132458589318E-3</v>
      </c>
      <c r="Z85" s="349">
        <f t="shared" si="30"/>
        <v>4.082085681210732E-3</v>
      </c>
      <c r="AA85" s="349">
        <f t="shared" si="30"/>
        <v>3.3876229719591129E-3</v>
      </c>
      <c r="AB85" s="349">
        <f t="shared" si="30"/>
        <v>2.8113053709204251E-3</v>
      </c>
      <c r="AC85" s="349">
        <f t="shared" si="30"/>
        <v>2.3330335028385286E-3</v>
      </c>
      <c r="AD85" s="349">
        <f t="shared" si="30"/>
        <v>1.9361273882477412E-3</v>
      </c>
      <c r="AE85" s="349">
        <f t="shared" si="30"/>
        <v>1.6067447205375444E-3</v>
      </c>
      <c r="AF85" s="349">
        <f t="shared" si="30"/>
        <v>1.3333981083299121E-3</v>
      </c>
      <c r="AG85" s="349">
        <f t="shared" si="30"/>
        <v>1.1065544467468149E-3</v>
      </c>
      <c r="AH85" s="349">
        <f t="shared" si="30"/>
        <v>9.1830244543304122E-4</v>
      </c>
      <c r="AI85" s="349">
        <f t="shared" si="30"/>
        <v>7.6207671820169396E-4</v>
      </c>
      <c r="AJ85" s="349">
        <f t="shared" si="30"/>
        <v>6.3242881178563804E-4</v>
      </c>
      <c r="AK85" s="349">
        <f t="shared" si="30"/>
        <v>5.2483718820384888E-4</v>
      </c>
      <c r="AL85" s="349">
        <f t="shared" si="30"/>
        <v>4.3554953377912764E-4</v>
      </c>
      <c r="AM85" s="349">
        <f t="shared" si="30"/>
        <v>3.6145189525238806E-4</v>
      </c>
      <c r="AN85" s="349">
        <f t="shared" si="30"/>
        <v>2.9996007904762516E-4</v>
      </c>
      <c r="AO85" s="349">
        <f t="shared" si="30"/>
        <v>2.4892952618060153E-4</v>
      </c>
      <c r="AP85" s="349">
        <f t="shared" si="30"/>
        <v>2.0658051965195164E-4</v>
      </c>
    </row>
    <row r="86" spans="1:45" ht="28.5" x14ac:dyDescent="0.2">
      <c r="A86" s="218" t="s">
        <v>299</v>
      </c>
      <c r="B86" s="348">
        <f>B83*B85</f>
        <v>-3384128.1439121747</v>
      </c>
      <c r="C86" s="348">
        <f>C83*C85</f>
        <v>-85103.955727721288</v>
      </c>
      <c r="D86" s="348">
        <f t="shared" ref="D86:AO86" si="31">D83*D85</f>
        <v>-76800.464343622545</v>
      </c>
      <c r="E86" s="348">
        <f t="shared" si="31"/>
        <v>-69074.340111414029</v>
      </c>
      <c r="F86" s="348">
        <f t="shared" si="31"/>
        <v>-61940.344123201525</v>
      </c>
      <c r="G86" s="348">
        <f t="shared" si="31"/>
        <v>-55395.442748504443</v>
      </c>
      <c r="H86" s="348">
        <f t="shared" si="31"/>
        <v>-49423.902346737785</v>
      </c>
      <c r="I86" s="348">
        <f t="shared" si="31"/>
        <v>-44001.237588515745</v>
      </c>
      <c r="J86" s="348">
        <f t="shared" si="31"/>
        <v>-39097.246243953734</v>
      </c>
      <c r="K86" s="348">
        <f t="shared" si="31"/>
        <v>-34678.318564144407</v>
      </c>
      <c r="L86" s="348">
        <f t="shared" si="31"/>
        <v>-30709.172952200905</v>
      </c>
      <c r="M86" s="348">
        <f t="shared" si="31"/>
        <v>-27154.13998662313</v>
      </c>
      <c r="N86" s="348">
        <f t="shared" si="31"/>
        <v>-23978.092785104604</v>
      </c>
      <c r="O86" s="348">
        <f t="shared" si="31"/>
        <v>-21147.102165523971</v>
      </c>
      <c r="P86" s="348">
        <f t="shared" si="31"/>
        <v>-18628.879239290574</v>
      </c>
      <c r="Q86" s="348">
        <f t="shared" si="31"/>
        <v>-16393.055276951058</v>
      </c>
      <c r="R86" s="348">
        <f t="shared" si="31"/>
        <v>-14411.338356899994</v>
      </c>
      <c r="S86" s="348">
        <f t="shared" si="31"/>
        <v>-12657.577986459391</v>
      </c>
      <c r="T86" s="348">
        <f t="shared" si="31"/>
        <v>-11107.762195122039</v>
      </c>
      <c r="U86" s="348">
        <f t="shared" si="31"/>
        <v>-9739.9662354632565</v>
      </c>
      <c r="V86" s="348">
        <f t="shared" si="31"/>
        <v>-13481.791000472083</v>
      </c>
      <c r="W86" s="348">
        <f t="shared" si="31"/>
        <v>-11658.113047711124</v>
      </c>
      <c r="X86" s="348">
        <f t="shared" si="31"/>
        <v>-10081.12348192116</v>
      </c>
      <c r="Y86" s="348">
        <f t="shared" si="31"/>
        <v>-8717.4528366488321</v>
      </c>
      <c r="Z86" s="348">
        <f t="shared" si="31"/>
        <v>-7538.2455234755944</v>
      </c>
      <c r="AA86" s="348">
        <f t="shared" si="31"/>
        <v>-6518.5492410469406</v>
      </c>
      <c r="AB86" s="348">
        <f t="shared" si="31"/>
        <v>-5636.7869785650746</v>
      </c>
      <c r="AC86" s="348">
        <f t="shared" si="31"/>
        <v>-4874.3004412156097</v>
      </c>
      <c r="AD86" s="348">
        <f t="shared" si="31"/>
        <v>-4214.9552363042858</v>
      </c>
      <c r="AE86" s="348">
        <f t="shared" si="31"/>
        <v>-3644.7994657502613</v>
      </c>
      <c r="AF86" s="348">
        <f t="shared" si="31"/>
        <v>-3151.7685006736688</v>
      </c>
      <c r="AG86" s="348">
        <f t="shared" si="31"/>
        <v>-2725.4296910389735</v>
      </c>
      <c r="AH86" s="348">
        <f t="shared" si="31"/>
        <v>-2356.7616083507132</v>
      </c>
      <c r="AI86" s="348">
        <f t="shared" si="31"/>
        <v>-2037.9631501256788</v>
      </c>
      <c r="AJ86" s="348">
        <f t="shared" si="31"/>
        <v>-1762.2884667476826</v>
      </c>
      <c r="AK86" s="348">
        <f t="shared" si="31"/>
        <v>-1523.9042177187425</v>
      </c>
      <c r="AL86" s="348">
        <f t="shared" si="31"/>
        <v>-1317.7661368157096</v>
      </c>
      <c r="AM86" s="348">
        <f t="shared" si="31"/>
        <v>-1139.5122942422981</v>
      </c>
      <c r="AN86" s="348">
        <f t="shared" si="31"/>
        <v>-985.37079717881784</v>
      </c>
      <c r="AO86" s="348">
        <f t="shared" si="31"/>
        <v>-852.07997565172388</v>
      </c>
      <c r="AP86" s="348">
        <f>AP83*AP85</f>
        <v>-736.8193648374247</v>
      </c>
    </row>
    <row r="87" spans="1:45" ht="14.25" x14ac:dyDescent="0.2">
      <c r="A87" s="218" t="s">
        <v>298</v>
      </c>
      <c r="B87" s="348">
        <f>SUM($B$86:B86)</f>
        <v>-3384128.1439121747</v>
      </c>
      <c r="C87" s="348">
        <f>SUM($B$86:C86)</f>
        <v>-3469232.0996398958</v>
      </c>
      <c r="D87" s="348">
        <f>SUM($B$86:D86)</f>
        <v>-3546032.5639835182</v>
      </c>
      <c r="E87" s="348">
        <f>SUM($B$86:E86)</f>
        <v>-3615106.9040949321</v>
      </c>
      <c r="F87" s="348">
        <f>SUM($B$86:F86)</f>
        <v>-3677047.2482181336</v>
      </c>
      <c r="G87" s="348">
        <f>SUM($B$86:G86)</f>
        <v>-3732442.6909666378</v>
      </c>
      <c r="H87" s="348">
        <f>SUM($B$86:H86)</f>
        <v>-3781866.5933133755</v>
      </c>
      <c r="I87" s="348">
        <f>SUM($B$86:I86)</f>
        <v>-3825867.8309018915</v>
      </c>
      <c r="J87" s="348">
        <f>SUM($B$86:J86)</f>
        <v>-3864965.0771458452</v>
      </c>
      <c r="K87" s="348">
        <f>SUM($B$86:K86)</f>
        <v>-3899643.3957099896</v>
      </c>
      <c r="L87" s="348">
        <f>SUM($B$86:L86)</f>
        <v>-3930352.5686621903</v>
      </c>
      <c r="M87" s="348">
        <f>SUM($B$86:M86)</f>
        <v>-3957506.7086488134</v>
      </c>
      <c r="N87" s="348">
        <f>SUM($B$86:N86)</f>
        <v>-3981484.8014339181</v>
      </c>
      <c r="O87" s="348">
        <f>SUM($B$86:O86)</f>
        <v>-4002631.903599442</v>
      </c>
      <c r="P87" s="348">
        <f>SUM($B$86:P86)</f>
        <v>-4021260.7828387325</v>
      </c>
      <c r="Q87" s="348">
        <f>SUM($B$86:Q86)</f>
        <v>-4037653.8381156838</v>
      </c>
      <c r="R87" s="348">
        <f>SUM($B$86:R86)</f>
        <v>-4052065.1764725838</v>
      </c>
      <c r="S87" s="348">
        <f>SUM($B$86:S86)</f>
        <v>-4064722.754459043</v>
      </c>
      <c r="T87" s="348">
        <f>SUM($B$86:T86)</f>
        <v>-4075830.516654165</v>
      </c>
      <c r="U87" s="348">
        <f>SUM($B$86:U86)</f>
        <v>-4085570.482889628</v>
      </c>
      <c r="V87" s="348">
        <f>SUM($B$86:V86)</f>
        <v>-4099052.2738901</v>
      </c>
      <c r="W87" s="348">
        <f>SUM($B$86:W86)</f>
        <v>-4110710.386937811</v>
      </c>
      <c r="X87" s="348">
        <f>SUM($B$86:X86)</f>
        <v>-4120791.5104197324</v>
      </c>
      <c r="Y87" s="348">
        <f>SUM($B$86:Y86)</f>
        <v>-4129508.9632563815</v>
      </c>
      <c r="Z87" s="348">
        <f>SUM($B$86:Z86)</f>
        <v>-4137047.208779857</v>
      </c>
      <c r="AA87" s="348">
        <f>SUM($B$86:AA86)</f>
        <v>-4143565.7580209039</v>
      </c>
      <c r="AB87" s="348">
        <f>SUM($B$86:AB86)</f>
        <v>-4149202.5449994691</v>
      </c>
      <c r="AC87" s="348">
        <f>SUM($B$86:AC86)</f>
        <v>-4154076.8454406848</v>
      </c>
      <c r="AD87" s="348">
        <f>SUM($B$86:AD86)</f>
        <v>-4158291.8006769889</v>
      </c>
      <c r="AE87" s="348">
        <f>SUM($B$86:AE86)</f>
        <v>-4161936.6001427392</v>
      </c>
      <c r="AF87" s="348">
        <f>SUM($B$86:AF86)</f>
        <v>-4165088.3686434128</v>
      </c>
      <c r="AG87" s="348">
        <f>SUM($B$86:AG86)</f>
        <v>-4167813.7983344519</v>
      </c>
      <c r="AH87" s="348">
        <f>SUM($B$86:AH86)</f>
        <v>-4170170.5599428024</v>
      </c>
      <c r="AI87" s="348">
        <f>SUM($B$86:AI86)</f>
        <v>-4172208.5230929279</v>
      </c>
      <c r="AJ87" s="348">
        <f>SUM($B$86:AJ86)</f>
        <v>-4173970.8115596757</v>
      </c>
      <c r="AK87" s="348">
        <f>SUM($B$86:AK86)</f>
        <v>-4175494.7157773944</v>
      </c>
      <c r="AL87" s="348">
        <f>SUM($B$86:AL86)</f>
        <v>-4176812.4819142101</v>
      </c>
      <c r="AM87" s="348">
        <f>SUM($B$86:AM86)</f>
        <v>-4177951.9942084523</v>
      </c>
      <c r="AN87" s="348">
        <f>SUM($B$86:AN86)</f>
        <v>-4178937.365005631</v>
      </c>
      <c r="AO87" s="348">
        <f>SUM($B$86:AO86)</f>
        <v>-4179789.4449812826</v>
      </c>
      <c r="AP87" s="348">
        <f>SUM($B$86:AP86)</f>
        <v>-4180526.2643461199</v>
      </c>
    </row>
    <row r="88" spans="1:45" ht="14.25" x14ac:dyDescent="0.2">
      <c r="A88" s="218"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8" t="s">
        <v>296</v>
      </c>
      <c r="B89" s="351">
        <f>IF(AND(B84&gt;0,A84&lt;0),(B74-(B84/(B84-A84))),0)</f>
        <v>0</v>
      </c>
      <c r="C89" s="351">
        <f t="shared" ref="C89:AP89" si="32">IF(AND(C84&gt;0,B84&lt;0),(C74-(C84/(C84-B84))),0)</f>
        <v>0</v>
      </c>
      <c r="D89" s="351">
        <f t="shared" si="32"/>
        <v>0</v>
      </c>
      <c r="E89" s="351">
        <f t="shared" si="32"/>
        <v>0</v>
      </c>
      <c r="F89" s="351">
        <f t="shared" si="32"/>
        <v>0</v>
      </c>
      <c r="G89" s="351">
        <f t="shared" si="32"/>
        <v>0</v>
      </c>
      <c r="H89" s="351">
        <f>IF(AND(H84&gt;0,G84&lt;0),(H74-(H84/(H84-G84))),0)</f>
        <v>0</v>
      </c>
      <c r="I89" s="351">
        <f t="shared" si="32"/>
        <v>0</v>
      </c>
      <c r="J89" s="351">
        <f t="shared" si="32"/>
        <v>0</v>
      </c>
      <c r="K89" s="351">
        <f t="shared" si="32"/>
        <v>0</v>
      </c>
      <c r="L89" s="351">
        <f t="shared" si="32"/>
        <v>0</v>
      </c>
      <c r="M89" s="351">
        <f t="shared" si="32"/>
        <v>0</v>
      </c>
      <c r="N89" s="351">
        <f t="shared" si="32"/>
        <v>0</v>
      </c>
      <c r="O89" s="351">
        <f t="shared" si="32"/>
        <v>0</v>
      </c>
      <c r="P89" s="351">
        <f t="shared" si="32"/>
        <v>0</v>
      </c>
      <c r="Q89" s="351">
        <f t="shared" si="32"/>
        <v>0</v>
      </c>
      <c r="R89" s="351">
        <f t="shared" si="32"/>
        <v>0</v>
      </c>
      <c r="S89" s="351">
        <f t="shared" si="32"/>
        <v>0</v>
      </c>
      <c r="T89" s="351">
        <f t="shared" si="32"/>
        <v>0</v>
      </c>
      <c r="U89" s="351">
        <f t="shared" si="32"/>
        <v>0</v>
      </c>
      <c r="V89" s="351">
        <f t="shared" si="32"/>
        <v>0</v>
      </c>
      <c r="W89" s="351">
        <f t="shared" si="32"/>
        <v>0</v>
      </c>
      <c r="X89" s="351">
        <f t="shared" si="32"/>
        <v>0</v>
      </c>
      <c r="Y89" s="351">
        <f t="shared" si="32"/>
        <v>0</v>
      </c>
      <c r="Z89" s="351">
        <f t="shared" si="32"/>
        <v>0</v>
      </c>
      <c r="AA89" s="351">
        <f t="shared" si="32"/>
        <v>0</v>
      </c>
      <c r="AB89" s="351">
        <f t="shared" si="32"/>
        <v>0</v>
      </c>
      <c r="AC89" s="351">
        <f t="shared" si="32"/>
        <v>0</v>
      </c>
      <c r="AD89" s="351">
        <f t="shared" si="32"/>
        <v>0</v>
      </c>
      <c r="AE89" s="351">
        <f t="shared" si="32"/>
        <v>0</v>
      </c>
      <c r="AF89" s="351">
        <f t="shared" si="32"/>
        <v>0</v>
      </c>
      <c r="AG89" s="351">
        <f t="shared" si="32"/>
        <v>0</v>
      </c>
      <c r="AH89" s="351">
        <f t="shared" si="32"/>
        <v>0</v>
      </c>
      <c r="AI89" s="351">
        <f t="shared" si="32"/>
        <v>0</v>
      </c>
      <c r="AJ89" s="351">
        <f t="shared" si="32"/>
        <v>0</v>
      </c>
      <c r="AK89" s="351">
        <f t="shared" si="32"/>
        <v>0</v>
      </c>
      <c r="AL89" s="351">
        <f t="shared" si="32"/>
        <v>0</v>
      </c>
      <c r="AM89" s="351">
        <f t="shared" si="32"/>
        <v>0</v>
      </c>
      <c r="AN89" s="351">
        <f t="shared" si="32"/>
        <v>0</v>
      </c>
      <c r="AO89" s="351">
        <f t="shared" si="32"/>
        <v>0</v>
      </c>
      <c r="AP89" s="351">
        <f t="shared" si="32"/>
        <v>0</v>
      </c>
    </row>
    <row r="90" spans="1:45" ht="15" thickBot="1" x14ac:dyDescent="0.25">
      <c r="A90" s="228" t="s">
        <v>295</v>
      </c>
      <c r="B90" s="229">
        <f t="shared" ref="B90:AP90" si="33">IF(AND(B87&gt;0,A87&lt;0),(B74-(B87/(B87-A87))),0)</f>
        <v>0</v>
      </c>
      <c r="C90" s="229">
        <f t="shared" si="33"/>
        <v>0</v>
      </c>
      <c r="D90" s="229">
        <f t="shared" si="33"/>
        <v>0</v>
      </c>
      <c r="E90" s="229">
        <f t="shared" si="33"/>
        <v>0</v>
      </c>
      <c r="F90" s="229">
        <f t="shared" si="33"/>
        <v>0</v>
      </c>
      <c r="G90" s="229">
        <f t="shared" si="33"/>
        <v>0</v>
      </c>
      <c r="H90" s="229">
        <f t="shared" si="33"/>
        <v>0</v>
      </c>
      <c r="I90" s="229">
        <f t="shared" si="33"/>
        <v>0</v>
      </c>
      <c r="J90" s="229">
        <f t="shared" si="33"/>
        <v>0</v>
      </c>
      <c r="K90" s="229">
        <f t="shared" si="33"/>
        <v>0</v>
      </c>
      <c r="L90" s="229">
        <f t="shared" si="33"/>
        <v>0</v>
      </c>
      <c r="M90" s="229">
        <f t="shared" si="33"/>
        <v>0</v>
      </c>
      <c r="N90" s="229">
        <f t="shared" si="33"/>
        <v>0</v>
      </c>
      <c r="O90" s="229">
        <f t="shared" si="33"/>
        <v>0</v>
      </c>
      <c r="P90" s="229">
        <f t="shared" si="33"/>
        <v>0</v>
      </c>
      <c r="Q90" s="229">
        <f t="shared" si="33"/>
        <v>0</v>
      </c>
      <c r="R90" s="229">
        <f t="shared" si="33"/>
        <v>0</v>
      </c>
      <c r="S90" s="229">
        <f t="shared" si="33"/>
        <v>0</v>
      </c>
      <c r="T90" s="229">
        <f t="shared" si="33"/>
        <v>0</v>
      </c>
      <c r="U90" s="229">
        <f t="shared" si="33"/>
        <v>0</v>
      </c>
      <c r="V90" s="229">
        <f t="shared" si="33"/>
        <v>0</v>
      </c>
      <c r="W90" s="229">
        <f t="shared" si="33"/>
        <v>0</v>
      </c>
      <c r="X90" s="229">
        <f t="shared" si="33"/>
        <v>0</v>
      </c>
      <c r="Y90" s="229">
        <f t="shared" si="33"/>
        <v>0</v>
      </c>
      <c r="Z90" s="229">
        <f t="shared" si="33"/>
        <v>0</v>
      </c>
      <c r="AA90" s="229">
        <f t="shared" si="33"/>
        <v>0</v>
      </c>
      <c r="AB90" s="229">
        <f t="shared" si="33"/>
        <v>0</v>
      </c>
      <c r="AC90" s="229">
        <f t="shared" si="33"/>
        <v>0</v>
      </c>
      <c r="AD90" s="229">
        <f t="shared" si="33"/>
        <v>0</v>
      </c>
      <c r="AE90" s="229">
        <f t="shared" si="33"/>
        <v>0</v>
      </c>
      <c r="AF90" s="229">
        <f t="shared" si="33"/>
        <v>0</v>
      </c>
      <c r="AG90" s="229">
        <f t="shared" si="33"/>
        <v>0</v>
      </c>
      <c r="AH90" s="229">
        <f t="shared" si="33"/>
        <v>0</v>
      </c>
      <c r="AI90" s="229">
        <f t="shared" si="33"/>
        <v>0</v>
      </c>
      <c r="AJ90" s="229">
        <f t="shared" si="33"/>
        <v>0</v>
      </c>
      <c r="AK90" s="229">
        <f t="shared" si="33"/>
        <v>0</v>
      </c>
      <c r="AL90" s="229">
        <f t="shared" si="33"/>
        <v>0</v>
      </c>
      <c r="AM90" s="229">
        <f t="shared" si="33"/>
        <v>0</v>
      </c>
      <c r="AN90" s="229">
        <f t="shared" si="33"/>
        <v>0</v>
      </c>
      <c r="AO90" s="229">
        <f t="shared" si="33"/>
        <v>0</v>
      </c>
      <c r="AP90" s="229">
        <f t="shared" si="33"/>
        <v>0</v>
      </c>
    </row>
    <row r="91" spans="1:45" s="206" customFormat="1" x14ac:dyDescent="0.2">
      <c r="A91" s="186"/>
      <c r="B91" s="230">
        <v>2023</v>
      </c>
      <c r="C91" s="230">
        <f>B91+1</f>
        <v>2024</v>
      </c>
      <c r="D91" s="171">
        <f t="shared" ref="D91:AP91" si="34">C91+1</f>
        <v>2025</v>
      </c>
      <c r="E91" s="171">
        <f t="shared" si="34"/>
        <v>2026</v>
      </c>
      <c r="F91" s="171">
        <f t="shared" si="34"/>
        <v>2027</v>
      </c>
      <c r="G91" s="171">
        <f t="shared" si="34"/>
        <v>2028</v>
      </c>
      <c r="H91" s="171">
        <f t="shared" si="34"/>
        <v>2029</v>
      </c>
      <c r="I91" s="171">
        <f t="shared" si="34"/>
        <v>2030</v>
      </c>
      <c r="J91" s="171">
        <f t="shared" si="34"/>
        <v>2031</v>
      </c>
      <c r="K91" s="171">
        <f t="shared" si="34"/>
        <v>2032</v>
      </c>
      <c r="L91" s="171">
        <f t="shared" si="34"/>
        <v>2033</v>
      </c>
      <c r="M91" s="171">
        <f t="shared" si="34"/>
        <v>2034</v>
      </c>
      <c r="N91" s="171">
        <f t="shared" si="34"/>
        <v>2035</v>
      </c>
      <c r="O91" s="171">
        <f t="shared" si="34"/>
        <v>2036</v>
      </c>
      <c r="P91" s="171">
        <f t="shared" si="34"/>
        <v>2037</v>
      </c>
      <c r="Q91" s="171">
        <f t="shared" si="34"/>
        <v>2038</v>
      </c>
      <c r="R91" s="171">
        <f t="shared" si="34"/>
        <v>2039</v>
      </c>
      <c r="S91" s="171">
        <f t="shared" si="34"/>
        <v>2040</v>
      </c>
      <c r="T91" s="171">
        <f t="shared" si="34"/>
        <v>2041</v>
      </c>
      <c r="U91" s="171">
        <f t="shared" si="34"/>
        <v>2042</v>
      </c>
      <c r="V91" s="171">
        <f t="shared" si="34"/>
        <v>2043</v>
      </c>
      <c r="W91" s="171">
        <f t="shared" si="34"/>
        <v>2044</v>
      </c>
      <c r="X91" s="171">
        <f t="shared" si="34"/>
        <v>2045</v>
      </c>
      <c r="Y91" s="171">
        <f t="shared" si="34"/>
        <v>2046</v>
      </c>
      <c r="Z91" s="171">
        <f t="shared" si="34"/>
        <v>2047</v>
      </c>
      <c r="AA91" s="171">
        <f t="shared" si="34"/>
        <v>2048</v>
      </c>
      <c r="AB91" s="171">
        <f t="shared" si="34"/>
        <v>2049</v>
      </c>
      <c r="AC91" s="171">
        <f t="shared" si="34"/>
        <v>2050</v>
      </c>
      <c r="AD91" s="171">
        <f t="shared" si="34"/>
        <v>2051</v>
      </c>
      <c r="AE91" s="171">
        <f t="shared" si="34"/>
        <v>2052</v>
      </c>
      <c r="AF91" s="171">
        <f t="shared" si="34"/>
        <v>2053</v>
      </c>
      <c r="AG91" s="171">
        <f t="shared" si="34"/>
        <v>2054</v>
      </c>
      <c r="AH91" s="171">
        <f t="shared" si="34"/>
        <v>2055</v>
      </c>
      <c r="AI91" s="171">
        <f t="shared" si="34"/>
        <v>2056</v>
      </c>
      <c r="AJ91" s="171">
        <f t="shared" si="34"/>
        <v>2057</v>
      </c>
      <c r="AK91" s="171">
        <f t="shared" si="34"/>
        <v>2058</v>
      </c>
      <c r="AL91" s="171">
        <f t="shared" si="34"/>
        <v>2059</v>
      </c>
      <c r="AM91" s="171">
        <f t="shared" si="34"/>
        <v>2060</v>
      </c>
      <c r="AN91" s="171">
        <f t="shared" si="34"/>
        <v>2061</v>
      </c>
      <c r="AO91" s="171">
        <f t="shared" si="34"/>
        <v>2062</v>
      </c>
      <c r="AP91" s="171">
        <f t="shared" si="34"/>
        <v>2063</v>
      </c>
      <c r="AQ91" s="172"/>
      <c r="AR91" s="172"/>
      <c r="AS91" s="172"/>
    </row>
    <row r="92" spans="1:45" ht="15.6" customHeight="1" x14ac:dyDescent="0.2">
      <c r="A92" s="231" t="s">
        <v>294</v>
      </c>
      <c r="B92" s="116"/>
      <c r="C92" s="116"/>
      <c r="D92" s="116"/>
      <c r="E92" s="116"/>
      <c r="F92" s="116"/>
      <c r="G92" s="116"/>
      <c r="H92" s="116"/>
      <c r="I92" s="116"/>
      <c r="J92" s="116"/>
      <c r="K92" s="116"/>
      <c r="L92" s="23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9" t="s">
        <v>542</v>
      </c>
      <c r="B97" s="479"/>
      <c r="C97" s="479"/>
      <c r="D97" s="479"/>
      <c r="E97" s="479"/>
      <c r="F97" s="479"/>
      <c r="G97" s="479"/>
      <c r="H97" s="479"/>
      <c r="I97" s="479"/>
      <c r="J97" s="479"/>
      <c r="K97" s="479"/>
      <c r="L97" s="479"/>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-16920640.631711785</v>
      </c>
      <c r="C99" s="236">
        <f>C81*C85</f>
        <v>0</v>
      </c>
      <c r="D99" s="236">
        <f t="shared" ref="D99:AP99" si="35">D81*D85</f>
        <v>0</v>
      </c>
      <c r="E99" s="236">
        <f t="shared" si="35"/>
        <v>0</v>
      </c>
      <c r="F99" s="236">
        <f t="shared" si="35"/>
        <v>0</v>
      </c>
      <c r="G99" s="236">
        <f t="shared" si="35"/>
        <v>0</v>
      </c>
      <c r="H99" s="236">
        <f t="shared" si="35"/>
        <v>0</v>
      </c>
      <c r="I99" s="236">
        <f t="shared" si="35"/>
        <v>0</v>
      </c>
      <c r="J99" s="236">
        <f>J81*J85</f>
        <v>0</v>
      </c>
      <c r="K99" s="236">
        <f t="shared" si="35"/>
        <v>0</v>
      </c>
      <c r="L99" s="236">
        <f>L81*L85</f>
        <v>0</v>
      </c>
      <c r="M99" s="236">
        <f t="shared" si="35"/>
        <v>0</v>
      </c>
      <c r="N99" s="236">
        <f t="shared" si="35"/>
        <v>0</v>
      </c>
      <c r="O99" s="236">
        <f t="shared" si="35"/>
        <v>0</v>
      </c>
      <c r="P99" s="236">
        <f t="shared" si="35"/>
        <v>0</v>
      </c>
      <c r="Q99" s="236">
        <f t="shared" si="35"/>
        <v>0</v>
      </c>
      <c r="R99" s="236">
        <f t="shared" si="35"/>
        <v>0</v>
      </c>
      <c r="S99" s="236">
        <f t="shared" si="35"/>
        <v>0</v>
      </c>
      <c r="T99" s="236">
        <f t="shared" si="35"/>
        <v>0</v>
      </c>
      <c r="U99" s="236">
        <f t="shared" si="35"/>
        <v>0</v>
      </c>
      <c r="V99" s="236">
        <f t="shared" si="35"/>
        <v>0</v>
      </c>
      <c r="W99" s="236">
        <f t="shared" si="35"/>
        <v>0</v>
      </c>
      <c r="X99" s="236">
        <f t="shared" si="35"/>
        <v>0</v>
      </c>
      <c r="Y99" s="236">
        <f t="shared" si="35"/>
        <v>0</v>
      </c>
      <c r="Z99" s="236">
        <f t="shared" si="35"/>
        <v>0</v>
      </c>
      <c r="AA99" s="236">
        <f t="shared" si="35"/>
        <v>0</v>
      </c>
      <c r="AB99" s="236">
        <f t="shared" si="35"/>
        <v>0</v>
      </c>
      <c r="AC99" s="236">
        <f t="shared" si="35"/>
        <v>0</v>
      </c>
      <c r="AD99" s="236">
        <f t="shared" si="35"/>
        <v>0</v>
      </c>
      <c r="AE99" s="236">
        <f t="shared" si="35"/>
        <v>0</v>
      </c>
      <c r="AF99" s="236">
        <f t="shared" si="35"/>
        <v>0</v>
      </c>
      <c r="AG99" s="236">
        <f t="shared" si="35"/>
        <v>0</v>
      </c>
      <c r="AH99" s="236">
        <f t="shared" si="35"/>
        <v>0</v>
      </c>
      <c r="AI99" s="236">
        <f t="shared" si="35"/>
        <v>0</v>
      </c>
      <c r="AJ99" s="236">
        <f t="shared" si="35"/>
        <v>0</v>
      </c>
      <c r="AK99" s="236">
        <f t="shared" si="35"/>
        <v>0</v>
      </c>
      <c r="AL99" s="236">
        <f t="shared" si="35"/>
        <v>0</v>
      </c>
      <c r="AM99" s="236">
        <f t="shared" si="35"/>
        <v>0</v>
      </c>
      <c r="AN99" s="236">
        <f t="shared" si="35"/>
        <v>0</v>
      </c>
      <c r="AO99" s="236">
        <f t="shared" si="35"/>
        <v>0</v>
      </c>
      <c r="AP99" s="236">
        <f t="shared" si="35"/>
        <v>0</v>
      </c>
      <c r="AQ99" s="237">
        <f>SUM(B99:AP99)</f>
        <v>-16920640.631711785</v>
      </c>
      <c r="AR99" s="238"/>
      <c r="AS99" s="238"/>
    </row>
    <row r="100" spans="1:71" s="242" customFormat="1" x14ac:dyDescent="0.2">
      <c r="A100" s="240">
        <f>AQ99</f>
        <v>-16920640.631711785</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72"/>
      <c r="AR100" s="172"/>
      <c r="AS100" s="172"/>
    </row>
    <row r="101" spans="1:71" s="242" customFormat="1" x14ac:dyDescent="0.2">
      <c r="A101" s="240">
        <f>AP87</f>
        <v>-4180526.2643461199</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72"/>
      <c r="AR101" s="172"/>
      <c r="AS101" s="172"/>
    </row>
    <row r="102" spans="1:71" s="242" customFormat="1" x14ac:dyDescent="0.2">
      <c r="A102" s="243" t="s">
        <v>544</v>
      </c>
      <c r="B102" s="352">
        <f>(A101+-A100)/-A100</f>
        <v>0.75293333418409736</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72"/>
      <c r="AR102" s="172"/>
      <c r="AS102" s="172"/>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72"/>
      <c r="AR103" s="172"/>
      <c r="AS103" s="172"/>
    </row>
    <row r="104" spans="1:71" ht="12.75" x14ac:dyDescent="0.2">
      <c r="A104" s="353" t="s">
        <v>545</v>
      </c>
      <c r="B104" s="353" t="s">
        <v>546</v>
      </c>
      <c r="C104" s="353" t="s">
        <v>547</v>
      </c>
      <c r="D104" s="353"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54">
        <f>G30/1000/1000</f>
        <v>-3.9303525686621903</v>
      </c>
      <c r="B105" s="355">
        <f>L88</f>
        <v>0</v>
      </c>
      <c r="C105" s="356" t="str">
        <f>G28</f>
        <v>не окупается</v>
      </c>
      <c r="D105" s="356" t="str">
        <f>G29</f>
        <v>не окупается</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57"/>
      <c r="B107" s="358">
        <v>2016</v>
      </c>
      <c r="C107" s="358">
        <v>2017</v>
      </c>
      <c r="D107" s="359">
        <f t="shared" ref="D107:AP107" si="36">C107+1</f>
        <v>2018</v>
      </c>
      <c r="E107" s="359">
        <f t="shared" si="36"/>
        <v>2019</v>
      </c>
      <c r="F107" s="359">
        <f t="shared" si="36"/>
        <v>2020</v>
      </c>
      <c r="G107" s="359">
        <f t="shared" si="36"/>
        <v>2021</v>
      </c>
      <c r="H107" s="359">
        <f t="shared" si="36"/>
        <v>2022</v>
      </c>
      <c r="I107" s="359">
        <f t="shared" si="36"/>
        <v>2023</v>
      </c>
      <c r="J107" s="359">
        <f t="shared" si="36"/>
        <v>2024</v>
      </c>
      <c r="K107" s="359">
        <f t="shared" si="36"/>
        <v>2025</v>
      </c>
      <c r="L107" s="359">
        <f t="shared" si="36"/>
        <v>2026</v>
      </c>
      <c r="M107" s="359">
        <f t="shared" si="36"/>
        <v>2027</v>
      </c>
      <c r="N107" s="359">
        <f t="shared" si="36"/>
        <v>2028</v>
      </c>
      <c r="O107" s="359">
        <f t="shared" si="36"/>
        <v>2029</v>
      </c>
      <c r="P107" s="359">
        <f t="shared" si="36"/>
        <v>2030</v>
      </c>
      <c r="Q107" s="359">
        <f t="shared" si="36"/>
        <v>2031</v>
      </c>
      <c r="R107" s="359">
        <f t="shared" si="36"/>
        <v>2032</v>
      </c>
      <c r="S107" s="359">
        <f t="shared" si="36"/>
        <v>2033</v>
      </c>
      <c r="T107" s="359">
        <f t="shared" si="36"/>
        <v>2034</v>
      </c>
      <c r="U107" s="359">
        <f t="shared" si="36"/>
        <v>2035</v>
      </c>
      <c r="V107" s="359">
        <f t="shared" si="36"/>
        <v>2036</v>
      </c>
      <c r="W107" s="359">
        <f t="shared" si="36"/>
        <v>2037</v>
      </c>
      <c r="X107" s="359">
        <f t="shared" si="36"/>
        <v>2038</v>
      </c>
      <c r="Y107" s="359">
        <f t="shared" si="36"/>
        <v>2039</v>
      </c>
      <c r="Z107" s="359">
        <f t="shared" si="36"/>
        <v>2040</v>
      </c>
      <c r="AA107" s="359">
        <f t="shared" si="36"/>
        <v>2041</v>
      </c>
      <c r="AB107" s="359">
        <f t="shared" si="36"/>
        <v>2042</v>
      </c>
      <c r="AC107" s="359">
        <f t="shared" si="36"/>
        <v>2043</v>
      </c>
      <c r="AD107" s="359">
        <f t="shared" si="36"/>
        <v>2044</v>
      </c>
      <c r="AE107" s="359">
        <f t="shared" si="36"/>
        <v>2045</v>
      </c>
      <c r="AF107" s="359">
        <f t="shared" si="36"/>
        <v>2046</v>
      </c>
      <c r="AG107" s="359">
        <f t="shared" si="36"/>
        <v>2047</v>
      </c>
      <c r="AH107" s="359">
        <f t="shared" si="36"/>
        <v>2048</v>
      </c>
      <c r="AI107" s="359">
        <f t="shared" si="36"/>
        <v>2049</v>
      </c>
      <c r="AJ107" s="359">
        <f t="shared" si="36"/>
        <v>2050</v>
      </c>
      <c r="AK107" s="359">
        <f t="shared" si="36"/>
        <v>2051</v>
      </c>
      <c r="AL107" s="359">
        <f t="shared" si="36"/>
        <v>2052</v>
      </c>
      <c r="AM107" s="359">
        <f t="shared" si="36"/>
        <v>2053</v>
      </c>
      <c r="AN107" s="359">
        <f t="shared" si="36"/>
        <v>2054</v>
      </c>
      <c r="AO107" s="359">
        <f t="shared" si="36"/>
        <v>2055</v>
      </c>
      <c r="AP107" s="359">
        <f t="shared" si="36"/>
        <v>2056</v>
      </c>
      <c r="AT107" s="242"/>
      <c r="AU107" s="242"/>
      <c r="AV107" s="242"/>
      <c r="AW107" s="242"/>
      <c r="AX107" s="242"/>
      <c r="AY107" s="242"/>
      <c r="AZ107" s="242"/>
      <c r="BA107" s="242"/>
      <c r="BB107" s="242"/>
      <c r="BC107" s="242"/>
      <c r="BD107" s="242"/>
      <c r="BE107" s="242"/>
      <c r="BF107" s="242"/>
      <c r="BG107" s="242"/>
    </row>
    <row r="108" spans="1:71" ht="12.75" x14ac:dyDescent="0.2">
      <c r="A108" s="360" t="s">
        <v>550</v>
      </c>
      <c r="B108" s="361"/>
      <c r="C108" s="361">
        <f>C109*$B$111*$B$112*1000</f>
        <v>0</v>
      </c>
      <c r="D108" s="361">
        <f t="shared" ref="D108:AP108" si="37">D109*$B$111*$B$112*1000</f>
        <v>0</v>
      </c>
      <c r="E108" s="361">
        <f>E109*$B$111*$B$112*1000</f>
        <v>0</v>
      </c>
      <c r="F108" s="361">
        <f t="shared" si="37"/>
        <v>0</v>
      </c>
      <c r="G108" s="361">
        <f t="shared" si="37"/>
        <v>0</v>
      </c>
      <c r="H108" s="361">
        <f t="shared" si="37"/>
        <v>0</v>
      </c>
      <c r="I108" s="361">
        <f t="shared" si="37"/>
        <v>0</v>
      </c>
      <c r="J108" s="361">
        <f t="shared" si="37"/>
        <v>0</v>
      </c>
      <c r="K108" s="361">
        <f t="shared" si="37"/>
        <v>0</v>
      </c>
      <c r="L108" s="361">
        <f t="shared" si="37"/>
        <v>0</v>
      </c>
      <c r="M108" s="361">
        <f t="shared" si="37"/>
        <v>0</v>
      </c>
      <c r="N108" s="361">
        <f t="shared" si="37"/>
        <v>0</v>
      </c>
      <c r="O108" s="361">
        <f t="shared" si="37"/>
        <v>0</v>
      </c>
      <c r="P108" s="361">
        <f t="shared" si="37"/>
        <v>0</v>
      </c>
      <c r="Q108" s="361">
        <f t="shared" si="37"/>
        <v>0</v>
      </c>
      <c r="R108" s="361">
        <f t="shared" si="37"/>
        <v>0</v>
      </c>
      <c r="S108" s="361">
        <f t="shared" si="37"/>
        <v>0</v>
      </c>
      <c r="T108" s="361">
        <f t="shared" si="37"/>
        <v>0</v>
      </c>
      <c r="U108" s="361">
        <f t="shared" si="37"/>
        <v>0</v>
      </c>
      <c r="V108" s="361">
        <f t="shared" si="37"/>
        <v>0</v>
      </c>
      <c r="W108" s="361">
        <f t="shared" si="37"/>
        <v>0</v>
      </c>
      <c r="X108" s="361">
        <f t="shared" si="37"/>
        <v>0</v>
      </c>
      <c r="Y108" s="361">
        <f t="shared" si="37"/>
        <v>0</v>
      </c>
      <c r="Z108" s="361">
        <f t="shared" si="37"/>
        <v>0</v>
      </c>
      <c r="AA108" s="361">
        <f t="shared" si="37"/>
        <v>0</v>
      </c>
      <c r="AB108" s="361">
        <f t="shared" si="37"/>
        <v>0</v>
      </c>
      <c r="AC108" s="361">
        <f t="shared" si="37"/>
        <v>0</v>
      </c>
      <c r="AD108" s="361">
        <f t="shared" si="37"/>
        <v>0</v>
      </c>
      <c r="AE108" s="361">
        <f t="shared" si="37"/>
        <v>0</v>
      </c>
      <c r="AF108" s="361">
        <f t="shared" si="37"/>
        <v>0</v>
      </c>
      <c r="AG108" s="361">
        <f t="shared" si="37"/>
        <v>0</v>
      </c>
      <c r="AH108" s="361">
        <f t="shared" si="37"/>
        <v>0</v>
      </c>
      <c r="AI108" s="361">
        <f t="shared" si="37"/>
        <v>0</v>
      </c>
      <c r="AJ108" s="361">
        <f t="shared" si="37"/>
        <v>0</v>
      </c>
      <c r="AK108" s="361">
        <f t="shared" si="37"/>
        <v>0</v>
      </c>
      <c r="AL108" s="361">
        <f t="shared" si="37"/>
        <v>0</v>
      </c>
      <c r="AM108" s="361">
        <f t="shared" si="37"/>
        <v>0</v>
      </c>
      <c r="AN108" s="361">
        <f t="shared" si="37"/>
        <v>0</v>
      </c>
      <c r="AO108" s="361">
        <f t="shared" si="37"/>
        <v>0</v>
      </c>
      <c r="AP108" s="361">
        <f t="shared" si="37"/>
        <v>0</v>
      </c>
      <c r="AT108" s="242"/>
      <c r="AU108" s="242"/>
      <c r="AV108" s="242"/>
      <c r="AW108" s="242"/>
      <c r="AX108" s="242"/>
      <c r="AY108" s="242"/>
      <c r="AZ108" s="242"/>
      <c r="BA108" s="242"/>
      <c r="BB108" s="242"/>
      <c r="BC108" s="242"/>
      <c r="BD108" s="242"/>
      <c r="BE108" s="242"/>
      <c r="BF108" s="242"/>
      <c r="BG108" s="242"/>
    </row>
    <row r="109" spans="1:71" ht="12.75" x14ac:dyDescent="0.2">
      <c r="A109" s="360" t="s">
        <v>551</v>
      </c>
      <c r="B109" s="359"/>
      <c r="C109" s="359">
        <f>B109+$I$120*C113</f>
        <v>0</v>
      </c>
      <c r="D109" s="359">
        <f>C109+$I$120*D113</f>
        <v>0</v>
      </c>
      <c r="E109" s="359">
        <f t="shared" ref="E109:AP109" si="38">D109+$I$120*E113</f>
        <v>0</v>
      </c>
      <c r="F109" s="359">
        <f t="shared" si="38"/>
        <v>0</v>
      </c>
      <c r="G109" s="359">
        <f t="shared" si="38"/>
        <v>0</v>
      </c>
      <c r="H109" s="359">
        <f t="shared" si="38"/>
        <v>0</v>
      </c>
      <c r="I109" s="359">
        <f t="shared" si="38"/>
        <v>0</v>
      </c>
      <c r="J109" s="359">
        <f t="shared" si="38"/>
        <v>0</v>
      </c>
      <c r="K109" s="359">
        <f t="shared" si="38"/>
        <v>0</v>
      </c>
      <c r="L109" s="359">
        <f t="shared" si="38"/>
        <v>0</v>
      </c>
      <c r="M109" s="359">
        <f t="shared" si="38"/>
        <v>0</v>
      </c>
      <c r="N109" s="359">
        <f t="shared" si="38"/>
        <v>0</v>
      </c>
      <c r="O109" s="359">
        <f t="shared" si="38"/>
        <v>0</v>
      </c>
      <c r="P109" s="359">
        <f t="shared" si="38"/>
        <v>0</v>
      </c>
      <c r="Q109" s="359">
        <f t="shared" si="38"/>
        <v>0</v>
      </c>
      <c r="R109" s="359">
        <f t="shared" si="38"/>
        <v>0</v>
      </c>
      <c r="S109" s="359">
        <f t="shared" si="38"/>
        <v>0</v>
      </c>
      <c r="T109" s="359">
        <f t="shared" si="38"/>
        <v>0</v>
      </c>
      <c r="U109" s="359">
        <f t="shared" si="38"/>
        <v>0</v>
      </c>
      <c r="V109" s="359">
        <f t="shared" si="38"/>
        <v>0</v>
      </c>
      <c r="W109" s="359">
        <f t="shared" si="38"/>
        <v>0</v>
      </c>
      <c r="X109" s="359">
        <f t="shared" si="38"/>
        <v>0</v>
      </c>
      <c r="Y109" s="359">
        <f t="shared" si="38"/>
        <v>0</v>
      </c>
      <c r="Z109" s="359">
        <f t="shared" si="38"/>
        <v>0</v>
      </c>
      <c r="AA109" s="359">
        <f t="shared" si="38"/>
        <v>0</v>
      </c>
      <c r="AB109" s="359">
        <f t="shared" si="38"/>
        <v>0</v>
      </c>
      <c r="AC109" s="359">
        <f t="shared" si="38"/>
        <v>0</v>
      </c>
      <c r="AD109" s="359">
        <f t="shared" si="38"/>
        <v>0</v>
      </c>
      <c r="AE109" s="359">
        <f t="shared" si="38"/>
        <v>0</v>
      </c>
      <c r="AF109" s="359">
        <f t="shared" si="38"/>
        <v>0</v>
      </c>
      <c r="AG109" s="359">
        <f t="shared" si="38"/>
        <v>0</v>
      </c>
      <c r="AH109" s="359">
        <f t="shared" si="38"/>
        <v>0</v>
      </c>
      <c r="AI109" s="359">
        <f t="shared" si="38"/>
        <v>0</v>
      </c>
      <c r="AJ109" s="359">
        <f t="shared" si="38"/>
        <v>0</v>
      </c>
      <c r="AK109" s="359">
        <f t="shared" si="38"/>
        <v>0</v>
      </c>
      <c r="AL109" s="359">
        <f t="shared" si="38"/>
        <v>0</v>
      </c>
      <c r="AM109" s="359">
        <f t="shared" si="38"/>
        <v>0</v>
      </c>
      <c r="AN109" s="359">
        <f t="shared" si="38"/>
        <v>0</v>
      </c>
      <c r="AO109" s="359">
        <f t="shared" si="38"/>
        <v>0</v>
      </c>
      <c r="AP109" s="359">
        <f t="shared" si="38"/>
        <v>0</v>
      </c>
      <c r="AT109" s="242"/>
      <c r="AU109" s="242"/>
      <c r="AV109" s="242"/>
      <c r="AW109" s="242"/>
      <c r="AX109" s="242"/>
      <c r="AY109" s="242"/>
      <c r="AZ109" s="242"/>
      <c r="BA109" s="242"/>
      <c r="BB109" s="242"/>
      <c r="BC109" s="242"/>
      <c r="BD109" s="242"/>
      <c r="BE109" s="242"/>
      <c r="BF109" s="242"/>
      <c r="BG109" s="242"/>
    </row>
    <row r="110" spans="1:71" ht="12.75" x14ac:dyDescent="0.2">
      <c r="A110" s="360" t="s">
        <v>552</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2"/>
      <c r="AU110" s="242"/>
      <c r="AV110" s="242"/>
      <c r="AW110" s="242"/>
      <c r="AX110" s="242"/>
      <c r="AY110" s="242"/>
      <c r="AZ110" s="242"/>
      <c r="BA110" s="242"/>
      <c r="BB110" s="242"/>
      <c r="BC110" s="242"/>
      <c r="BD110" s="242"/>
      <c r="BE110" s="242"/>
      <c r="BF110" s="242"/>
      <c r="BG110" s="242"/>
    </row>
    <row r="111" spans="1:71" ht="12.75" x14ac:dyDescent="0.2">
      <c r="A111" s="360" t="s">
        <v>553</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2"/>
      <c r="AU111" s="242"/>
      <c r="AV111" s="242"/>
      <c r="AW111" s="242"/>
      <c r="AX111" s="242"/>
      <c r="AY111" s="242"/>
      <c r="AZ111" s="242"/>
      <c r="BA111" s="242"/>
      <c r="BB111" s="242"/>
      <c r="BC111" s="242"/>
      <c r="BD111" s="242"/>
      <c r="BE111" s="242"/>
      <c r="BF111" s="242"/>
      <c r="BG111" s="242"/>
    </row>
    <row r="112" spans="1:71" ht="12.75" x14ac:dyDescent="0.2">
      <c r="A112" s="360" t="s">
        <v>554</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2"/>
      <c r="AU112" s="242"/>
      <c r="AV112" s="242"/>
      <c r="AW112" s="242"/>
      <c r="AX112" s="242"/>
      <c r="AY112" s="242"/>
      <c r="AZ112" s="242"/>
      <c r="BA112" s="242"/>
      <c r="BB112" s="242"/>
      <c r="BC112" s="242"/>
      <c r="BD112" s="242"/>
      <c r="BE112" s="242"/>
      <c r="BF112" s="242"/>
      <c r="BG112" s="242"/>
    </row>
    <row r="113" spans="1:71" ht="15" x14ac:dyDescent="0.2">
      <c r="A113" s="363" t="s">
        <v>555</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57"/>
      <c r="B116" s="480" t="s">
        <v>556</v>
      </c>
      <c r="C116" s="481"/>
      <c r="D116" s="480" t="s">
        <v>557</v>
      </c>
      <c r="E116" s="481"/>
      <c r="F116" s="357"/>
      <c r="G116" s="357"/>
      <c r="H116" s="357"/>
      <c r="I116" s="357"/>
      <c r="J116" s="357"/>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60" t="s">
        <v>558</v>
      </c>
      <c r="B117" s="366"/>
      <c r="C117" s="357" t="s">
        <v>559</v>
      </c>
      <c r="D117" s="366"/>
      <c r="E117" s="357" t="s">
        <v>559</v>
      </c>
      <c r="F117" s="357"/>
      <c r="G117" s="357"/>
      <c r="H117" s="357"/>
      <c r="I117" s="357"/>
      <c r="J117" s="357"/>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60" t="s">
        <v>558</v>
      </c>
      <c r="B118" s="357">
        <f>$B$110*B117</f>
        <v>0</v>
      </c>
      <c r="C118" s="357" t="s">
        <v>126</v>
      </c>
      <c r="D118" s="357">
        <f>$B$110*D117</f>
        <v>0</v>
      </c>
      <c r="E118" s="357" t="s">
        <v>126</v>
      </c>
      <c r="F118" s="360" t="s">
        <v>560</v>
      </c>
      <c r="G118" s="357">
        <f>D117-B117</f>
        <v>0</v>
      </c>
      <c r="H118" s="357" t="s">
        <v>559</v>
      </c>
      <c r="I118" s="367">
        <f>$B$110*G118</f>
        <v>0</v>
      </c>
      <c r="J118" s="357"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57"/>
      <c r="B119" s="357"/>
      <c r="C119" s="357"/>
      <c r="D119" s="357"/>
      <c r="E119" s="357"/>
      <c r="F119" s="360" t="s">
        <v>561</v>
      </c>
      <c r="G119" s="357">
        <f>I119/$B$110</f>
        <v>0</v>
      </c>
      <c r="H119" s="357" t="s">
        <v>559</v>
      </c>
      <c r="I119" s="366"/>
      <c r="J119" s="357"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68"/>
      <c r="B120" s="369"/>
      <c r="C120" s="369"/>
      <c r="D120" s="369"/>
      <c r="E120" s="369"/>
      <c r="F120" s="370" t="s">
        <v>562</v>
      </c>
      <c r="G120" s="367">
        <f>G118</f>
        <v>0</v>
      </c>
      <c r="H120" s="357" t="s">
        <v>559</v>
      </c>
      <c r="I120" s="362">
        <f>I118</f>
        <v>0</v>
      </c>
      <c r="J120" s="357"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71" t="s">
        <v>563</v>
      </c>
      <c r="B122" s="372">
        <v>47.189520000000002</v>
      </c>
      <c r="C122" s="247"/>
      <c r="D122" s="469" t="s">
        <v>340</v>
      </c>
      <c r="E122" s="330" t="s">
        <v>665</v>
      </c>
      <c r="F122" s="331">
        <v>35</v>
      </c>
      <c r="G122" s="470" t="s">
        <v>666</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71" t="s">
        <v>340</v>
      </c>
      <c r="B123" s="373">
        <v>30</v>
      </c>
      <c r="C123" s="247"/>
      <c r="D123" s="469"/>
      <c r="E123" s="330" t="s">
        <v>649</v>
      </c>
      <c r="F123" s="331">
        <v>30</v>
      </c>
      <c r="G123" s="470"/>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71" t="s">
        <v>564</v>
      </c>
      <c r="B124" s="373" t="s">
        <v>532</v>
      </c>
      <c r="C124" s="250" t="s">
        <v>565</v>
      </c>
      <c r="D124" s="469"/>
      <c r="E124" s="330" t="s">
        <v>667</v>
      </c>
      <c r="F124" s="331">
        <v>30</v>
      </c>
      <c r="G124" s="470"/>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332"/>
      <c r="B125" s="333"/>
      <c r="C125" s="251"/>
      <c r="D125" s="469"/>
      <c r="E125" s="330" t="s">
        <v>668</v>
      </c>
      <c r="F125" s="331">
        <v>30</v>
      </c>
      <c r="G125" s="470"/>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71" t="s">
        <v>566</v>
      </c>
      <c r="B126" s="374">
        <f>$B$122*1000*1000</f>
        <v>47189520.000000007</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71" t="s">
        <v>567</v>
      </c>
      <c r="B127" s="375">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71" t="s">
        <v>568</v>
      </c>
      <c r="B129" s="376">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334"/>
      <c r="B130" s="335"/>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77" t="s">
        <v>669</v>
      </c>
      <c r="B131" s="378">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71" t="s">
        <v>569</v>
      </c>
      <c r="C134" s="252" t="s">
        <v>670</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71"/>
      <c r="B135" s="379">
        <v>2016</v>
      </c>
      <c r="C135" s="379">
        <f>B135+1</f>
        <v>2017</v>
      </c>
      <c r="D135" s="379">
        <f t="shared" ref="D135:AY135" si="39">C135+1</f>
        <v>2018</v>
      </c>
      <c r="E135" s="379">
        <f t="shared" si="39"/>
        <v>2019</v>
      </c>
      <c r="F135" s="379">
        <f t="shared" si="39"/>
        <v>2020</v>
      </c>
      <c r="G135" s="379">
        <f t="shared" si="39"/>
        <v>2021</v>
      </c>
      <c r="H135" s="379">
        <f t="shared" si="39"/>
        <v>2022</v>
      </c>
      <c r="I135" s="379">
        <f t="shared" si="39"/>
        <v>2023</v>
      </c>
      <c r="J135" s="379">
        <f t="shared" si="39"/>
        <v>2024</v>
      </c>
      <c r="K135" s="379">
        <f t="shared" si="39"/>
        <v>2025</v>
      </c>
      <c r="L135" s="379">
        <f t="shared" si="39"/>
        <v>2026</v>
      </c>
      <c r="M135" s="379">
        <f t="shared" si="39"/>
        <v>2027</v>
      </c>
      <c r="N135" s="379">
        <f t="shared" si="39"/>
        <v>2028</v>
      </c>
      <c r="O135" s="379">
        <f t="shared" si="39"/>
        <v>2029</v>
      </c>
      <c r="P135" s="379">
        <f t="shared" si="39"/>
        <v>2030</v>
      </c>
      <c r="Q135" s="379">
        <f t="shared" si="39"/>
        <v>2031</v>
      </c>
      <c r="R135" s="379">
        <f t="shared" si="39"/>
        <v>2032</v>
      </c>
      <c r="S135" s="379">
        <f t="shared" si="39"/>
        <v>2033</v>
      </c>
      <c r="T135" s="379">
        <f t="shared" si="39"/>
        <v>2034</v>
      </c>
      <c r="U135" s="379">
        <f t="shared" si="39"/>
        <v>2035</v>
      </c>
      <c r="V135" s="379">
        <f t="shared" si="39"/>
        <v>2036</v>
      </c>
      <c r="W135" s="379">
        <f t="shared" si="39"/>
        <v>2037</v>
      </c>
      <c r="X135" s="379">
        <f t="shared" si="39"/>
        <v>2038</v>
      </c>
      <c r="Y135" s="379">
        <f t="shared" si="39"/>
        <v>2039</v>
      </c>
      <c r="Z135" s="379">
        <f t="shared" si="39"/>
        <v>2040</v>
      </c>
      <c r="AA135" s="379">
        <f t="shared" si="39"/>
        <v>2041</v>
      </c>
      <c r="AB135" s="379">
        <f t="shared" si="39"/>
        <v>2042</v>
      </c>
      <c r="AC135" s="379">
        <f t="shared" si="39"/>
        <v>2043</v>
      </c>
      <c r="AD135" s="379">
        <f t="shared" si="39"/>
        <v>2044</v>
      </c>
      <c r="AE135" s="379">
        <f t="shared" si="39"/>
        <v>2045</v>
      </c>
      <c r="AF135" s="379">
        <f t="shared" si="39"/>
        <v>2046</v>
      </c>
      <c r="AG135" s="379">
        <f t="shared" si="39"/>
        <v>2047</v>
      </c>
      <c r="AH135" s="379">
        <f t="shared" si="39"/>
        <v>2048</v>
      </c>
      <c r="AI135" s="379">
        <f t="shared" si="39"/>
        <v>2049</v>
      </c>
      <c r="AJ135" s="379">
        <f t="shared" si="39"/>
        <v>2050</v>
      </c>
      <c r="AK135" s="379">
        <f t="shared" si="39"/>
        <v>2051</v>
      </c>
      <c r="AL135" s="379">
        <f t="shared" si="39"/>
        <v>2052</v>
      </c>
      <c r="AM135" s="379">
        <f t="shared" si="39"/>
        <v>2053</v>
      </c>
      <c r="AN135" s="379">
        <f t="shared" si="39"/>
        <v>2054</v>
      </c>
      <c r="AO135" s="379">
        <f t="shared" si="39"/>
        <v>2055</v>
      </c>
      <c r="AP135" s="379">
        <f t="shared" si="39"/>
        <v>2056</v>
      </c>
      <c r="AQ135" s="379">
        <f t="shared" si="39"/>
        <v>2057</v>
      </c>
      <c r="AR135" s="379">
        <f t="shared" si="39"/>
        <v>2058</v>
      </c>
      <c r="AS135" s="379">
        <f t="shared" si="39"/>
        <v>2059</v>
      </c>
      <c r="AT135" s="379">
        <f t="shared" si="39"/>
        <v>2060</v>
      </c>
      <c r="AU135" s="379">
        <f t="shared" si="39"/>
        <v>2061</v>
      </c>
      <c r="AV135" s="379">
        <f t="shared" si="39"/>
        <v>2062</v>
      </c>
      <c r="AW135" s="379">
        <f t="shared" si="39"/>
        <v>2063</v>
      </c>
      <c r="AX135" s="379">
        <f t="shared" si="39"/>
        <v>2064</v>
      </c>
      <c r="AY135" s="379">
        <f t="shared" si="39"/>
        <v>2065</v>
      </c>
    </row>
    <row r="136" spans="1:71" ht="12.75" x14ac:dyDescent="0.2">
      <c r="A136" s="371" t="s">
        <v>570</v>
      </c>
      <c r="B136" s="380"/>
      <c r="C136" s="381"/>
      <c r="D136" s="381">
        <v>4.5999999999999999E-2</v>
      </c>
      <c r="E136" s="381">
        <v>4.3999999999999997E-2</v>
      </c>
      <c r="F136" s="381">
        <v>4.2000000000000003E-2</v>
      </c>
      <c r="G136" s="381">
        <f>F136</f>
        <v>4.2000000000000003E-2</v>
      </c>
      <c r="H136" s="381">
        <f>G136</f>
        <v>4.2000000000000003E-2</v>
      </c>
      <c r="I136" s="381">
        <f t="shared" ref="I136:AY136" si="40">H136</f>
        <v>4.2000000000000003E-2</v>
      </c>
      <c r="J136" s="381">
        <f t="shared" si="40"/>
        <v>4.2000000000000003E-2</v>
      </c>
      <c r="K136" s="381">
        <f t="shared" si="40"/>
        <v>4.2000000000000003E-2</v>
      </c>
      <c r="L136" s="381">
        <f t="shared" si="40"/>
        <v>4.2000000000000003E-2</v>
      </c>
      <c r="M136" s="381">
        <f t="shared" si="40"/>
        <v>4.2000000000000003E-2</v>
      </c>
      <c r="N136" s="381">
        <f t="shared" si="40"/>
        <v>4.2000000000000003E-2</v>
      </c>
      <c r="O136" s="381">
        <f t="shared" si="40"/>
        <v>4.2000000000000003E-2</v>
      </c>
      <c r="P136" s="381">
        <f t="shared" si="40"/>
        <v>4.2000000000000003E-2</v>
      </c>
      <c r="Q136" s="381">
        <f t="shared" si="40"/>
        <v>4.2000000000000003E-2</v>
      </c>
      <c r="R136" s="381">
        <f t="shared" si="40"/>
        <v>4.2000000000000003E-2</v>
      </c>
      <c r="S136" s="381">
        <f t="shared" si="40"/>
        <v>4.2000000000000003E-2</v>
      </c>
      <c r="T136" s="381">
        <f t="shared" si="40"/>
        <v>4.2000000000000003E-2</v>
      </c>
      <c r="U136" s="381">
        <f t="shared" si="40"/>
        <v>4.2000000000000003E-2</v>
      </c>
      <c r="V136" s="381">
        <f t="shared" si="40"/>
        <v>4.2000000000000003E-2</v>
      </c>
      <c r="W136" s="381">
        <f t="shared" si="40"/>
        <v>4.2000000000000003E-2</v>
      </c>
      <c r="X136" s="381">
        <f t="shared" si="40"/>
        <v>4.2000000000000003E-2</v>
      </c>
      <c r="Y136" s="381">
        <f t="shared" si="40"/>
        <v>4.2000000000000003E-2</v>
      </c>
      <c r="Z136" s="381">
        <f t="shared" si="40"/>
        <v>4.2000000000000003E-2</v>
      </c>
      <c r="AA136" s="381">
        <f t="shared" si="40"/>
        <v>4.2000000000000003E-2</v>
      </c>
      <c r="AB136" s="381">
        <f t="shared" si="40"/>
        <v>4.2000000000000003E-2</v>
      </c>
      <c r="AC136" s="381">
        <f t="shared" si="40"/>
        <v>4.2000000000000003E-2</v>
      </c>
      <c r="AD136" s="381">
        <f t="shared" si="40"/>
        <v>4.2000000000000003E-2</v>
      </c>
      <c r="AE136" s="381">
        <f t="shared" si="40"/>
        <v>4.2000000000000003E-2</v>
      </c>
      <c r="AF136" s="381">
        <f t="shared" si="40"/>
        <v>4.2000000000000003E-2</v>
      </c>
      <c r="AG136" s="381">
        <f t="shared" si="40"/>
        <v>4.2000000000000003E-2</v>
      </c>
      <c r="AH136" s="381">
        <f t="shared" si="40"/>
        <v>4.2000000000000003E-2</v>
      </c>
      <c r="AI136" s="381">
        <f t="shared" si="40"/>
        <v>4.2000000000000003E-2</v>
      </c>
      <c r="AJ136" s="381">
        <f t="shared" si="40"/>
        <v>4.2000000000000003E-2</v>
      </c>
      <c r="AK136" s="381">
        <f t="shared" si="40"/>
        <v>4.2000000000000003E-2</v>
      </c>
      <c r="AL136" s="381">
        <f t="shared" si="40"/>
        <v>4.2000000000000003E-2</v>
      </c>
      <c r="AM136" s="381">
        <f t="shared" si="40"/>
        <v>4.2000000000000003E-2</v>
      </c>
      <c r="AN136" s="381">
        <f t="shared" si="40"/>
        <v>4.2000000000000003E-2</v>
      </c>
      <c r="AO136" s="381">
        <f t="shared" si="40"/>
        <v>4.2000000000000003E-2</v>
      </c>
      <c r="AP136" s="381">
        <f t="shared" si="40"/>
        <v>4.2000000000000003E-2</v>
      </c>
      <c r="AQ136" s="381">
        <f t="shared" si="40"/>
        <v>4.2000000000000003E-2</v>
      </c>
      <c r="AR136" s="381">
        <f t="shared" si="40"/>
        <v>4.2000000000000003E-2</v>
      </c>
      <c r="AS136" s="381">
        <f t="shared" si="40"/>
        <v>4.2000000000000003E-2</v>
      </c>
      <c r="AT136" s="381">
        <f t="shared" si="40"/>
        <v>4.2000000000000003E-2</v>
      </c>
      <c r="AU136" s="381">
        <f t="shared" si="40"/>
        <v>4.2000000000000003E-2</v>
      </c>
      <c r="AV136" s="381">
        <f t="shared" si="40"/>
        <v>4.2000000000000003E-2</v>
      </c>
      <c r="AW136" s="381">
        <f t="shared" si="40"/>
        <v>4.2000000000000003E-2</v>
      </c>
      <c r="AX136" s="381">
        <f t="shared" si="40"/>
        <v>4.2000000000000003E-2</v>
      </c>
      <c r="AY136" s="381">
        <f t="shared" si="40"/>
        <v>4.2000000000000003E-2</v>
      </c>
    </row>
    <row r="137" spans="1:71" s="206" customFormat="1" ht="15" x14ac:dyDescent="0.2">
      <c r="A137" s="371" t="s">
        <v>571</v>
      </c>
      <c r="B137" s="336"/>
      <c r="C137" s="382">
        <f>(1+B137)*(1+C136)-1</f>
        <v>0</v>
      </c>
      <c r="D137" s="382">
        <f>(1+C137)*(1+D136)-1</f>
        <v>4.6000000000000041E-2</v>
      </c>
      <c r="E137" s="382">
        <f>(1+D137)*(1+E136)-1</f>
        <v>9.2024000000000106E-2</v>
      </c>
      <c r="F137" s="382">
        <f t="shared" ref="F137:AY137" si="41">(1+E137)*(1+F136)-1</f>
        <v>0.13788900800000015</v>
      </c>
      <c r="G137" s="382">
        <f>(1+F137)*(1+G136)-1</f>
        <v>0.18568034633600017</v>
      </c>
      <c r="H137" s="382">
        <f t="shared" si="41"/>
        <v>0.2354789208821122</v>
      </c>
      <c r="I137" s="382">
        <f t="shared" si="41"/>
        <v>0.28736903555916093</v>
      </c>
      <c r="J137" s="382">
        <f t="shared" si="41"/>
        <v>0.34143853505264565</v>
      </c>
      <c r="K137" s="382">
        <f t="shared" si="41"/>
        <v>0.39777895352485682</v>
      </c>
      <c r="L137" s="382">
        <f t="shared" si="41"/>
        <v>0.45648566957290093</v>
      </c>
      <c r="M137" s="382">
        <f t="shared" si="41"/>
        <v>0.51765806769496292</v>
      </c>
      <c r="N137" s="382">
        <f t="shared" si="41"/>
        <v>0.58139970653815132</v>
      </c>
      <c r="O137" s="382">
        <f t="shared" si="41"/>
        <v>0.64781849421275384</v>
      </c>
      <c r="P137" s="382">
        <f t="shared" si="41"/>
        <v>0.71702687096968964</v>
      </c>
      <c r="Q137" s="382">
        <f t="shared" si="41"/>
        <v>0.78914199955041675</v>
      </c>
      <c r="R137" s="382">
        <f t="shared" si="41"/>
        <v>0.86428596353153431</v>
      </c>
      <c r="S137" s="382">
        <f t="shared" si="41"/>
        <v>0.94258597399985877</v>
      </c>
      <c r="T137" s="382">
        <f t="shared" si="41"/>
        <v>1.0241745849078527</v>
      </c>
      <c r="U137" s="382">
        <f t="shared" si="41"/>
        <v>1.1091899174739828</v>
      </c>
      <c r="V137" s="382">
        <f t="shared" si="41"/>
        <v>1.19777589400789</v>
      </c>
      <c r="W137" s="382">
        <f t="shared" si="41"/>
        <v>1.2900824815562215</v>
      </c>
      <c r="X137" s="382">
        <f t="shared" si="41"/>
        <v>1.3862659457815827</v>
      </c>
      <c r="Y137" s="382">
        <f t="shared" si="41"/>
        <v>1.4864891155044093</v>
      </c>
      <c r="Z137" s="382">
        <f t="shared" si="41"/>
        <v>1.5909216583555947</v>
      </c>
      <c r="AA137" s="382">
        <f t="shared" si="41"/>
        <v>1.6997403680065299</v>
      </c>
      <c r="AB137" s="382">
        <f t="shared" si="41"/>
        <v>1.8131294634628041</v>
      </c>
      <c r="AC137" s="382">
        <f t="shared" si="41"/>
        <v>1.9312809009282419</v>
      </c>
      <c r="AD137" s="382">
        <f t="shared" si="41"/>
        <v>2.0543946987672284</v>
      </c>
      <c r="AE137" s="382">
        <f t="shared" si="41"/>
        <v>2.1826792761154521</v>
      </c>
      <c r="AF137" s="382">
        <f t="shared" si="41"/>
        <v>2.3163518057123014</v>
      </c>
      <c r="AG137" s="382">
        <f t="shared" si="41"/>
        <v>2.4556385815522184</v>
      </c>
      <c r="AH137" s="382">
        <f t="shared" si="41"/>
        <v>2.6007754019774119</v>
      </c>
      <c r="AI137" s="382">
        <f t="shared" si="41"/>
        <v>2.7520079688604633</v>
      </c>
      <c r="AJ137" s="382">
        <f t="shared" si="41"/>
        <v>2.909592303552603</v>
      </c>
      <c r="AK137" s="382">
        <f t="shared" si="41"/>
        <v>3.0737951803018122</v>
      </c>
      <c r="AL137" s="382">
        <f t="shared" si="41"/>
        <v>3.2448945778744882</v>
      </c>
      <c r="AM137" s="382">
        <f t="shared" si="41"/>
        <v>3.4231801501452166</v>
      </c>
      <c r="AN137" s="382">
        <f t="shared" si="41"/>
        <v>3.6089537164513157</v>
      </c>
      <c r="AO137" s="382">
        <f t="shared" si="41"/>
        <v>3.8025297725422709</v>
      </c>
      <c r="AP137" s="382">
        <f t="shared" si="41"/>
        <v>4.0042360229890468</v>
      </c>
      <c r="AQ137" s="382">
        <f t="shared" si="41"/>
        <v>4.2144139359545871</v>
      </c>
      <c r="AR137" s="382">
        <f t="shared" si="41"/>
        <v>4.4334193212646804</v>
      </c>
      <c r="AS137" s="382">
        <f t="shared" si="41"/>
        <v>4.6616229327577976</v>
      </c>
      <c r="AT137" s="382">
        <f t="shared" si="41"/>
        <v>4.8994110959336252</v>
      </c>
      <c r="AU137" s="382">
        <f t="shared" si="41"/>
        <v>5.147186361962838</v>
      </c>
      <c r="AV137" s="382">
        <f t="shared" si="41"/>
        <v>5.4053681891652774</v>
      </c>
      <c r="AW137" s="382">
        <f>(1+AV137)*(1+AW136)-1</f>
        <v>5.6743936531102195</v>
      </c>
      <c r="AX137" s="382">
        <f t="shared" si="41"/>
        <v>5.9547181865408492</v>
      </c>
      <c r="AY137" s="382">
        <f t="shared" si="41"/>
        <v>6.2468163503755649</v>
      </c>
    </row>
    <row r="138" spans="1:71" s="206" customFormat="1" x14ac:dyDescent="0.2">
      <c r="A138" s="254"/>
      <c r="B138" s="337"/>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172"/>
    </row>
    <row r="139" spans="1:71" ht="12.75" x14ac:dyDescent="0.2">
      <c r="A139" s="249"/>
      <c r="B139" s="380">
        <v>2016</v>
      </c>
      <c r="C139" s="380">
        <f>B139+1</f>
        <v>2017</v>
      </c>
      <c r="D139" s="380">
        <f t="shared" ref="D139:S140" si="42">C139+1</f>
        <v>2018</v>
      </c>
      <c r="E139" s="380">
        <f t="shared" si="42"/>
        <v>2019</v>
      </c>
      <c r="F139" s="380">
        <f t="shared" si="42"/>
        <v>2020</v>
      </c>
      <c r="G139" s="380">
        <f t="shared" si="42"/>
        <v>2021</v>
      </c>
      <c r="H139" s="380">
        <f t="shared" si="42"/>
        <v>2022</v>
      </c>
      <c r="I139" s="380">
        <f t="shared" si="42"/>
        <v>2023</v>
      </c>
      <c r="J139" s="380">
        <f t="shared" si="42"/>
        <v>2024</v>
      </c>
      <c r="K139" s="380">
        <f t="shared" si="42"/>
        <v>2025</v>
      </c>
      <c r="L139" s="380">
        <f t="shared" si="42"/>
        <v>2026</v>
      </c>
      <c r="M139" s="380">
        <f t="shared" si="42"/>
        <v>2027</v>
      </c>
      <c r="N139" s="380">
        <f t="shared" si="42"/>
        <v>2028</v>
      </c>
      <c r="O139" s="380">
        <f t="shared" si="42"/>
        <v>2029</v>
      </c>
      <c r="P139" s="380">
        <f t="shared" si="42"/>
        <v>2030</v>
      </c>
      <c r="Q139" s="380">
        <f t="shared" si="42"/>
        <v>2031</v>
      </c>
      <c r="R139" s="380">
        <f t="shared" si="42"/>
        <v>2032</v>
      </c>
      <c r="S139" s="380">
        <f t="shared" si="42"/>
        <v>2033</v>
      </c>
      <c r="T139" s="380">
        <f t="shared" ref="T139:AI140" si="43">S139+1</f>
        <v>2034</v>
      </c>
      <c r="U139" s="380">
        <f t="shared" si="43"/>
        <v>2035</v>
      </c>
      <c r="V139" s="380">
        <f t="shared" si="43"/>
        <v>2036</v>
      </c>
      <c r="W139" s="380">
        <f t="shared" si="43"/>
        <v>2037</v>
      </c>
      <c r="X139" s="380">
        <f t="shared" si="43"/>
        <v>2038</v>
      </c>
      <c r="Y139" s="380">
        <f t="shared" si="43"/>
        <v>2039</v>
      </c>
      <c r="Z139" s="380">
        <f t="shared" si="43"/>
        <v>2040</v>
      </c>
      <c r="AA139" s="380">
        <f t="shared" si="43"/>
        <v>2041</v>
      </c>
      <c r="AB139" s="380">
        <f t="shared" si="43"/>
        <v>2042</v>
      </c>
      <c r="AC139" s="380">
        <f t="shared" si="43"/>
        <v>2043</v>
      </c>
      <c r="AD139" s="380">
        <f t="shared" si="43"/>
        <v>2044</v>
      </c>
      <c r="AE139" s="380">
        <f t="shared" si="43"/>
        <v>2045</v>
      </c>
      <c r="AF139" s="380">
        <f t="shared" si="43"/>
        <v>2046</v>
      </c>
      <c r="AG139" s="380">
        <f t="shared" si="43"/>
        <v>2047</v>
      </c>
      <c r="AH139" s="380">
        <f t="shared" si="43"/>
        <v>2048</v>
      </c>
      <c r="AI139" s="380">
        <f t="shared" si="43"/>
        <v>2049</v>
      </c>
      <c r="AJ139" s="380">
        <f t="shared" ref="AJ139:AY140" si="44">AI139+1</f>
        <v>2050</v>
      </c>
      <c r="AK139" s="380">
        <f t="shared" si="44"/>
        <v>2051</v>
      </c>
      <c r="AL139" s="380">
        <f t="shared" si="44"/>
        <v>2052</v>
      </c>
      <c r="AM139" s="380">
        <f t="shared" si="44"/>
        <v>2053</v>
      </c>
      <c r="AN139" s="380">
        <f t="shared" si="44"/>
        <v>2054</v>
      </c>
      <c r="AO139" s="380">
        <f t="shared" si="44"/>
        <v>2055</v>
      </c>
      <c r="AP139" s="380">
        <f t="shared" si="44"/>
        <v>2056</v>
      </c>
      <c r="AQ139" s="380">
        <f t="shared" si="44"/>
        <v>2057</v>
      </c>
      <c r="AR139" s="380">
        <f t="shared" si="44"/>
        <v>2058</v>
      </c>
      <c r="AS139" s="380">
        <f t="shared" si="44"/>
        <v>2059</v>
      </c>
      <c r="AT139" s="380">
        <f t="shared" si="44"/>
        <v>2060</v>
      </c>
      <c r="AU139" s="380">
        <f t="shared" si="44"/>
        <v>2061</v>
      </c>
      <c r="AV139" s="380">
        <f t="shared" si="44"/>
        <v>2062</v>
      </c>
      <c r="AW139" s="380">
        <f t="shared" si="44"/>
        <v>2063</v>
      </c>
      <c r="AX139" s="380">
        <f t="shared" si="44"/>
        <v>2064</v>
      </c>
      <c r="AY139" s="380">
        <f t="shared" si="44"/>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83">
        <v>0</v>
      </c>
      <c r="C140" s="383">
        <v>0</v>
      </c>
      <c r="D140" s="383">
        <v>1</v>
      </c>
      <c r="E140" s="383">
        <f>D140+1</f>
        <v>2</v>
      </c>
      <c r="F140" s="383">
        <f t="shared" si="42"/>
        <v>3</v>
      </c>
      <c r="G140" s="383">
        <f t="shared" si="42"/>
        <v>4</v>
      </c>
      <c r="H140" s="383">
        <f t="shared" si="42"/>
        <v>5</v>
      </c>
      <c r="I140" s="383">
        <f t="shared" si="42"/>
        <v>6</v>
      </c>
      <c r="J140" s="383">
        <f t="shared" si="42"/>
        <v>7</v>
      </c>
      <c r="K140" s="383">
        <f t="shared" si="42"/>
        <v>8</v>
      </c>
      <c r="L140" s="383">
        <f t="shared" si="42"/>
        <v>9</v>
      </c>
      <c r="M140" s="383">
        <f t="shared" si="42"/>
        <v>10</v>
      </c>
      <c r="N140" s="383">
        <f t="shared" si="42"/>
        <v>11</v>
      </c>
      <c r="O140" s="383">
        <f t="shared" si="42"/>
        <v>12</v>
      </c>
      <c r="P140" s="383">
        <f t="shared" si="42"/>
        <v>13</v>
      </c>
      <c r="Q140" s="383">
        <f t="shared" si="42"/>
        <v>14</v>
      </c>
      <c r="R140" s="383">
        <f t="shared" si="42"/>
        <v>15</v>
      </c>
      <c r="S140" s="383">
        <f t="shared" si="42"/>
        <v>16</v>
      </c>
      <c r="T140" s="383">
        <f t="shared" si="43"/>
        <v>17</v>
      </c>
      <c r="U140" s="383">
        <f t="shared" si="43"/>
        <v>18</v>
      </c>
      <c r="V140" s="383">
        <f t="shared" si="43"/>
        <v>19</v>
      </c>
      <c r="W140" s="383">
        <f t="shared" si="43"/>
        <v>20</v>
      </c>
      <c r="X140" s="383">
        <f t="shared" si="43"/>
        <v>21</v>
      </c>
      <c r="Y140" s="383">
        <f t="shared" si="43"/>
        <v>22</v>
      </c>
      <c r="Z140" s="383">
        <f t="shared" si="43"/>
        <v>23</v>
      </c>
      <c r="AA140" s="383">
        <f t="shared" si="43"/>
        <v>24</v>
      </c>
      <c r="AB140" s="383">
        <f t="shared" si="43"/>
        <v>25</v>
      </c>
      <c r="AC140" s="383">
        <f t="shared" si="43"/>
        <v>26</v>
      </c>
      <c r="AD140" s="383">
        <f t="shared" si="43"/>
        <v>27</v>
      </c>
      <c r="AE140" s="383">
        <f t="shared" si="43"/>
        <v>28</v>
      </c>
      <c r="AF140" s="383">
        <f t="shared" si="43"/>
        <v>29</v>
      </c>
      <c r="AG140" s="383">
        <f t="shared" si="43"/>
        <v>30</v>
      </c>
      <c r="AH140" s="383">
        <f t="shared" si="43"/>
        <v>31</v>
      </c>
      <c r="AI140" s="383">
        <f t="shared" si="43"/>
        <v>32</v>
      </c>
      <c r="AJ140" s="383">
        <f t="shared" si="44"/>
        <v>33</v>
      </c>
      <c r="AK140" s="383">
        <f t="shared" si="44"/>
        <v>34</v>
      </c>
      <c r="AL140" s="383">
        <f t="shared" si="44"/>
        <v>35</v>
      </c>
      <c r="AM140" s="383">
        <f t="shared" si="44"/>
        <v>36</v>
      </c>
      <c r="AN140" s="383">
        <f t="shared" si="44"/>
        <v>37</v>
      </c>
      <c r="AO140" s="383">
        <f t="shared" si="44"/>
        <v>38</v>
      </c>
      <c r="AP140" s="383">
        <f>AO140+1</f>
        <v>39</v>
      </c>
      <c r="AQ140" s="383">
        <f t="shared" si="44"/>
        <v>40</v>
      </c>
      <c r="AR140" s="383">
        <f t="shared" si="44"/>
        <v>41</v>
      </c>
      <c r="AS140" s="383">
        <f t="shared" si="44"/>
        <v>42</v>
      </c>
      <c r="AT140" s="383">
        <f t="shared" si="44"/>
        <v>43</v>
      </c>
      <c r="AU140" s="383">
        <f t="shared" si="44"/>
        <v>44</v>
      </c>
      <c r="AV140" s="383">
        <f t="shared" si="44"/>
        <v>45</v>
      </c>
      <c r="AW140" s="383">
        <f t="shared" si="44"/>
        <v>46</v>
      </c>
      <c r="AX140" s="383">
        <f t="shared" si="44"/>
        <v>47</v>
      </c>
      <c r="AY140" s="383">
        <f t="shared" si="44"/>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84">
        <f>AVERAGE(A140:B140)</f>
        <v>0</v>
      </c>
      <c r="C141" s="384">
        <f>AVERAGE(B140:C140)</f>
        <v>0</v>
      </c>
      <c r="D141" s="384">
        <f>AVERAGE(C140:D140)</f>
        <v>0.5</v>
      </c>
      <c r="E141" s="384">
        <f>AVERAGE(D140:E140)</f>
        <v>1.5</v>
      </c>
      <c r="F141" s="384">
        <f t="shared" ref="F141:AO141" si="45">AVERAGE(E140:F140)</f>
        <v>2.5</v>
      </c>
      <c r="G141" s="384">
        <f t="shared" si="45"/>
        <v>3.5</v>
      </c>
      <c r="H141" s="384">
        <f t="shared" si="45"/>
        <v>4.5</v>
      </c>
      <c r="I141" s="384">
        <f t="shared" si="45"/>
        <v>5.5</v>
      </c>
      <c r="J141" s="384">
        <f t="shared" si="45"/>
        <v>6.5</v>
      </c>
      <c r="K141" s="384">
        <f t="shared" si="45"/>
        <v>7.5</v>
      </c>
      <c r="L141" s="384">
        <f t="shared" si="45"/>
        <v>8.5</v>
      </c>
      <c r="M141" s="384">
        <f t="shared" si="45"/>
        <v>9.5</v>
      </c>
      <c r="N141" s="384">
        <f t="shared" si="45"/>
        <v>10.5</v>
      </c>
      <c r="O141" s="384">
        <f t="shared" si="45"/>
        <v>11.5</v>
      </c>
      <c r="P141" s="384">
        <f t="shared" si="45"/>
        <v>12.5</v>
      </c>
      <c r="Q141" s="384">
        <f t="shared" si="45"/>
        <v>13.5</v>
      </c>
      <c r="R141" s="384">
        <f t="shared" si="45"/>
        <v>14.5</v>
      </c>
      <c r="S141" s="384">
        <f t="shared" si="45"/>
        <v>15.5</v>
      </c>
      <c r="T141" s="384">
        <f t="shared" si="45"/>
        <v>16.5</v>
      </c>
      <c r="U141" s="384">
        <f t="shared" si="45"/>
        <v>17.5</v>
      </c>
      <c r="V141" s="384">
        <f t="shared" si="45"/>
        <v>18.5</v>
      </c>
      <c r="W141" s="384">
        <f t="shared" si="45"/>
        <v>19.5</v>
      </c>
      <c r="X141" s="384">
        <f t="shared" si="45"/>
        <v>20.5</v>
      </c>
      <c r="Y141" s="384">
        <f t="shared" si="45"/>
        <v>21.5</v>
      </c>
      <c r="Z141" s="384">
        <f t="shared" si="45"/>
        <v>22.5</v>
      </c>
      <c r="AA141" s="384">
        <f t="shared" si="45"/>
        <v>23.5</v>
      </c>
      <c r="AB141" s="384">
        <f t="shared" si="45"/>
        <v>24.5</v>
      </c>
      <c r="AC141" s="384">
        <f t="shared" si="45"/>
        <v>25.5</v>
      </c>
      <c r="AD141" s="384">
        <f t="shared" si="45"/>
        <v>26.5</v>
      </c>
      <c r="AE141" s="384">
        <f t="shared" si="45"/>
        <v>27.5</v>
      </c>
      <c r="AF141" s="384">
        <f t="shared" si="45"/>
        <v>28.5</v>
      </c>
      <c r="AG141" s="384">
        <f t="shared" si="45"/>
        <v>29.5</v>
      </c>
      <c r="AH141" s="384">
        <f t="shared" si="45"/>
        <v>30.5</v>
      </c>
      <c r="AI141" s="384">
        <f t="shared" si="45"/>
        <v>31.5</v>
      </c>
      <c r="AJ141" s="384">
        <f t="shared" si="45"/>
        <v>32.5</v>
      </c>
      <c r="AK141" s="384">
        <f t="shared" si="45"/>
        <v>33.5</v>
      </c>
      <c r="AL141" s="384">
        <f t="shared" si="45"/>
        <v>34.5</v>
      </c>
      <c r="AM141" s="384">
        <f t="shared" si="45"/>
        <v>35.5</v>
      </c>
      <c r="AN141" s="384">
        <f t="shared" si="45"/>
        <v>36.5</v>
      </c>
      <c r="AO141" s="384">
        <f t="shared" si="45"/>
        <v>37.5</v>
      </c>
      <c r="AP141" s="384">
        <f>AVERAGE(AO140:AP140)</f>
        <v>38.5</v>
      </c>
      <c r="AQ141" s="384">
        <f t="shared" ref="AQ141:AY141" si="46">AVERAGE(AP140:AQ140)</f>
        <v>39.5</v>
      </c>
      <c r="AR141" s="384">
        <f t="shared" si="46"/>
        <v>40.5</v>
      </c>
      <c r="AS141" s="384">
        <f t="shared" si="46"/>
        <v>41.5</v>
      </c>
      <c r="AT141" s="384">
        <f t="shared" si="46"/>
        <v>42.5</v>
      </c>
      <c r="AU141" s="384">
        <f t="shared" si="46"/>
        <v>43.5</v>
      </c>
      <c r="AV141" s="384">
        <f t="shared" si="46"/>
        <v>44.5</v>
      </c>
      <c r="AW141" s="384">
        <f t="shared" si="46"/>
        <v>45.5</v>
      </c>
      <c r="AX141" s="384">
        <f t="shared" si="46"/>
        <v>46.5</v>
      </c>
      <c r="AY141" s="384">
        <f t="shared" si="46"/>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I44" sqref="I44"/>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6" t="s">
        <v>66</v>
      </c>
    </row>
    <row r="2" spans="1:44" ht="18.75" x14ac:dyDescent="0.3">
      <c r="L2" s="13" t="s">
        <v>8</v>
      </c>
    </row>
    <row r="3" spans="1:44" ht="18.75" x14ac:dyDescent="0.3">
      <c r="L3" s="13" t="s">
        <v>65</v>
      </c>
    </row>
    <row r="4" spans="1:44" ht="18.75" x14ac:dyDescent="0.3">
      <c r="K4" s="13"/>
    </row>
    <row r="5" spans="1:44" x14ac:dyDescent="0.25">
      <c r="A5" s="415" t="str">
        <f>'2. паспорт  ТП'!A4:S4</f>
        <v>Год раскрытия информации: 2023 год</v>
      </c>
      <c r="B5" s="415"/>
      <c r="C5" s="415"/>
      <c r="D5" s="415"/>
      <c r="E5" s="415"/>
      <c r="F5" s="415"/>
      <c r="G5" s="415"/>
      <c r="H5" s="415"/>
      <c r="I5" s="415"/>
      <c r="J5" s="415"/>
      <c r="K5" s="415"/>
      <c r="L5" s="41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3"/>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row>
    <row r="10" spans="1:44" x14ac:dyDescent="0.25">
      <c r="A10" s="425" t="s">
        <v>6</v>
      </c>
      <c r="B10" s="425"/>
      <c r="C10" s="425"/>
      <c r="D10" s="425"/>
      <c r="E10" s="425"/>
      <c r="F10" s="425"/>
      <c r="G10" s="425"/>
      <c r="H10" s="425"/>
      <c r="I10" s="425"/>
      <c r="J10" s="425"/>
      <c r="K10" s="425"/>
      <c r="L10" s="425"/>
    </row>
    <row r="11" spans="1:44" ht="18.75" x14ac:dyDescent="0.25">
      <c r="A11" s="429"/>
      <c r="B11" s="429"/>
      <c r="C11" s="429"/>
      <c r="D11" s="429"/>
      <c r="E11" s="429"/>
      <c r="F11" s="429"/>
      <c r="G11" s="429"/>
      <c r="H11" s="429"/>
      <c r="I11" s="429"/>
      <c r="J11" s="429"/>
      <c r="K11" s="429"/>
      <c r="L11" s="429"/>
    </row>
    <row r="12" spans="1:44" x14ac:dyDescent="0.25">
      <c r="A12" s="423" t="str">
        <f>'1. паспорт местоположение'!A12:C12</f>
        <v>H_17-0361</v>
      </c>
      <c r="B12" s="423"/>
      <c r="C12" s="423"/>
      <c r="D12" s="423"/>
      <c r="E12" s="423"/>
      <c r="F12" s="423"/>
      <c r="G12" s="423"/>
      <c r="H12" s="423"/>
      <c r="I12" s="423"/>
      <c r="J12" s="423"/>
      <c r="K12" s="423"/>
      <c r="L12" s="423"/>
    </row>
    <row r="13" spans="1:44" x14ac:dyDescent="0.25">
      <c r="A13" s="425" t="s">
        <v>5</v>
      </c>
      <c r="B13" s="425"/>
      <c r="C13" s="425"/>
      <c r="D13" s="425"/>
      <c r="E13" s="425"/>
      <c r="F13" s="425"/>
      <c r="G13" s="425"/>
      <c r="H13" s="425"/>
      <c r="I13" s="425"/>
      <c r="J13" s="425"/>
      <c r="K13" s="425"/>
      <c r="L13" s="425"/>
    </row>
    <row r="14" spans="1:44" ht="18.75" x14ac:dyDescent="0.25">
      <c r="A14" s="430"/>
      <c r="B14" s="430"/>
      <c r="C14" s="430"/>
      <c r="D14" s="430"/>
      <c r="E14" s="430"/>
      <c r="F14" s="430"/>
      <c r="G14" s="430"/>
      <c r="H14" s="430"/>
      <c r="I14" s="430"/>
      <c r="J14" s="430"/>
      <c r="K14" s="430"/>
      <c r="L14" s="430"/>
    </row>
    <row r="15" spans="1:44" x14ac:dyDescent="0.25">
      <c r="A15" s="423" t="str">
        <f>'1. паспорт местоположение'!A15</f>
        <v>Строительство РП 15 кВ, КЛ 15кВ от ПС В-67 (инв. № 5147867), КЛ 15 кВ от абонентской КТП № 7 в г. Пионерском, ул. Портовая</v>
      </c>
      <c r="B15" s="423"/>
      <c r="C15" s="423"/>
      <c r="D15" s="423"/>
      <c r="E15" s="423"/>
      <c r="F15" s="423"/>
      <c r="G15" s="423"/>
      <c r="H15" s="423"/>
      <c r="I15" s="423"/>
      <c r="J15" s="423"/>
      <c r="K15" s="423"/>
      <c r="L15" s="423"/>
    </row>
    <row r="16" spans="1:44" x14ac:dyDescent="0.25">
      <c r="A16" s="425" t="s">
        <v>4</v>
      </c>
      <c r="B16" s="425"/>
      <c r="C16" s="425"/>
      <c r="D16" s="425"/>
      <c r="E16" s="425"/>
      <c r="F16" s="425"/>
      <c r="G16" s="425"/>
      <c r="H16" s="425"/>
      <c r="I16" s="425"/>
      <c r="J16" s="425"/>
      <c r="K16" s="425"/>
      <c r="L16" s="425"/>
    </row>
    <row r="17" spans="1:12" ht="15.75" customHeight="1" x14ac:dyDescent="0.25">
      <c r="L17" s="94"/>
    </row>
    <row r="18" spans="1:12" x14ac:dyDescent="0.25">
      <c r="K18" s="93"/>
    </row>
    <row r="19" spans="1:12" ht="15.75" customHeight="1" x14ac:dyDescent="0.25">
      <c r="A19" s="486" t="s">
        <v>495</v>
      </c>
      <c r="B19" s="486"/>
      <c r="C19" s="486"/>
      <c r="D19" s="486"/>
      <c r="E19" s="486"/>
      <c r="F19" s="486"/>
      <c r="G19" s="486"/>
      <c r="H19" s="486"/>
      <c r="I19" s="486"/>
      <c r="J19" s="486"/>
      <c r="K19" s="486"/>
      <c r="L19" s="486"/>
    </row>
    <row r="20" spans="1:12" x14ac:dyDescent="0.25">
      <c r="A20" s="63"/>
      <c r="B20" s="63"/>
      <c r="C20" s="92"/>
      <c r="D20" s="92"/>
      <c r="E20" s="92"/>
      <c r="F20" s="92"/>
      <c r="G20" s="92"/>
      <c r="H20" s="92"/>
      <c r="I20" s="92"/>
      <c r="J20" s="92"/>
      <c r="K20" s="92"/>
      <c r="L20" s="92"/>
    </row>
    <row r="21" spans="1:12" ht="28.5" customHeight="1" x14ac:dyDescent="0.25">
      <c r="A21" s="487" t="s">
        <v>218</v>
      </c>
      <c r="B21" s="487" t="s">
        <v>217</v>
      </c>
      <c r="C21" s="493" t="s">
        <v>427</v>
      </c>
      <c r="D21" s="493"/>
      <c r="E21" s="493"/>
      <c r="F21" s="493"/>
      <c r="G21" s="493"/>
      <c r="H21" s="493"/>
      <c r="I21" s="488" t="s">
        <v>216</v>
      </c>
      <c r="J21" s="490" t="s">
        <v>429</v>
      </c>
      <c r="K21" s="487" t="s">
        <v>215</v>
      </c>
      <c r="L21" s="489" t="s">
        <v>428</v>
      </c>
    </row>
    <row r="22" spans="1:12" ht="58.5" customHeight="1" x14ac:dyDescent="0.25">
      <c r="A22" s="487"/>
      <c r="B22" s="487"/>
      <c r="C22" s="494" t="s">
        <v>2</v>
      </c>
      <c r="D22" s="494"/>
      <c r="E22" s="495" t="s">
        <v>644</v>
      </c>
      <c r="F22" s="496"/>
      <c r="G22" s="495" t="s">
        <v>651</v>
      </c>
      <c r="H22" s="496"/>
      <c r="I22" s="488"/>
      <c r="J22" s="491"/>
      <c r="K22" s="487"/>
      <c r="L22" s="489"/>
    </row>
    <row r="23" spans="1:12" ht="31.5" x14ac:dyDescent="0.25">
      <c r="A23" s="487"/>
      <c r="B23" s="487"/>
      <c r="C23" s="91" t="s">
        <v>214</v>
      </c>
      <c r="D23" s="91" t="s">
        <v>213</v>
      </c>
      <c r="E23" s="91" t="s">
        <v>214</v>
      </c>
      <c r="F23" s="91" t="s">
        <v>213</v>
      </c>
      <c r="G23" s="91" t="s">
        <v>214</v>
      </c>
      <c r="H23" s="91" t="s">
        <v>213</v>
      </c>
      <c r="I23" s="488"/>
      <c r="J23" s="492"/>
      <c r="K23" s="487"/>
      <c r="L23" s="489"/>
    </row>
    <row r="24" spans="1:12" x14ac:dyDescent="0.25">
      <c r="A24" s="69">
        <v>1</v>
      </c>
      <c r="B24" s="69">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3"/>
      <c r="L25" s="103"/>
    </row>
    <row r="26" spans="1:12" ht="21.75" customHeight="1" x14ac:dyDescent="0.25">
      <c r="A26" s="86" t="s">
        <v>211</v>
      </c>
      <c r="B26" s="90" t="s">
        <v>434</v>
      </c>
      <c r="C26" s="84" t="s">
        <v>648</v>
      </c>
      <c r="D26" s="312" t="s">
        <v>648</v>
      </c>
      <c r="E26" s="312"/>
      <c r="F26" s="313">
        <v>42731</v>
      </c>
      <c r="G26" s="312"/>
      <c r="H26" s="313">
        <v>42338</v>
      </c>
      <c r="I26" s="312">
        <v>100</v>
      </c>
      <c r="J26" s="312"/>
      <c r="K26" s="83"/>
      <c r="L26" s="83"/>
    </row>
    <row r="27" spans="1:12" s="65" customFormat="1" ht="39" customHeight="1" x14ac:dyDescent="0.25">
      <c r="A27" s="86" t="s">
        <v>210</v>
      </c>
      <c r="B27" s="90" t="s">
        <v>436</v>
      </c>
      <c r="C27" s="84" t="s">
        <v>648</v>
      </c>
      <c r="D27" s="312" t="s">
        <v>648</v>
      </c>
      <c r="E27" s="312" t="s">
        <v>531</v>
      </c>
      <c r="F27" s="312" t="s">
        <v>531</v>
      </c>
      <c r="G27" s="312" t="s">
        <v>531</v>
      </c>
      <c r="H27" s="312" t="s">
        <v>531</v>
      </c>
      <c r="I27" s="312"/>
      <c r="J27" s="312"/>
      <c r="K27" s="83"/>
      <c r="L27" s="83"/>
    </row>
    <row r="28" spans="1:12" s="65" customFormat="1" ht="70.5" customHeight="1" x14ac:dyDescent="0.25">
      <c r="A28" s="86" t="s">
        <v>435</v>
      </c>
      <c r="B28" s="90" t="s">
        <v>440</v>
      </c>
      <c r="C28" s="84" t="s">
        <v>648</v>
      </c>
      <c r="D28" s="312" t="s">
        <v>648</v>
      </c>
      <c r="E28" s="312" t="s">
        <v>531</v>
      </c>
      <c r="F28" s="312" t="s">
        <v>531</v>
      </c>
      <c r="G28" s="312" t="s">
        <v>531</v>
      </c>
      <c r="H28" s="312" t="s">
        <v>531</v>
      </c>
      <c r="I28" s="312"/>
      <c r="J28" s="312"/>
      <c r="K28" s="83"/>
      <c r="L28" s="83"/>
    </row>
    <row r="29" spans="1:12" s="65" customFormat="1" ht="54" customHeight="1" x14ac:dyDescent="0.25">
      <c r="A29" s="86" t="s">
        <v>209</v>
      </c>
      <c r="B29" s="90" t="s">
        <v>439</v>
      </c>
      <c r="C29" s="84" t="s">
        <v>648</v>
      </c>
      <c r="D29" s="312" t="s">
        <v>648</v>
      </c>
      <c r="E29" s="312" t="s">
        <v>531</v>
      </c>
      <c r="F29" s="312" t="s">
        <v>531</v>
      </c>
      <c r="G29" s="312" t="s">
        <v>531</v>
      </c>
      <c r="H29" s="312" t="s">
        <v>531</v>
      </c>
      <c r="I29" s="312"/>
      <c r="J29" s="312"/>
      <c r="K29" s="83"/>
      <c r="L29" s="83"/>
    </row>
    <row r="30" spans="1:12" s="65" customFormat="1" ht="42" customHeight="1" x14ac:dyDescent="0.25">
      <c r="A30" s="86" t="s">
        <v>208</v>
      </c>
      <c r="B30" s="90" t="s">
        <v>441</v>
      </c>
      <c r="C30" s="84" t="s">
        <v>648</v>
      </c>
      <c r="D30" s="312" t="s">
        <v>648</v>
      </c>
      <c r="E30" s="312" t="s">
        <v>531</v>
      </c>
      <c r="F30" s="312" t="s">
        <v>531</v>
      </c>
      <c r="G30" s="312" t="s">
        <v>531</v>
      </c>
      <c r="H30" s="312" t="s">
        <v>531</v>
      </c>
      <c r="I30" s="312"/>
      <c r="J30" s="312"/>
      <c r="K30" s="83"/>
      <c r="L30" s="83"/>
    </row>
    <row r="31" spans="1:12" s="65" customFormat="1" ht="37.5" customHeight="1" x14ac:dyDescent="0.25">
      <c r="A31" s="86" t="s">
        <v>207</v>
      </c>
      <c r="B31" s="85" t="s">
        <v>437</v>
      </c>
      <c r="C31" s="84" t="s">
        <v>648</v>
      </c>
      <c r="D31" s="312" t="s">
        <v>648</v>
      </c>
      <c r="E31" s="313">
        <v>42927</v>
      </c>
      <c r="F31" s="313">
        <v>42927</v>
      </c>
      <c r="G31" s="312" t="s">
        <v>531</v>
      </c>
      <c r="H31" s="312" t="s">
        <v>531</v>
      </c>
      <c r="I31" s="312">
        <v>100</v>
      </c>
      <c r="J31" s="312"/>
      <c r="K31" s="83"/>
      <c r="L31" s="83"/>
    </row>
    <row r="32" spans="1:12" s="65" customFormat="1" ht="31.5" x14ac:dyDescent="0.25">
      <c r="A32" s="86" t="s">
        <v>205</v>
      </c>
      <c r="B32" s="85" t="s">
        <v>442</v>
      </c>
      <c r="C32" s="84" t="s">
        <v>648</v>
      </c>
      <c r="D32" s="312" t="s">
        <v>648</v>
      </c>
      <c r="E32" s="313">
        <v>43131</v>
      </c>
      <c r="F32" s="313">
        <v>43131</v>
      </c>
      <c r="G32" s="313"/>
      <c r="H32" s="313"/>
      <c r="I32" s="312">
        <v>100</v>
      </c>
      <c r="J32" s="312"/>
      <c r="K32" s="83"/>
      <c r="L32" s="83"/>
    </row>
    <row r="33" spans="1:12" s="65" customFormat="1" ht="37.5" customHeight="1" x14ac:dyDescent="0.25">
      <c r="A33" s="86" t="s">
        <v>453</v>
      </c>
      <c r="B33" s="85" t="s">
        <v>369</v>
      </c>
      <c r="C33" s="84" t="s">
        <v>648</v>
      </c>
      <c r="D33" s="312" t="s">
        <v>648</v>
      </c>
      <c r="E33" s="312" t="s">
        <v>531</v>
      </c>
      <c r="F33" s="312" t="s">
        <v>531</v>
      </c>
      <c r="G33" s="312" t="s">
        <v>531</v>
      </c>
      <c r="H33" s="312" t="s">
        <v>531</v>
      </c>
      <c r="I33" s="312"/>
      <c r="J33" s="312"/>
      <c r="K33" s="83"/>
      <c r="L33" s="83"/>
    </row>
    <row r="34" spans="1:12" s="65" customFormat="1" ht="47.25" customHeight="1" x14ac:dyDescent="0.25">
      <c r="A34" s="86" t="s">
        <v>454</v>
      </c>
      <c r="B34" s="85" t="s">
        <v>446</v>
      </c>
      <c r="C34" s="84" t="s">
        <v>648</v>
      </c>
      <c r="D34" s="312" t="s">
        <v>648</v>
      </c>
      <c r="E34" s="312" t="s">
        <v>531</v>
      </c>
      <c r="F34" s="312" t="s">
        <v>531</v>
      </c>
      <c r="G34" s="312" t="s">
        <v>531</v>
      </c>
      <c r="H34" s="312" t="s">
        <v>531</v>
      </c>
      <c r="I34" s="312"/>
      <c r="J34" s="312"/>
      <c r="K34" s="88"/>
      <c r="L34" s="83"/>
    </row>
    <row r="35" spans="1:12" s="65" customFormat="1" ht="49.5" customHeight="1" x14ac:dyDescent="0.25">
      <c r="A35" s="86" t="s">
        <v>455</v>
      </c>
      <c r="B35" s="85" t="s">
        <v>206</v>
      </c>
      <c r="C35" s="84" t="s">
        <v>648</v>
      </c>
      <c r="D35" s="312" t="s">
        <v>648</v>
      </c>
      <c r="E35" s="313">
        <v>43131</v>
      </c>
      <c r="F35" s="313">
        <v>43131</v>
      </c>
      <c r="G35" s="313"/>
      <c r="H35" s="313"/>
      <c r="I35" s="312">
        <v>100</v>
      </c>
      <c r="J35" s="312"/>
      <c r="K35" s="88"/>
      <c r="L35" s="83"/>
    </row>
    <row r="36" spans="1:12" ht="37.5" customHeight="1" x14ac:dyDescent="0.25">
      <c r="A36" s="86" t="s">
        <v>456</v>
      </c>
      <c r="B36" s="85" t="s">
        <v>438</v>
      </c>
      <c r="C36" s="84" t="s">
        <v>648</v>
      </c>
      <c r="D36" s="314" t="s">
        <v>648</v>
      </c>
      <c r="E36" s="312" t="s">
        <v>531</v>
      </c>
      <c r="F36" s="312" t="s">
        <v>531</v>
      </c>
      <c r="G36" s="312" t="s">
        <v>531</v>
      </c>
      <c r="H36" s="312" t="s">
        <v>531</v>
      </c>
      <c r="I36" s="312"/>
      <c r="J36" s="312"/>
      <c r="K36" s="83"/>
      <c r="L36" s="83"/>
    </row>
    <row r="37" spans="1:12" x14ac:dyDescent="0.25">
      <c r="A37" s="86" t="s">
        <v>457</v>
      </c>
      <c r="B37" s="85" t="s">
        <v>204</v>
      </c>
      <c r="C37" s="84" t="s">
        <v>648</v>
      </c>
      <c r="D37" s="314" t="s">
        <v>648</v>
      </c>
      <c r="E37" s="313">
        <v>43131</v>
      </c>
      <c r="F37" s="313">
        <v>43131</v>
      </c>
      <c r="G37" s="313"/>
      <c r="H37" s="313"/>
      <c r="I37" s="312">
        <v>100</v>
      </c>
      <c r="J37" s="315"/>
      <c r="K37" s="83"/>
      <c r="L37" s="83"/>
    </row>
    <row r="38" spans="1:12" x14ac:dyDescent="0.25">
      <c r="A38" s="86" t="s">
        <v>458</v>
      </c>
      <c r="B38" s="87" t="s">
        <v>203</v>
      </c>
      <c r="C38" s="84" t="s">
        <v>648</v>
      </c>
      <c r="D38" s="314" t="s">
        <v>648</v>
      </c>
      <c r="E38" s="314"/>
      <c r="F38" s="314"/>
      <c r="G38" s="314"/>
      <c r="H38" s="314"/>
      <c r="I38" s="314"/>
      <c r="J38" s="314"/>
      <c r="K38" s="83"/>
      <c r="L38" s="83"/>
    </row>
    <row r="39" spans="1:12" ht="63" customHeight="1" x14ac:dyDescent="0.25">
      <c r="A39" s="86">
        <v>2</v>
      </c>
      <c r="B39" s="85" t="s">
        <v>443</v>
      </c>
      <c r="C39" s="84" t="s">
        <v>648</v>
      </c>
      <c r="D39" s="314" t="s">
        <v>648</v>
      </c>
      <c r="E39" s="313">
        <v>43299</v>
      </c>
      <c r="F39" s="313">
        <v>43299</v>
      </c>
      <c r="G39" s="313"/>
      <c r="H39" s="313"/>
      <c r="I39" s="312">
        <v>100</v>
      </c>
      <c r="J39" s="314"/>
      <c r="K39" s="83"/>
      <c r="L39" s="83"/>
    </row>
    <row r="40" spans="1:12" ht="33.75" customHeight="1" x14ac:dyDescent="0.25">
      <c r="A40" s="86" t="s">
        <v>202</v>
      </c>
      <c r="B40" s="85" t="s">
        <v>445</v>
      </c>
      <c r="C40" s="84" t="s">
        <v>648</v>
      </c>
      <c r="D40" s="314" t="s">
        <v>648</v>
      </c>
      <c r="E40" s="313">
        <v>43299</v>
      </c>
      <c r="F40" s="313">
        <v>44327</v>
      </c>
      <c r="G40" s="313"/>
      <c r="H40" s="313"/>
      <c r="I40" s="312">
        <v>100</v>
      </c>
      <c r="J40" s="314"/>
      <c r="K40" s="83"/>
      <c r="L40" s="83"/>
    </row>
    <row r="41" spans="1:12" ht="63" customHeight="1" x14ac:dyDescent="0.25">
      <c r="A41" s="86" t="s">
        <v>201</v>
      </c>
      <c r="B41" s="87" t="s">
        <v>526</v>
      </c>
      <c r="C41" s="84" t="s">
        <v>648</v>
      </c>
      <c r="D41" s="314" t="s">
        <v>648</v>
      </c>
      <c r="E41" s="314"/>
      <c r="F41" s="314"/>
      <c r="G41" s="314"/>
      <c r="H41" s="314"/>
      <c r="I41" s="314"/>
      <c r="J41" s="314"/>
      <c r="K41" s="83"/>
      <c r="L41" s="83"/>
    </row>
    <row r="42" spans="1:12" ht="58.5" customHeight="1" x14ac:dyDescent="0.25">
      <c r="A42" s="86">
        <v>3</v>
      </c>
      <c r="B42" s="85" t="s">
        <v>444</v>
      </c>
      <c r="C42" s="84" t="s">
        <v>648</v>
      </c>
      <c r="D42" s="314" t="s">
        <v>648</v>
      </c>
      <c r="E42" s="313">
        <v>43299</v>
      </c>
      <c r="F42" s="313">
        <v>43299</v>
      </c>
      <c r="G42" s="313"/>
      <c r="H42" s="313"/>
      <c r="I42" s="312">
        <v>100</v>
      </c>
      <c r="J42" s="314"/>
      <c r="K42" s="83"/>
      <c r="L42" s="83"/>
    </row>
    <row r="43" spans="1:12" ht="34.5" customHeight="1" x14ac:dyDescent="0.25">
      <c r="A43" s="86" t="s">
        <v>200</v>
      </c>
      <c r="B43" s="85" t="s">
        <v>198</v>
      </c>
      <c r="C43" s="84" t="s">
        <v>648</v>
      </c>
      <c r="D43" s="314" t="s">
        <v>648</v>
      </c>
      <c r="E43" s="313">
        <v>43556</v>
      </c>
      <c r="F43" s="313">
        <v>44340</v>
      </c>
      <c r="G43" s="313"/>
      <c r="H43" s="313"/>
      <c r="I43" s="312">
        <v>100</v>
      </c>
      <c r="J43" s="312"/>
      <c r="K43" s="83"/>
      <c r="L43" s="83"/>
    </row>
    <row r="44" spans="1:12" ht="24.75" customHeight="1" x14ac:dyDescent="0.25">
      <c r="A44" s="86" t="s">
        <v>199</v>
      </c>
      <c r="B44" s="85" t="s">
        <v>196</v>
      </c>
      <c r="C44" s="84" t="s">
        <v>648</v>
      </c>
      <c r="D44" s="314" t="s">
        <v>648</v>
      </c>
      <c r="E44" s="313">
        <v>43556</v>
      </c>
      <c r="F44" s="313">
        <v>44926</v>
      </c>
      <c r="G44" s="316"/>
      <c r="H44" s="316"/>
      <c r="I44" s="312">
        <v>100</v>
      </c>
      <c r="J44" s="314"/>
      <c r="K44" s="83"/>
      <c r="L44" s="83"/>
    </row>
    <row r="45" spans="1:12" ht="90.75" customHeight="1" x14ac:dyDescent="0.25">
      <c r="A45" s="86" t="s">
        <v>197</v>
      </c>
      <c r="B45" s="85" t="s">
        <v>449</v>
      </c>
      <c r="C45" s="84" t="s">
        <v>648</v>
      </c>
      <c r="D45" s="314" t="s">
        <v>648</v>
      </c>
      <c r="E45" s="312" t="s">
        <v>531</v>
      </c>
      <c r="F45" s="312" t="s">
        <v>531</v>
      </c>
      <c r="G45" s="312"/>
      <c r="H45" s="312"/>
      <c r="I45" s="312"/>
      <c r="J45" s="312"/>
      <c r="K45" s="83"/>
      <c r="L45" s="83"/>
    </row>
    <row r="46" spans="1:12" ht="167.25" customHeight="1" x14ac:dyDescent="0.25">
      <c r="A46" s="86" t="s">
        <v>195</v>
      </c>
      <c r="B46" s="85" t="s">
        <v>447</v>
      </c>
      <c r="C46" s="84" t="s">
        <v>648</v>
      </c>
      <c r="D46" s="314" t="s">
        <v>648</v>
      </c>
      <c r="E46" s="312" t="s">
        <v>531</v>
      </c>
      <c r="F46" s="312" t="s">
        <v>531</v>
      </c>
      <c r="G46" s="312"/>
      <c r="H46" s="312"/>
      <c r="I46" s="312"/>
      <c r="J46" s="312"/>
      <c r="K46" s="83"/>
      <c r="L46" s="83"/>
    </row>
    <row r="47" spans="1:12" ht="30.75" customHeight="1" x14ac:dyDescent="0.25">
      <c r="A47" s="86" t="s">
        <v>193</v>
      </c>
      <c r="B47" s="85" t="s">
        <v>194</v>
      </c>
      <c r="C47" s="84" t="s">
        <v>648</v>
      </c>
      <c r="D47" s="314" t="s">
        <v>648</v>
      </c>
      <c r="E47" s="316"/>
      <c r="F47" s="316"/>
      <c r="G47" s="316"/>
      <c r="H47" s="316"/>
      <c r="I47" s="314"/>
      <c r="J47" s="314"/>
      <c r="K47" s="83"/>
      <c r="L47" s="83"/>
    </row>
    <row r="48" spans="1:12" ht="37.5" customHeight="1" x14ac:dyDescent="0.25">
      <c r="A48" s="86" t="s">
        <v>459</v>
      </c>
      <c r="B48" s="87" t="s">
        <v>192</v>
      </c>
      <c r="C48" s="84" t="s">
        <v>648</v>
      </c>
      <c r="D48" s="314" t="s">
        <v>648</v>
      </c>
      <c r="E48" s="314"/>
      <c r="F48" s="314"/>
      <c r="G48" s="314"/>
      <c r="H48" s="314"/>
      <c r="I48" s="314"/>
      <c r="J48" s="314"/>
      <c r="K48" s="83"/>
      <c r="L48" s="83"/>
    </row>
    <row r="49" spans="1:12" ht="35.25" customHeight="1" x14ac:dyDescent="0.25">
      <c r="A49" s="86">
        <v>4</v>
      </c>
      <c r="B49" s="85" t="s">
        <v>190</v>
      </c>
      <c r="C49" s="84" t="s">
        <v>648</v>
      </c>
      <c r="D49" s="314" t="s">
        <v>648</v>
      </c>
      <c r="E49" s="316"/>
      <c r="F49" s="316"/>
      <c r="G49" s="316"/>
      <c r="H49" s="316"/>
      <c r="I49" s="314"/>
      <c r="J49" s="314"/>
      <c r="K49" s="83"/>
      <c r="L49" s="83"/>
    </row>
    <row r="50" spans="1:12" ht="86.25" customHeight="1" x14ac:dyDescent="0.25">
      <c r="A50" s="86" t="s">
        <v>191</v>
      </c>
      <c r="B50" s="85" t="s">
        <v>448</v>
      </c>
      <c r="C50" s="84" t="s">
        <v>648</v>
      </c>
      <c r="D50" s="314" t="s">
        <v>648</v>
      </c>
      <c r="E50" s="316"/>
      <c r="F50" s="316"/>
      <c r="G50" s="316"/>
      <c r="H50" s="316"/>
      <c r="I50" s="314"/>
      <c r="J50" s="314"/>
      <c r="K50" s="83"/>
      <c r="L50" s="83"/>
    </row>
    <row r="51" spans="1:12" ht="77.25" customHeight="1" x14ac:dyDescent="0.25">
      <c r="A51" s="86" t="s">
        <v>189</v>
      </c>
      <c r="B51" s="85" t="s">
        <v>450</v>
      </c>
      <c r="C51" s="84" t="s">
        <v>648</v>
      </c>
      <c r="D51" s="314" t="s">
        <v>648</v>
      </c>
      <c r="E51" s="312"/>
      <c r="F51" s="312"/>
      <c r="G51" s="316"/>
      <c r="H51" s="316"/>
      <c r="I51" s="314"/>
      <c r="J51" s="314"/>
      <c r="K51" s="83"/>
      <c r="L51" s="83"/>
    </row>
    <row r="52" spans="1:12" ht="71.25" customHeight="1" x14ac:dyDescent="0.25">
      <c r="A52" s="86" t="s">
        <v>187</v>
      </c>
      <c r="B52" s="85" t="s">
        <v>188</v>
      </c>
      <c r="C52" s="84" t="s">
        <v>648</v>
      </c>
      <c r="D52" s="314" t="s">
        <v>648</v>
      </c>
      <c r="E52" s="316"/>
      <c r="F52" s="316"/>
      <c r="G52" s="316"/>
      <c r="H52" s="316"/>
      <c r="I52" s="314"/>
      <c r="J52" s="314"/>
      <c r="K52" s="83"/>
      <c r="L52" s="83"/>
    </row>
    <row r="53" spans="1:12" ht="48" customHeight="1" x14ac:dyDescent="0.25">
      <c r="A53" s="86" t="s">
        <v>185</v>
      </c>
      <c r="B53" s="149" t="s">
        <v>451</v>
      </c>
      <c r="C53" s="84" t="s">
        <v>648</v>
      </c>
      <c r="D53" s="314" t="s">
        <v>648</v>
      </c>
      <c r="E53" s="316"/>
      <c r="F53" s="316"/>
      <c r="G53" s="316"/>
      <c r="H53" s="316"/>
      <c r="I53" s="314"/>
      <c r="J53" s="314"/>
      <c r="K53" s="83"/>
      <c r="L53" s="83"/>
    </row>
    <row r="54" spans="1:12" ht="46.5" customHeight="1" x14ac:dyDescent="0.25">
      <c r="A54" s="86" t="s">
        <v>452</v>
      </c>
      <c r="B54" s="85" t="s">
        <v>186</v>
      </c>
      <c r="C54" s="84" t="s">
        <v>648</v>
      </c>
      <c r="D54" s="314" t="s">
        <v>648</v>
      </c>
      <c r="E54" s="316"/>
      <c r="F54" s="316"/>
      <c r="G54" s="316"/>
      <c r="H54" s="316"/>
      <c r="I54" s="314"/>
      <c r="J54" s="314"/>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2023-04-28T08:43:08Z</dcterms:modified>
</cp:coreProperties>
</file>