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4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AT26" i="5" l="1"/>
  <c r="AD26" i="5"/>
  <c r="R26" i="5"/>
  <c r="J26" i="5"/>
  <c r="I26" i="5"/>
  <c r="C40" i="7"/>
  <c r="S30" i="14"/>
  <c r="S29" i="14"/>
  <c r="S28" i="14"/>
  <c r="E27" i="14"/>
  <c r="Q27" i="14"/>
  <c r="E26" i="14"/>
  <c r="E25" i="14"/>
  <c r="R28" i="14" l="1"/>
  <c r="Q28" i="14"/>
  <c r="C23" i="6"/>
  <c r="AE26" i="5" l="1"/>
  <c r="AD30" i="5" l="1"/>
  <c r="B29" i="53" s="1"/>
  <c r="B92" i="53" l="1"/>
  <c r="U52" i="15"/>
  <c r="W52" i="15" s="1"/>
  <c r="K30" i="15"/>
  <c r="L30" i="15"/>
  <c r="M30" i="15"/>
  <c r="N30" i="15"/>
  <c r="O30" i="15"/>
  <c r="P30" i="15"/>
  <c r="A15" i="56"/>
  <c r="A12" i="56"/>
  <c r="A9" i="56"/>
  <c r="A5" i="56"/>
  <c r="E141" i="56"/>
  <c r="D141" i="56"/>
  <c r="C141" i="56"/>
  <c r="B141"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49" i="56" l="1"/>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U63" i="15" l="1"/>
  <c r="S24" i="15"/>
  <c r="R24" i="15"/>
  <c r="Q24" i="15"/>
  <c r="P24" i="15"/>
  <c r="O24" i="15"/>
  <c r="N24" i="15"/>
  <c r="M24" i="15"/>
  <c r="L24" i="15"/>
  <c r="K24" i="15"/>
  <c r="J24" i="15"/>
  <c r="I24" i="15"/>
  <c r="H24" i="15"/>
  <c r="T24" i="15" s="1"/>
  <c r="S30" i="15"/>
  <c r="R30" i="15"/>
  <c r="Q30" i="15"/>
  <c r="J30" i="15"/>
  <c r="I30" i="15"/>
  <c r="H30" i="15"/>
  <c r="T30" i="15" s="1"/>
  <c r="U24" i="15" l="1"/>
  <c r="W24" i="15" s="1"/>
  <c r="B126" i="56" s="1"/>
  <c r="B25" i="56" s="1"/>
  <c r="C67" i="56"/>
  <c r="B54" i="56"/>
  <c r="B50" i="56"/>
  <c r="B59" i="56" s="1"/>
  <c r="B81" i="56"/>
  <c r="B29" i="56"/>
  <c r="U30" i="15"/>
  <c r="W30" i="15" s="1"/>
  <c r="B22" i="53"/>
  <c r="B55" i="56" l="1"/>
  <c r="B56" i="56" s="1"/>
  <c r="B69" i="56" s="1"/>
  <c r="B77" i="56" s="1"/>
  <c r="C53"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82" i="56" l="1"/>
  <c r="B79" i="53"/>
  <c r="B34" i="53"/>
  <c r="C79" i="56"/>
  <c r="D79" i="56" s="1"/>
  <c r="E79" i="56" s="1"/>
  <c r="F79" i="56" s="1"/>
  <c r="C55" i="56"/>
  <c r="C82" i="56" s="1"/>
  <c r="E67" i="56"/>
  <c r="E68" i="56" s="1"/>
  <c r="E75" i="56" s="1"/>
  <c r="D76" i="56"/>
  <c r="B86" i="53"/>
  <c r="B60" i="53"/>
  <c r="B82" i="53"/>
  <c r="B64" i="53"/>
  <c r="B68" i="53"/>
  <c r="D68" i="56"/>
  <c r="D75" i="56" s="1"/>
  <c r="B75" i="56"/>
  <c r="B70" i="56"/>
  <c r="C60" i="56"/>
  <c r="C66" i="56" s="1"/>
  <c r="C68" i="56" s="1"/>
  <c r="C56" i="56" l="1"/>
  <c r="C69" i="56" s="1"/>
  <c r="C77" i="56" s="1"/>
  <c r="D53" i="56"/>
  <c r="B24" i="53"/>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D24" i="15"/>
  <c r="E24" i="15"/>
  <c r="F24" i="15"/>
  <c r="C24" i="15"/>
  <c r="A5" i="53"/>
  <c r="E55" i="56" l="1"/>
  <c r="F53" i="56" s="1"/>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G72" i="56"/>
  <c r="A8" i="17"/>
  <c r="E9" i="14"/>
  <c r="F78" i="56" l="1"/>
  <c r="F83" i="56" s="1"/>
  <c r="F86" i="56" s="1"/>
  <c r="G78" i="56"/>
  <c r="G83" i="56" s="1"/>
  <c r="I53" i="56"/>
  <c r="E86" i="56"/>
  <c r="E84" i="56"/>
  <c r="E89" i="56" s="1"/>
  <c r="F84" i="56"/>
  <c r="F88" i="56"/>
  <c r="E88" i="56"/>
  <c r="M68" i="56"/>
  <c r="M75" i="56" s="1"/>
  <c r="N67" i="56"/>
  <c r="M76" i="56"/>
  <c r="I55" i="56"/>
  <c r="I56" i="56" s="1"/>
  <c r="I69" i="56" s="1"/>
  <c r="G86" i="56"/>
  <c r="G84" i="56"/>
  <c r="G89" i="56" s="1"/>
  <c r="G88"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9" i="56" l="1"/>
  <c r="E87" i="56"/>
  <c r="E90" i="56" s="1"/>
  <c r="F87" i="56"/>
  <c r="F90" i="56" s="1"/>
  <c r="O67" i="56"/>
  <c r="N68" i="56"/>
  <c r="N75" i="56" s="1"/>
  <c r="N76" i="56"/>
  <c r="I77" i="56"/>
  <c r="I70" i="56"/>
  <c r="J53" i="56"/>
  <c r="I82" i="56"/>
  <c r="H77" i="56"/>
  <c r="H70" i="56"/>
  <c r="H71" i="56" s="1"/>
  <c r="G8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90" i="56" l="1"/>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Q68" i="56"/>
  <c r="Q75" i="56" s="1"/>
  <c r="R67" i="56"/>
  <c r="Q76" i="56"/>
  <c r="I89" i="56"/>
  <c r="K55" i="56"/>
  <c r="K56" i="56" s="1"/>
  <c r="K69" i="56" s="1"/>
  <c r="H87" i="56"/>
  <c r="H90" i="56" s="1"/>
  <c r="I87" i="56"/>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Y83" i="56" s="1"/>
  <c r="X88" i="56"/>
  <c r="X84" i="56" l="1"/>
  <c r="X89" i="56" s="1"/>
  <c r="Y72" i="56"/>
  <c r="Y86" i="56"/>
  <c r="Y87" i="56" s="1"/>
  <c r="Y90" i="56" s="1"/>
  <c r="Y84" i="56"/>
  <c r="Y88" i="56"/>
  <c r="Z77" i="56"/>
  <c r="Z70" i="56"/>
  <c r="AA55" i="56"/>
  <c r="AA56" i="56" s="1"/>
  <c r="AA69" i="56" s="1"/>
  <c r="Y89" i="56" l="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M55" i="56" s="1"/>
  <c r="AM56" i="56" s="1"/>
  <c r="AM69" i="56" s="1"/>
  <c r="AK86" i="56"/>
  <c r="AK87" i="56" s="1"/>
  <c r="AK90" i="56" s="1"/>
  <c r="AK84" i="56"/>
  <c r="AK89" i="56" s="1"/>
  <c r="AK88" i="56"/>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<sst xmlns="http://schemas.openxmlformats.org/spreadsheetml/2006/main" count="1166" uniqueCount="704">
  <si>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</si>
  <si>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</si>
  <si>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</si>
  <si>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</si>
  <si>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</si>
  <si>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</si>
  <si>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</si>
  <si>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</si>
  <si>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</si>
  <si>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</si>
  <si>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</si>
  <si>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</si>
  <si>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</si>
  <si>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</si>
  <si>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</si>
  <si>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</si>
  <si>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</si>
  <si>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</si>
  <si>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</si>
  <si>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</si>
  <si>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</si>
  <si>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</si>
  <si>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</si>
  <si>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</si>
  <si>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</si>
  <si>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</si>
  <si>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</si>
  <si>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</si>
  <si>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</si>
  <si>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</si>
  <si>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</si>
  <si>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</si>
  <si>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</si>
  <si>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</si>
  <si>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</si>
  <si>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</si>
  <si>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</si>
  <si>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</si>
  <si>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</si>
  <si>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</si>
  <si>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</si>
  <si>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</si>
  <si>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</si>
  <si>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</si>
  <si>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</si>
  <si>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</si>
  <si>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</si>
  <si>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</si>
  <si>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</si>
  <si>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</si>
  <si>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</si>
  <si>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</si>
  <si>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</si>
  <si>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</si>
  <si>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</si>
  <si>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</si>
  <si>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</si>
  <si>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</si>
  <si>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</si>
  <si>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</si>
  <si>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</si>
  <si>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</si>
  <si>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</si>
  <si>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</si>
  <si>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</si>
  <si>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</si>
  <si>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</si>
  <si>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</si>
  <si>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</si>
  <si>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</si>
  <si>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</si>
  <si>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</si>
  <si>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</si>
  <si>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</si>
  <si>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</si>
  <si>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</si>
  <si>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</si>
  <si>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</si>
  <si>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</si>
  <si>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</si>
  <si>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</si>
  <si>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</si>
  <si>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</si>
  <si>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</si>
  <si>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</si>
  <si>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</si>
  <si>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</si>
  <si>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</si>
  <si>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</si>
  <si>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</si>
  <si>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</si>
  <si>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</si>
  <si>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</si>
  <si>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</si>
  <si>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</si>
  <si>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</si>
  <si>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</si>
  <si>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</si>
  <si>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</si>
  <si>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</si>
  <si>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</si>
  <si>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</si>
  <si>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</si>
  <si>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</si>
  <si>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</si>
  <si>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</si>
  <si>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</si>
  <si>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</si>
  <si>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</si>
  <si>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</si>
  <si>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</si>
  <si>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</si>
  <si>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</si>
  <si>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</si>
  <si>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</si>
  <si>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</si>
  <si>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</si>
  <si>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</si>
  <si>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</si>
  <si>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</si>
  <si>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</si>
  <si>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</si>
  <si>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</si>
  <si>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</si>
  <si>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</si>
  <si>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</si>
  <si>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</si>
  <si>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</si>
  <si>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</si>
  <si>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</si>
  <si>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</si>
  <si>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</si>
  <si>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</si>
  <si>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</si>
  <si>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</si>
  <si>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</si>
  <si>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</si>
  <si>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</si>
  <si>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</si>
  <si>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</si>
  <si>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</si>
  <si>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</si>
  <si>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</si>
  <si>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</si>
  <si>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</si>
  <si>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</si>
  <si>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</si>
  <si>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</si>
  <si>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</si>
  <si>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</si>
  <si>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</si>
  <si>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</si>
  <si>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</si>
  <si>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</si>
  <si>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</si>
  <si>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</si>
  <si>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</si>
  <si>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</si>
  <si>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</si>
  <si>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</si>
  <si>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</si>
  <si>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</si>
  <si>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</si>
  <si>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</si>
  <si>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</si>
  <si>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</si>
  <si>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</si>
  <si>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</si>
  <si>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</si>
  <si>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</si>
  <si>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</si>
  <si>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</si>
  <si>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</si>
  <si>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</si>
  <si>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</si>
  <si>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</si>
  <si>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</si>
  <si>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</si>
  <si>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</si>
  <si>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</si>
  <si>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</si>
  <si>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</si>
  <si>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</si>
  <si>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</si>
  <si>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</si>
  <si>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</si>
  <si>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</si>
  <si>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</si>
  <si>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</si>
  <si>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</si>
  <si>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</si>
  <si>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</si>
  <si>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</si>
  <si>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</si>
  <si>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</si>
  <si>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</si>
  <si>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</si>
  <si>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</si>
  <si>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</si>
  <si>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</si>
  <si>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</si>
  <si>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</si>
  <si>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</si>
  <si>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</si>
  <si>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</si>
  <si>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</si>
  <si>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</si>
  <si>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</si>
  <si>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</si>
  <si>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</si>
  <si>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</si>
  <si>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</si>
  <si>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</si>
  <si>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</si>
  <si>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</si>
  <si>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</si>
  <si>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</si>
  <si>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</si>
  <si>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</si>
  <si>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</si>
  <si>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</si>
  <si>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</si>
  <si>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</si>
  <si>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</si>
  <si>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</si>
  <si>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</si>
  <si>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</si>
  <si>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</si>
  <si>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</si>
  <si>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</si>
  <si>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</si>
  <si>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</si>
  <si>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</si>
  <si>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</si>
  <si>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</si>
  <si>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</si>
  <si>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</si>
  <si>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</si>
  <si>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</si>
  <si>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</si>
  <si>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</si>
  <si>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</si>
  <si>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</si>
  <si>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</si>
  <si>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</si>
  <si>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</si>
  <si>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</si>
  <si>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</si>
  <si>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</si>
  <si>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</si>
  <si>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</si>
  <si>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</si>
  <si>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</si>
  <si>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</si>
  <si>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</si>
  <si>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</si>
  <si>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</si>
  <si>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</si>
  <si>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</si>
  <si>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</si>
  <si>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</si>
  <si>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</si>
  <si>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</si>
  <si>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</si>
  <si>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</si>
  <si>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</si>
  <si>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</si>
  <si>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</si>
  <si>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</si>
  <si>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</si>
  <si>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</si>
  <si>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</si>
  <si>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</si>
  <si>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</si>
  <si>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</si>
  <si>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</si>
  <si>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</si>
  <si>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</si>
  <si>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</si>
  <si>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</si>
  <si>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</si>
  <si>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</si>
  <si>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</si>
  <si>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</si>
  <si>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</si>
  <si>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</si>
  <si>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</si>
  <si>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</si>
  <si>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</si>
  <si>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</si>
  <si>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</si>
  <si>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</si>
  <si>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</si>
  <si>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</si>
  <si>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</si>
  <si>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</si>
  <si>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</si>
  <si>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</si>
  <si>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</si>
  <si>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</si>
  <si>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</si>
  <si>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</si>
  <si>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</si>
  <si>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</si>
  <si>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</si>
  <si>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</si>
  <si>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</si>
  <si>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</si>
  <si>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</si>
  <si>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</si>
  <si>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</si>
  <si>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</si>
  <si>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</si>
  <si>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</si>
  <si>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</si>
  <si>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</si>
  <si>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</si>
  <si>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</si>
  <si>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</si>
  <si>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</si>
  <si>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</si>
  <si>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</si>
  <si>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</si>
  <si>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</si>
  <si>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</si>
  <si>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</si>
  <si>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</si>
  <si>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</si>
  <si>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</si>
  <si>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</si>
  <si>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</si>
  <si>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</si>
  <si>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</si>
  <si>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</si>
  <si>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</si>
  <si>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</si>
  <si>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</si>
  <si>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</si>
  <si>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</si>
  <si>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</si>
  <si>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</si>
  <si>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</si>
  <si>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</si>
  <si>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</si>
  <si>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</si>
  <si>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</si>
  <si>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</si>
  <si>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</si>
  <si>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</si>
  <si>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</si>
  <si>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</si>
  <si>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</si>
  <si>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</si>
  <si>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</si>
  <si>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</si>
  <si>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</si>
  <si>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</si>
  <si>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</si>
  <si>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</si>
  <si>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</si>
  <si>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</si>
  <si>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</si>
  <si>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</si>
  <si>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</si>
  <si>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</si>
  <si>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</si>
  <si>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</si>
  <si>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</si>
  <si>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</si>
  <si>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</si>
  <si>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</si>
  <si>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</si>
  <si>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</si>
  <si>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</si>
  <si>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</si>
  <si>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</si>
  <si>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</si>
  <si>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</si>
  <si>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</si>
  <si>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</si>
  <si>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</si>
  <si>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</si>
  <si>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</si>
  <si>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</si>
  <si>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</si>
  <si>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</si>
  <si>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</si>
  <si>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</si>
  <si>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</si>
  <si>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</si>
  <si>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</si>
  <si>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</si>
  <si>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</si>
  <si>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</si>
  <si>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</si>
  <si>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</si>
  <si>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</si>
  <si>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</si>
  <si>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</si>
  <si>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</si>
  <si>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</si>
  <si>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</si>
  <si>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</si>
  <si>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</si>
  <si>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</si>
  <si>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</si>
  <si>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</si>
  <si>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</si>
  <si>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</si>
  <si>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</si>
  <si>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</si>
  <si>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</si>
  <si>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</si>
  <si>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</si>
  <si>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</si>
  <si>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</si>
  <si>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</si>
  <si>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</si>
  <si>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</si>
  <si>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</si>
  <si>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</si>
  <si>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</si>
  <si>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</si>
  <si>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</si>
  <si>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</si>
  <si>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</si>
  <si>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</si>
  <si>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</si>
  <si>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</si>
  <si>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</si>
  <si>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</si>
  <si>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</si>
  <si>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</si>
  <si>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</si>
  <si>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</si>
  <si>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</si>
  <si>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</si>
  <si>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</si>
  <si>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</si>
  <si>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</si>
  <si>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</si>
  <si>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</si>
  <si>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</si>
  <si>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</si>
  <si>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</si>
  <si>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</si>
  <si>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</si>
  <si>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</si>
  <si>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</si>
  <si>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</si>
  <si>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</si>
  <si>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</si>
  <si>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</si>
  <si>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</si>
  <si>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</si>
  <si>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</si>
  <si>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</si>
  <si>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</si>
  <si>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</si>
  <si>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</si>
  <si>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</si>
  <si>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</si>
  <si>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</si>
  <si>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</si>
  <si>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</si>
  <si>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</si>
  <si>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</si>
  <si>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</si>
  <si>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</si>
  <si>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</si>
  <si>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</si>
  <si>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</si>
  <si>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</si>
  <si>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</si>
  <si>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</si>
  <si>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</si>
  <si>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</si>
  <si>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</si>
  <si>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</si>
  <si>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</si>
  <si>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</si>
  <si>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</si>
  <si>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</si>
  <si>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</si>
  <si>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</si>
  <si>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</si>
  <si>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</si>
  <si>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</si>
  <si>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</si>
  <si>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</si>
  <si>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</si>
  <si>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</si>
  <si>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</si>
  <si>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</si>
  <si>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</si>
  <si>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</si>
  <si>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</si>
  <si>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</si>
  <si>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</si>
  <si>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</si>
  <si>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</si>
  <si>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</si>
  <si>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</si>
  <si>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</si>
  <si>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</si>
  <si>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</si>
  <si>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</si>
  <si>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</si>
  <si>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</si>
  <si>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</si>
  <si>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</si>
  <si>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</si>
  <si>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</si>
  <si>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</si>
  <si>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</si>
  <si>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</si>
  <si>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</si>
  <si>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</si>
  <si>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</si>
  <si>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</si>
  <si>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</si>
  <si>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</si>
  <si>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</si>
  <si>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</si>
  <si>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</si>
  <si>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</si>
  <si>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</si>
  <si>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</si>
  <si>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</si>
  <si>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</si>
  <si>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</si>
  <si>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</si>
  <si>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</si>
  <si>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</si>
  <si>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</si>
  <si>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</si>
  <si>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</si>
  <si>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</si>
  <si>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</si>
  <si>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</si>
  <si>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</si>
  <si>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</si>
  <si>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</si>
  <si>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</si>
  <si>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</si>
  <si>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</si>
  <si>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</si>
  <si>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</si>
  <si>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</si>
  <si>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</si>
  <si>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</si>
  <si>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</si>
  <si>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</si>
  <si>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</si>
  <si>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</si>
  <si>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</si>
  <si>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</si>
  <si>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</si>
  <si>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</si>
  <si>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</si>
  <si>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</si>
  <si>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</si>
  <si>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</si>
  <si>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</si>
  <si>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</si>
  <si>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</si>
  <si>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</si>
  <si>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</si>
  <si>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</si>
  <si>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</si>
  <si>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</si>
  <si>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</si>
  <si>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</si>
  <si>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</si>
  <si>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</si>
  <si>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</si>
  <si>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</si>
  <si>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</si>
  <si>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</si>
  <si>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</si>
  <si>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</si>
  <si>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</si>
  <si>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</si>
  <si>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</si>
  <si>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</si>
  <si>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</si>
  <si>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</si>
  <si>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</si>
  <si>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</si>
  <si>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</si>
  <si>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</si>
  <si>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</si>
  <si>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</si>
  <si>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</si>
  <si>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</si>
  <si>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</si>
  <si>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</si>
  <si>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</si>
  <si>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</si>
  <si>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</si>
  <si>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</si>
  <si>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</si>
  <si>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</si>
  <si>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</si>
  <si>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</si>
  <si>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</si>
  <si>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</si>
  <si>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</si>
  <si>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</si>
  <si>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</si>
  <si>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</si>
  <si>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</si>
  <si>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</si>
  <si>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</si>
  <si>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</si>
  <si>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</si>
  <si>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</si>
  <si>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</si>
  <si>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</si>
  <si>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</si>
  <si>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</si>
  <si>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</si>
  <si>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</si>
  <si>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</si>
  <si>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</si>
  <si>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</si>
  <si>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</si>
  <si>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</si>
  <si>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</si>
  <si>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</si>
  <si>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</si>
  <si>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</si>
  <si>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</si>
  <si>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</si>
  <si>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</si>
  <si>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</si>
  <si>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</si>
  <si>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</si>
  <si>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</si>
  <si>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</si>
  <si>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</si>
  <si>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</si>
  <si>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</si>
  <si>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</si>
  <si>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</si>
  <si>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</si>
  <si>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</si>
  <si>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</si>
  <si>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</si>
  <si>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</si>
  <si>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</si>
  <si>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</si>
  <si>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</si>
  <si>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</si>
  <si>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</si>
  <si>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</si>
  <si>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</si>
  <si>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</si>
  <si>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</si>
  <si>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</si>
  <si>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</si>
  <si>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</si>
  <si>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</si>
  <si>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</si>
  <si>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</si>
  <si>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</si>
  <si>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</si>
  <si>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</si>
  <si>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</si>
  <si>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</si>
  <si>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</si>
  <si>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</si>
  <si>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</si>
  <si>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</si>
  <si>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</si>
  <si>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ВЗ</t>
  </si>
  <si>
    <t>ПИР</t>
  </si>
  <si>
    <t>АО "Россети Янтарь"</t>
  </si>
  <si>
    <t>НДС не предусмотрен</t>
  </si>
  <si>
    <t>M_21-1789</t>
  </si>
  <si>
    <t>Переустройство ВЛ 15-180 (инв.511543602), ВЛ 0,4 кВ от ТП 180-01 (инв.511539903, 511539905) в п. Шоссейное, ул. Лесная Гурьевский ГО</t>
  </si>
  <si>
    <t>Вынос (переустройство) участков ВЛ 15 кВ, ВЛ 0,4 кВ с участка застройки</t>
  </si>
  <si>
    <t>С</t>
  </si>
  <si>
    <t>сср</t>
  </si>
  <si>
    <t>Соглашение о компенсации расходов, связанных с переустройством объектов № 99/115/21 от 12.11.2021, ДС № 1 от 15.12.2021</t>
  </si>
  <si>
    <t>ВЛ 15 кВ 15-180</t>
  </si>
  <si>
    <t>ВЛ 0,4 кВ от ТП 180-01</t>
  </si>
  <si>
    <t>ТП - оп.5</t>
  </si>
  <si>
    <t>оп.5 - оп.7</t>
  </si>
  <si>
    <t>15, 0,4</t>
  </si>
  <si>
    <t>ВЛ 15 кВ 15-180, 
ВЛ 0,4 кВ от ТП 180-01 Л-2, Л-3</t>
  </si>
  <si>
    <t>ВЛ 15 кВ 15-180, 
ВЛ 0,4 кВ от ТП 180-01 Л-2</t>
  </si>
  <si>
    <t>оп.5 - оп.7сущ.</t>
  </si>
  <si>
    <t>Переустройство ВЛ 15-180 (инв.511543602) протяженностью 0,183 км, ВЛ 0,4 кВ от ТП 180-01 (инв.511539903, 511539905) протяженностью 0,462 км в п. Шоссейное, ул. Лесная Гурьевский ГО</t>
  </si>
  <si>
    <t>ВЛ 15 кВ - 5,39 млн.руб./км; ВЛ 0.4 кВ - 1,13 млн.руб./км</t>
  </si>
  <si>
    <t>2023</t>
  </si>
  <si>
    <t>Год раскрытия информации: 2023 год</t>
  </si>
  <si>
    <t>Разработка рабочей документации по объектам: "Переустройство ВЛ 15-180 (инв.511543602), ВЛ 0,4 кВ от ТП 180-01 (инв.511539903, 511539905) в п. Шоссейное, ул. Лесная Гурьевский ГО; Вынос (переустройство) ВЛ-0.4 кВ ТП 99 -пр. Мира, ул. Химическая, участок от опоры №9 до опоры № 9/1 (инв.) 542892401 Калининградский ГО; Переустройство ВЛ 0.4 кВ от ТП 47-20 (инв.511654701) в п. Большое Исаково Гурьевский ГО"</t>
  </si>
  <si>
    <t>ВЗЛ</t>
  </si>
  <si>
    <t>АО "Янтарьэнергосервис"</t>
  </si>
  <si>
    <t>ПИР АО "Янтарьэнергосервис" договор № 290/СП от 14.03.2022 в ценах 2022 года с НДС, млн. руб.</t>
  </si>
  <si>
    <t>ПИР АО "Янтарьэнергосервис" договор № 290/СП от 14.03.2022</t>
  </si>
  <si>
    <t>ПСД, утв. Приказом 2 от 10.01.2023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</si>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</sst>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0" fontId="11" fillId="0" borderId="57"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617417912"/>
        <c:axId val="617419480"/>
      </c:lineChart>
      <c:catAx>
        <c:axId val="617417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7419480"/>
        <c:crosses val="autoZero"/>
        <c:auto val="1"/>
        <c:lblAlgn val="ctr"/>
        <c:lblOffset val="100"/>
        <c:noMultiLvlLbl val="0"/>
      </c:catAx>
      <c:valAx>
        <c:axId val="617419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74179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617418696"/>
        <c:axId val="613866464"/>
      </c:lineChart>
      <c:catAx>
        <c:axId val="617418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866464"/>
        <c:crosses val="autoZero"/>
        <c:auto val="1"/>
        <c:lblAlgn val="ctr"/>
        <c:lblOffset val="100"/>
        <c:noMultiLvlLbl val="0"/>
      </c:catAx>
      <c:valAx>
        <c:axId val="613866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7418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613865288"/>
        <c:axId val="613864896"/>
      </c:lineChart>
      <c:catAx>
        <c:axId val="613865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864896"/>
        <c:crosses val="autoZero"/>
        <c:auto val="1"/>
        <c:lblAlgn val="ctr"/>
        <c:lblOffset val="100"/>
        <c:noMultiLvlLbl val="0"/>
      </c:catAx>
      <c:valAx>
        <c:axId val="613864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865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613860584"/>
        <c:axId val="613860976"/>
      </c:lineChart>
      <c:catAx>
        <c:axId val="613860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860976"/>
        <c:crosses val="autoZero"/>
        <c:auto val="1"/>
        <c:lblAlgn val="ctr"/>
        <c:lblOffset val="100"/>
        <c:noMultiLvlLbl val="0"/>
      </c:catAx>
      <c:valAx>
        <c:axId val="613860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8605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613860192"/>
        <c:axId val="613862152"/>
      </c:lineChart>
      <c:catAx>
        <c:axId val="613860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862152"/>
        <c:crosses val="autoZero"/>
        <c:auto val="1"/>
        <c:lblAlgn val="ctr"/>
        <c:lblOffset val="100"/>
        <c:noMultiLvlLbl val="0"/>
      </c:catAx>
      <c:valAx>
        <c:axId val="613862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8601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613862936"/>
        <c:axId val="613863328"/>
      </c:lineChart>
      <c:catAx>
        <c:axId val="613862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863328"/>
        <c:crosses val="autoZero"/>
        <c:auto val="1"/>
        <c:lblAlgn val="ctr"/>
        <c:lblOffset val="100"/>
        <c:noMultiLvlLbl val="0"/>
      </c:catAx>
      <c:valAx>
        <c:axId val="613863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862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5" t="s">
        <v>696</v>
      </c>
      <c r="B5" s="415"/>
      <c r="C5" s="415"/>
      <c r="D5" s="161"/>
      <c r="E5" s="161"/>
      <c r="F5" s="161"/>
      <c r="G5" s="161"/>
      <c r="H5" s="161"/>
      <c r="I5" s="161"/>
      <c r="J5" s="161"/>
    </row>
    <row r="6" spans="1:22" s="16" customFormat="1" ht="18.75" x14ac:dyDescent="0.3">
      <c r="A6" s="284"/>
      <c r="H6" s="283"/>
    </row>
    <row r="7" spans="1:22" s="16" customFormat="1" ht="18.75" x14ac:dyDescent="0.2">
      <c r="A7" s="419" t="s">
        <v>7</v>
      </c>
      <c r="B7" s="419"/>
      <c r="C7" s="419"/>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20" t="s">
        <v>673</v>
      </c>
      <c r="B9" s="420"/>
      <c r="C9" s="420"/>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6" t="s">
        <v>6</v>
      </c>
      <c r="B10" s="416"/>
      <c r="C10" s="416"/>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8" t="s">
        <v>679</v>
      </c>
      <c r="B12" s="418"/>
      <c r="C12" s="418"/>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6" t="s">
        <v>5</v>
      </c>
      <c r="B13" s="416"/>
      <c r="C13" s="416"/>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50.25" customHeight="1" x14ac:dyDescent="0.2">
      <c r="A15" s="421" t="s">
        <v>680</v>
      </c>
      <c r="B15" s="421"/>
      <c r="C15" s="421"/>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6" t="s">
        <v>4</v>
      </c>
      <c r="B16" s="416"/>
      <c r="C16" s="416"/>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7" t="s">
        <v>511</v>
      </c>
      <c r="B18" s="418"/>
      <c r="C18" s="418"/>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601</v>
      </c>
      <c r="D22" s="295"/>
      <c r="E22" s="295"/>
      <c r="F22" s="295"/>
      <c r="G22" s="295"/>
      <c r="H22" s="295"/>
      <c r="I22" s="279"/>
      <c r="J22" s="279"/>
      <c r="K22" s="279"/>
      <c r="L22" s="279"/>
      <c r="M22" s="279"/>
      <c r="N22" s="279"/>
      <c r="O22" s="279"/>
      <c r="P22" s="279"/>
      <c r="Q22" s="279"/>
      <c r="R22" s="279"/>
      <c r="S22" s="279"/>
      <c r="T22" s="296"/>
      <c r="U22" s="296"/>
      <c r="V22" s="296"/>
    </row>
    <row r="23" spans="1:22" s="290" customFormat="1" ht="31.5" x14ac:dyDescent="0.2">
      <c r="A23" s="28" t="s">
        <v>61</v>
      </c>
      <c r="B23" s="36" t="s">
        <v>621</v>
      </c>
      <c r="C23" s="158" t="s">
        <v>672</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12"/>
      <c r="B24" s="413"/>
      <c r="C24" s="414"/>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637</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654</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41" t="s">
        <v>648</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42"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628</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532</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628</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12"/>
      <c r="B39" s="413"/>
      <c r="C39" s="414"/>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01" t="str">
        <f>CONCATENATE("∆L15_лэп=",'3.2 паспорт Техсостояние ЛЭП'!S29," км; ∆L0,4_лэп=",'3.2 паспорт Техсостояние ЛЭП'!S30," км")</f>
        <v>∆L15_лэп=0,017 км; ∆L0,4_лэп=0,098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629</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629</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637</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637</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637</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637</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12"/>
      <c r="B47" s="413"/>
      <c r="C47" s="414"/>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ввод'!U24,2)," млн.руб.")</f>
        <v>0,15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ввод'!U30,2)," млн.руб.")</f>
        <v>0,13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M41" sqref="M4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row>
    <row r="5" spans="1:21" ht="18.75" x14ac:dyDescent="0.3">
      <c r="A5" s="61"/>
      <c r="B5" s="61"/>
      <c r="C5" s="61"/>
      <c r="D5" s="61"/>
      <c r="E5" s="61"/>
      <c r="F5" s="61"/>
      <c r="L5" s="61"/>
      <c r="M5" s="61"/>
      <c r="U5" s="15"/>
    </row>
    <row r="6" spans="1:21" ht="18.75" x14ac:dyDescent="0.25">
      <c r="A6" s="428" t="s">
        <v>7</v>
      </c>
      <c r="B6" s="428"/>
      <c r="C6" s="428"/>
      <c r="D6" s="428"/>
      <c r="E6" s="428"/>
      <c r="F6" s="428"/>
      <c r="G6" s="428"/>
      <c r="H6" s="428"/>
      <c r="I6" s="428"/>
      <c r="J6" s="428"/>
      <c r="K6" s="428"/>
      <c r="L6" s="428"/>
      <c r="M6" s="428"/>
      <c r="N6" s="428"/>
      <c r="O6" s="428"/>
      <c r="P6" s="428"/>
      <c r="Q6" s="428"/>
      <c r="R6" s="428"/>
      <c r="S6" s="428"/>
      <c r="T6" s="428"/>
      <c r="U6" s="428"/>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22" t="str">
        <f>'1. паспорт местоположение'!A12:C12</f>
        <v>M_21-1789</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22" t="str">
        <f>'1. паспорт местоположение'!A15</f>
        <v>Переустройство ВЛ 15-180 (инв.511543602), ВЛ 0,4 кВ от ТП 180-01 (инв.511539903, 511539905) в п. Шоссейное, ул. Лесная Гурьевский ГО</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row>
    <row r="16" spans="1:21" x14ac:dyDescent="0.25">
      <c r="A16" s="501"/>
      <c r="B16" s="501"/>
      <c r="C16" s="501"/>
      <c r="D16" s="501"/>
      <c r="E16" s="501"/>
      <c r="F16" s="501"/>
      <c r="G16" s="501"/>
      <c r="H16" s="501"/>
      <c r="I16" s="501"/>
      <c r="J16" s="501"/>
      <c r="K16" s="501"/>
      <c r="L16" s="501"/>
      <c r="M16" s="501"/>
      <c r="N16" s="501"/>
      <c r="O16" s="501"/>
      <c r="P16" s="501"/>
      <c r="Q16" s="501"/>
      <c r="R16" s="501"/>
      <c r="S16" s="501"/>
      <c r="T16" s="501"/>
      <c r="U16" s="501"/>
    </row>
    <row r="17" spans="1:24" x14ac:dyDescent="0.25">
      <c r="A17" s="61"/>
      <c r="L17" s="61"/>
      <c r="M17" s="61"/>
      <c r="N17" s="61"/>
      <c r="O17" s="61"/>
      <c r="P17" s="61"/>
      <c r="Q17" s="61"/>
      <c r="R17" s="61"/>
      <c r="S17" s="61"/>
      <c r="T17" s="61"/>
    </row>
    <row r="18" spans="1:24" x14ac:dyDescent="0.25">
      <c r="A18" s="505" t="s">
        <v>496</v>
      </c>
      <c r="B18" s="505"/>
      <c r="C18" s="505"/>
      <c r="D18" s="505"/>
      <c r="E18" s="505"/>
      <c r="F18" s="505"/>
      <c r="G18" s="505"/>
      <c r="H18" s="505"/>
      <c r="I18" s="505"/>
      <c r="J18" s="505"/>
      <c r="K18" s="505"/>
      <c r="L18" s="505"/>
      <c r="M18" s="505"/>
      <c r="N18" s="505"/>
      <c r="O18" s="505"/>
      <c r="P18" s="505"/>
      <c r="Q18" s="505"/>
      <c r="R18" s="505"/>
      <c r="S18" s="505"/>
      <c r="T18" s="505"/>
      <c r="U18" s="505"/>
    </row>
    <row r="19" spans="1:24" x14ac:dyDescent="0.25">
      <c r="A19" s="61"/>
      <c r="B19" s="61"/>
      <c r="C19" s="61"/>
      <c r="D19" s="61"/>
      <c r="E19" s="61"/>
      <c r="F19" s="61"/>
      <c r="L19" s="61"/>
      <c r="M19" s="61"/>
      <c r="N19" s="61"/>
      <c r="O19" s="61"/>
      <c r="P19" s="61"/>
      <c r="Q19" s="61"/>
      <c r="R19" s="61"/>
      <c r="S19" s="61"/>
      <c r="T19" s="61"/>
    </row>
    <row r="20" spans="1:24" ht="33" customHeight="1" x14ac:dyDescent="0.25">
      <c r="A20" s="502" t="s">
        <v>184</v>
      </c>
      <c r="B20" s="502" t="s">
        <v>183</v>
      </c>
      <c r="C20" s="491" t="s">
        <v>182</v>
      </c>
      <c r="D20" s="491"/>
      <c r="E20" s="504" t="s">
        <v>181</v>
      </c>
      <c r="F20" s="504"/>
      <c r="G20" s="502" t="s">
        <v>667</v>
      </c>
      <c r="H20" s="510" t="s">
        <v>668</v>
      </c>
      <c r="I20" s="511"/>
      <c r="J20" s="511"/>
      <c r="K20" s="511"/>
      <c r="L20" s="510" t="s">
        <v>669</v>
      </c>
      <c r="M20" s="511"/>
      <c r="N20" s="511"/>
      <c r="O20" s="511"/>
      <c r="P20" s="510" t="s">
        <v>670</v>
      </c>
      <c r="Q20" s="511"/>
      <c r="R20" s="511"/>
      <c r="S20" s="511"/>
      <c r="T20" s="506" t="s">
        <v>180</v>
      </c>
      <c r="U20" s="507"/>
      <c r="V20" s="82"/>
      <c r="W20" s="82"/>
      <c r="X20" s="82"/>
    </row>
    <row r="21" spans="1:24" ht="99.75" customHeight="1" x14ac:dyDescent="0.25">
      <c r="A21" s="503"/>
      <c r="B21" s="503"/>
      <c r="C21" s="491"/>
      <c r="D21" s="491"/>
      <c r="E21" s="504"/>
      <c r="F21" s="504"/>
      <c r="G21" s="503"/>
      <c r="H21" s="491" t="s">
        <v>2</v>
      </c>
      <c r="I21" s="491"/>
      <c r="J21" s="491" t="s">
        <v>636</v>
      </c>
      <c r="K21" s="491"/>
      <c r="L21" s="491" t="s">
        <v>2</v>
      </c>
      <c r="M21" s="491"/>
      <c r="N21" s="491" t="s">
        <v>636</v>
      </c>
      <c r="O21" s="491"/>
      <c r="P21" s="491" t="s">
        <v>2</v>
      </c>
      <c r="Q21" s="491"/>
      <c r="R21" s="491" t="s">
        <v>636</v>
      </c>
      <c r="S21" s="491"/>
      <c r="T21" s="508"/>
      <c r="U21" s="509"/>
    </row>
    <row r="22" spans="1:24" ht="89.25" customHeight="1" x14ac:dyDescent="0.25">
      <c r="A22" s="498"/>
      <c r="B22" s="498"/>
      <c r="C22" s="79" t="s">
        <v>2</v>
      </c>
      <c r="D22" s="79" t="s">
        <v>179</v>
      </c>
      <c r="E22" s="81" t="s">
        <v>649</v>
      </c>
      <c r="F22" s="81" t="s">
        <v>703</v>
      </c>
      <c r="G22" s="498"/>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70"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87">
        <v>20</v>
      </c>
      <c r="U23" s="387">
        <v>21</v>
      </c>
    </row>
    <row r="24" spans="1:24" ht="47.25" customHeight="1" x14ac:dyDescent="0.25">
      <c r="A24" s="77">
        <v>1</v>
      </c>
      <c r="B24" s="76"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0</v>
      </c>
      <c r="O24" s="271">
        <f t="shared" si="0"/>
        <v>0</v>
      </c>
      <c r="P24" s="271">
        <f t="shared" si="0"/>
        <v>0</v>
      </c>
      <c r="Q24" s="271">
        <f t="shared" si="0"/>
        <v>0</v>
      </c>
      <c r="R24" s="271">
        <f t="shared" si="0"/>
        <v>0.15323999999999999</v>
      </c>
      <c r="S24" s="271">
        <f t="shared" si="0"/>
        <v>0.15323999999999999</v>
      </c>
      <c r="T24" s="271">
        <f>H24+L24+P24</f>
        <v>0</v>
      </c>
      <c r="U24" s="277">
        <f>J24+N24+R24</f>
        <v>0.15323999999999999</v>
      </c>
      <c r="W24" s="388">
        <f>G24+U24</f>
        <v>0.15323999999999999</v>
      </c>
    </row>
    <row r="25" spans="1:24"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4" t="s">
        <v>170</v>
      </c>
      <c r="B29" s="78" t="s">
        <v>169</v>
      </c>
      <c r="C29" s="271">
        <v>0</v>
      </c>
      <c r="D29" s="271">
        <v>0</v>
      </c>
      <c r="E29" s="272">
        <v>0</v>
      </c>
      <c r="F29" s="272">
        <v>0</v>
      </c>
      <c r="G29" s="272">
        <v>0</v>
      </c>
      <c r="H29" s="272">
        <v>0</v>
      </c>
      <c r="I29" s="272">
        <v>0</v>
      </c>
      <c r="J29" s="272">
        <v>0</v>
      </c>
      <c r="K29" s="272">
        <v>0</v>
      </c>
      <c r="L29" s="272">
        <v>0</v>
      </c>
      <c r="M29" s="272">
        <v>0</v>
      </c>
      <c r="N29" s="272">
        <v>0</v>
      </c>
      <c r="O29" s="272">
        <v>0</v>
      </c>
      <c r="P29" s="272">
        <v>0</v>
      </c>
      <c r="Q29" s="272">
        <v>0</v>
      </c>
      <c r="R29" s="272">
        <v>0.15323999999999999</v>
      </c>
      <c r="S29" s="272">
        <v>0.15323999999999999</v>
      </c>
      <c r="T29" s="271">
        <f t="shared" si="2"/>
        <v>0</v>
      </c>
      <c r="U29" s="277">
        <f t="shared" si="3"/>
        <v>0.15323999999999999</v>
      </c>
    </row>
    <row r="30" spans="1:24" ht="47.25" x14ac:dyDescent="0.25">
      <c r="A30" s="77" t="s">
        <v>61</v>
      </c>
      <c r="B30" s="76"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0.12770000000000001</v>
      </c>
      <c r="O30" s="271">
        <f t="shared" si="5"/>
        <v>0.12770000000000001</v>
      </c>
      <c r="P30" s="271">
        <f t="shared" si="5"/>
        <v>0</v>
      </c>
      <c r="Q30" s="271">
        <f t="shared" si="5"/>
        <v>0</v>
      </c>
      <c r="R30" s="271">
        <f t="shared" si="5"/>
        <v>0</v>
      </c>
      <c r="S30" s="271">
        <f t="shared" si="5"/>
        <v>0</v>
      </c>
      <c r="T30" s="271">
        <f t="shared" si="2"/>
        <v>0</v>
      </c>
      <c r="U30" s="277">
        <f t="shared" si="3"/>
        <v>0.12770000000000001</v>
      </c>
      <c r="W30" s="388">
        <f>G30+U30</f>
        <v>0.12770000000000001</v>
      </c>
    </row>
    <row r="31" spans="1:24" x14ac:dyDescent="0.25">
      <c r="A31" s="77" t="s">
        <v>167</v>
      </c>
      <c r="B31" s="48" t="s">
        <v>166</v>
      </c>
      <c r="C31" s="271">
        <v>0</v>
      </c>
      <c r="D31" s="271">
        <v>0</v>
      </c>
      <c r="E31" s="272">
        <v>0</v>
      </c>
      <c r="F31" s="272">
        <v>0</v>
      </c>
      <c r="G31" s="272">
        <v>0</v>
      </c>
      <c r="H31" s="272">
        <v>0</v>
      </c>
      <c r="I31" s="272">
        <v>0</v>
      </c>
      <c r="J31" s="272">
        <v>0</v>
      </c>
      <c r="K31" s="272">
        <v>0</v>
      </c>
      <c r="L31" s="272">
        <v>0</v>
      </c>
      <c r="M31" s="272">
        <v>0</v>
      </c>
      <c r="N31" s="272">
        <v>0.12770000000000001</v>
      </c>
      <c r="O31" s="272">
        <v>0.12770000000000001</v>
      </c>
      <c r="P31" s="272">
        <v>0</v>
      </c>
      <c r="Q31" s="272">
        <v>0</v>
      </c>
      <c r="R31" s="272">
        <v>0</v>
      </c>
      <c r="S31" s="272">
        <v>0</v>
      </c>
      <c r="T31" s="271">
        <f t="shared" si="2"/>
        <v>0</v>
      </c>
      <c r="U31" s="277">
        <f t="shared" si="3"/>
        <v>0.12770000000000001</v>
      </c>
    </row>
    <row r="32" spans="1:24"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1">
        <f t="shared" si="2"/>
        <v>0</v>
      </c>
      <c r="U32" s="277">
        <f t="shared" si="3"/>
        <v>0</v>
      </c>
    </row>
    <row r="33" spans="1:21" x14ac:dyDescent="0.25">
      <c r="A33" s="77" t="s">
        <v>163</v>
      </c>
      <c r="B33" s="48"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7" t="s">
        <v>161</v>
      </c>
      <c r="B34" s="48" t="s">
        <v>160</v>
      </c>
      <c r="C34" s="271">
        <v>0</v>
      </c>
      <c r="D34" s="271">
        <v>0</v>
      </c>
      <c r="E34" s="272">
        <v>0</v>
      </c>
      <c r="F34" s="272">
        <v>0</v>
      </c>
      <c r="G34" s="272">
        <v>0</v>
      </c>
      <c r="H34" s="272">
        <v>0</v>
      </c>
      <c r="I34" s="272">
        <v>0</v>
      </c>
      <c r="J34" s="272">
        <v>0</v>
      </c>
      <c r="K34" s="272">
        <v>0</v>
      </c>
      <c r="L34" s="272">
        <v>0</v>
      </c>
      <c r="M34" s="272">
        <v>0</v>
      </c>
      <c r="N34" s="272">
        <v>0</v>
      </c>
      <c r="O34" s="272">
        <v>0</v>
      </c>
      <c r="P34" s="272">
        <v>0</v>
      </c>
      <c r="Q34" s="272">
        <v>0</v>
      </c>
      <c r="R34" s="272">
        <v>0</v>
      </c>
      <c r="S34" s="272">
        <v>0</v>
      </c>
      <c r="T34" s="271">
        <f t="shared" si="2"/>
        <v>0</v>
      </c>
      <c r="U34" s="277">
        <f t="shared" si="3"/>
        <v>0</v>
      </c>
    </row>
    <row r="35" spans="1:21"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3"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3"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3"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3"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c r="W52" s="388">
        <f>G52+U52</f>
        <v>0</v>
      </c>
    </row>
    <row r="53" spans="1:23"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3"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3"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3"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3"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3"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3"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3"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3"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3"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3"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3"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514"/>
      <c r="C66" s="514"/>
      <c r="D66" s="514"/>
      <c r="E66" s="514"/>
      <c r="F66" s="514"/>
      <c r="G66" s="514"/>
      <c r="H66" s="514"/>
      <c r="I66" s="514"/>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515"/>
      <c r="C68" s="515"/>
      <c r="D68" s="515"/>
      <c r="E68" s="515"/>
      <c r="F68" s="515"/>
      <c r="G68" s="515"/>
      <c r="H68" s="515"/>
      <c r="I68" s="515"/>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514"/>
      <c r="C70" s="514"/>
      <c r="D70" s="514"/>
      <c r="E70" s="514"/>
      <c r="F70" s="514"/>
      <c r="G70" s="514"/>
      <c r="H70" s="514"/>
      <c r="I70" s="514"/>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514"/>
      <c r="C72" s="514"/>
      <c r="D72" s="514"/>
      <c r="E72" s="514"/>
      <c r="F72" s="514"/>
      <c r="G72" s="514"/>
      <c r="H72" s="514"/>
      <c r="I72" s="514"/>
      <c r="J72" s="65"/>
      <c r="K72" s="65"/>
      <c r="L72" s="61"/>
      <c r="M72" s="61"/>
      <c r="N72" s="67"/>
      <c r="O72" s="61"/>
      <c r="P72" s="61"/>
      <c r="Q72" s="61"/>
      <c r="R72" s="61"/>
      <c r="S72" s="61"/>
      <c r="T72" s="61"/>
    </row>
    <row r="73" spans="1:20" ht="32.25" customHeight="1" x14ac:dyDescent="0.25">
      <c r="A73" s="61"/>
      <c r="B73" s="515"/>
      <c r="C73" s="515"/>
      <c r="D73" s="515"/>
      <c r="E73" s="515"/>
      <c r="F73" s="515"/>
      <c r="G73" s="515"/>
      <c r="H73" s="515"/>
      <c r="I73" s="515"/>
      <c r="J73" s="66"/>
      <c r="K73" s="66"/>
      <c r="L73" s="61"/>
      <c r="M73" s="61"/>
      <c r="N73" s="61"/>
      <c r="O73" s="61"/>
      <c r="P73" s="61"/>
      <c r="Q73" s="61"/>
      <c r="R73" s="61"/>
      <c r="S73" s="61"/>
      <c r="T73" s="61"/>
    </row>
    <row r="74" spans="1:20" ht="51.75" customHeight="1" x14ac:dyDescent="0.25">
      <c r="A74" s="61"/>
      <c r="B74" s="514"/>
      <c r="C74" s="514"/>
      <c r="D74" s="514"/>
      <c r="E74" s="514"/>
      <c r="F74" s="514"/>
      <c r="G74" s="514"/>
      <c r="H74" s="514"/>
      <c r="I74" s="514"/>
      <c r="J74" s="65"/>
      <c r="K74" s="65"/>
      <c r="L74" s="61"/>
      <c r="M74" s="61"/>
      <c r="N74" s="61"/>
      <c r="O74" s="61"/>
      <c r="P74" s="61"/>
      <c r="Q74" s="61"/>
      <c r="R74" s="61"/>
      <c r="S74" s="61"/>
      <c r="T74" s="61"/>
    </row>
    <row r="75" spans="1:20" ht="21.75" customHeight="1" x14ac:dyDescent="0.25">
      <c r="A75" s="61"/>
      <c r="B75" s="512"/>
      <c r="C75" s="512"/>
      <c r="D75" s="512"/>
      <c r="E75" s="512"/>
      <c r="F75" s="512"/>
      <c r="G75" s="512"/>
      <c r="H75" s="512"/>
      <c r="I75" s="512"/>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513"/>
      <c r="C77" s="513"/>
      <c r="D77" s="513"/>
      <c r="E77" s="513"/>
      <c r="F77" s="513"/>
      <c r="G77" s="513"/>
      <c r="H77" s="513"/>
      <c r="I77" s="513"/>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U20" zoomScale="85" zoomScaleSheetLayoutView="85" workbookViewId="0">
      <selection activeCell="AC26" sqref="A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2" t="str">
        <f>'1. паспорт местоположение'!A12:C12</f>
        <v>M_21-1789</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2" t="str">
        <f>'1. паспорт местоположение'!A15</f>
        <v>Переустройство ВЛ 15-180 (инв.511543602), ВЛ 0,4 кВ от ТП 180-01 (инв.511539903, 511539905) в п. Шоссейное, ул. Лесная Гурьевский ГО</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6"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6" customFormat="1" x14ac:dyDescent="0.25">
      <c r="A21" s="516" t="s">
        <v>509</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6" customFormat="1" ht="58.5" customHeight="1" x14ac:dyDescent="0.25">
      <c r="A22" s="517" t="s">
        <v>50</v>
      </c>
      <c r="B22" s="520" t="s">
        <v>22</v>
      </c>
      <c r="C22" s="517" t="s">
        <v>49</v>
      </c>
      <c r="D22" s="517" t="s">
        <v>48</v>
      </c>
      <c r="E22" s="523" t="s">
        <v>520</v>
      </c>
      <c r="F22" s="524"/>
      <c r="G22" s="524"/>
      <c r="H22" s="524"/>
      <c r="I22" s="524"/>
      <c r="J22" s="524"/>
      <c r="K22" s="524"/>
      <c r="L22" s="525"/>
      <c r="M22" s="517" t="s">
        <v>47</v>
      </c>
      <c r="N22" s="517" t="s">
        <v>46</v>
      </c>
      <c r="O22" s="517" t="s">
        <v>45</v>
      </c>
      <c r="P22" s="526" t="s">
        <v>255</v>
      </c>
      <c r="Q22" s="526" t="s">
        <v>44</v>
      </c>
      <c r="R22" s="526" t="s">
        <v>43</v>
      </c>
      <c r="S22" s="526" t="s">
        <v>42</v>
      </c>
      <c r="T22" s="526"/>
      <c r="U22" s="527" t="s">
        <v>41</v>
      </c>
      <c r="V22" s="527" t="s">
        <v>40</v>
      </c>
      <c r="W22" s="526" t="s">
        <v>39</v>
      </c>
      <c r="X22" s="526" t="s">
        <v>38</v>
      </c>
      <c r="Y22" s="526" t="s">
        <v>37</v>
      </c>
      <c r="Z22" s="540"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30" t="s">
        <v>23</v>
      </c>
    </row>
    <row r="23" spans="1:48" s="26" customFormat="1" ht="64.5" customHeight="1" x14ac:dyDescent="0.25">
      <c r="A23" s="518"/>
      <c r="B23" s="521"/>
      <c r="C23" s="518"/>
      <c r="D23" s="518"/>
      <c r="E23" s="532" t="s">
        <v>21</v>
      </c>
      <c r="F23" s="534" t="s">
        <v>126</v>
      </c>
      <c r="G23" s="534" t="s">
        <v>125</v>
      </c>
      <c r="H23" s="534" t="s">
        <v>124</v>
      </c>
      <c r="I23" s="538" t="s">
        <v>430</v>
      </c>
      <c r="J23" s="538" t="s">
        <v>431</v>
      </c>
      <c r="K23" s="538" t="s">
        <v>432</v>
      </c>
      <c r="L23" s="534" t="s">
        <v>74</v>
      </c>
      <c r="M23" s="518"/>
      <c r="N23" s="518"/>
      <c r="O23" s="518"/>
      <c r="P23" s="526"/>
      <c r="Q23" s="526"/>
      <c r="R23" s="526"/>
      <c r="S23" s="536" t="s">
        <v>2</v>
      </c>
      <c r="T23" s="536"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31"/>
    </row>
    <row r="24" spans="1:48" s="26" customFormat="1" ht="96.75" customHeight="1" x14ac:dyDescent="0.25">
      <c r="A24" s="519"/>
      <c r="B24" s="522"/>
      <c r="C24" s="519"/>
      <c r="D24" s="519"/>
      <c r="E24" s="533"/>
      <c r="F24" s="535"/>
      <c r="G24" s="535"/>
      <c r="H24" s="535"/>
      <c r="I24" s="539"/>
      <c r="J24" s="539"/>
      <c r="K24" s="539"/>
      <c r="L24" s="535"/>
      <c r="M24" s="519"/>
      <c r="N24" s="519"/>
      <c r="O24" s="519"/>
      <c r="P24" s="526"/>
      <c r="Q24" s="526"/>
      <c r="R24" s="526"/>
      <c r="S24" s="537"/>
      <c r="T24" s="537"/>
      <c r="U24" s="527"/>
      <c r="V24" s="527"/>
      <c r="W24" s="526"/>
      <c r="X24" s="526"/>
      <c r="Y24" s="526"/>
      <c r="Z24" s="526"/>
      <c r="AA24" s="526"/>
      <c r="AB24" s="526"/>
      <c r="AC24" s="526"/>
      <c r="AD24" s="526"/>
      <c r="AE24" s="526"/>
      <c r="AF24" s="148" t="s">
        <v>11</v>
      </c>
      <c r="AG24" s="148" t="s">
        <v>10</v>
      </c>
      <c r="AH24" s="149" t="s">
        <v>2</v>
      </c>
      <c r="AI24" s="149" t="s">
        <v>9</v>
      </c>
      <c r="AJ24" s="519"/>
      <c r="AK24" s="519"/>
      <c r="AL24" s="519"/>
      <c r="AM24" s="519"/>
      <c r="AN24" s="519"/>
      <c r="AO24" s="519"/>
      <c r="AP24" s="519"/>
      <c r="AQ24" s="529"/>
      <c r="AR24" s="526"/>
      <c r="AS24" s="526"/>
      <c r="AT24" s="526"/>
      <c r="AU24" s="526"/>
      <c r="AV24" s="53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11" t="s">
        <v>677</v>
      </c>
      <c r="C26" s="21" t="s">
        <v>61</v>
      </c>
      <c r="D26" s="22" t="s">
        <v>637</v>
      </c>
      <c r="E26" s="310"/>
      <c r="F26" s="310"/>
      <c r="G26" s="310"/>
      <c r="H26" s="310"/>
      <c r="I26" s="310">
        <f>'3.2 паспорт Техсостояние ЛЭП'!R27</f>
        <v>0.27900000000000003</v>
      </c>
      <c r="J26" s="310">
        <f>'3.2 паспорт Техсостояние ЛЭП'!R25+'3.2 паспорт Техсостояние ЛЭП'!R26</f>
        <v>0.183</v>
      </c>
      <c r="K26" s="310"/>
      <c r="L26" s="332"/>
      <c r="M26" s="333" t="s">
        <v>676</v>
      </c>
      <c r="N26" s="311" t="s">
        <v>697</v>
      </c>
      <c r="O26" s="311" t="s">
        <v>677</v>
      </c>
      <c r="P26" s="24">
        <v>257.39999999999998</v>
      </c>
      <c r="Q26" s="21"/>
      <c r="R26" s="24">
        <f>P26</f>
        <v>257.39999999999998</v>
      </c>
      <c r="S26" s="21" t="s">
        <v>675</v>
      </c>
      <c r="T26" s="21" t="s">
        <v>698</v>
      </c>
      <c r="U26" s="23"/>
      <c r="V26" s="23"/>
      <c r="W26" s="333" t="s">
        <v>699</v>
      </c>
      <c r="X26" s="24">
        <v>257.39999999999998</v>
      </c>
      <c r="Y26" s="333"/>
      <c r="Z26" s="22"/>
      <c r="AA26" s="24"/>
      <c r="AB26" s="24">
        <v>257.39999999999998</v>
      </c>
      <c r="AC26" s="333" t="s">
        <v>699</v>
      </c>
      <c r="AD26" s="24">
        <f>'8. Общие сведения'!B59*1000</f>
        <v>153.23999999999998</v>
      </c>
      <c r="AE26" s="24">
        <f>AD26</f>
        <v>153.23999999999998</v>
      </c>
      <c r="AF26" s="23"/>
      <c r="AG26" s="333"/>
      <c r="AH26" s="22"/>
      <c r="AI26" s="22"/>
      <c r="AJ26" s="22"/>
      <c r="AK26" s="22"/>
      <c r="AL26" s="21"/>
      <c r="AM26" s="21"/>
      <c r="AN26" s="22"/>
      <c r="AO26" s="21"/>
      <c r="AP26" s="22">
        <v>44634</v>
      </c>
      <c r="AQ26" s="22">
        <v>44634</v>
      </c>
      <c r="AR26" s="22">
        <v>44634</v>
      </c>
      <c r="AS26" s="22">
        <v>44634</v>
      </c>
      <c r="AT26" s="22">
        <f>AS26+60</f>
        <v>44694</v>
      </c>
      <c r="AU26" s="21"/>
      <c r="AV26" s="21" t="s">
        <v>678</v>
      </c>
    </row>
    <row r="27" spans="1:48" s="20" customFormat="1" ht="11.25" x14ac:dyDescent="0.2">
      <c r="A27" s="402"/>
      <c r="B27" s="403"/>
      <c r="C27" s="404"/>
      <c r="D27" s="405"/>
      <c r="E27" s="406"/>
      <c r="F27" s="406"/>
      <c r="G27" s="406"/>
      <c r="H27" s="406"/>
      <c r="I27" s="406"/>
      <c r="J27" s="406"/>
      <c r="K27" s="406"/>
      <c r="L27" s="407"/>
      <c r="M27" s="408"/>
      <c r="N27" s="403"/>
      <c r="O27" s="403"/>
      <c r="P27" s="409"/>
      <c r="Q27" s="404"/>
      <c r="R27" s="404"/>
      <c r="S27" s="404"/>
      <c r="T27" s="404"/>
      <c r="U27" s="402"/>
      <c r="V27" s="402"/>
      <c r="W27" s="408"/>
      <c r="X27" s="410"/>
      <c r="Y27" s="408"/>
      <c r="Z27" s="405"/>
      <c r="AA27" s="409"/>
      <c r="AB27" s="410"/>
      <c r="AC27" s="410"/>
      <c r="AD27" s="409"/>
      <c r="AE27" s="409"/>
      <c r="AF27" s="402"/>
      <c r="AG27" s="408"/>
      <c r="AH27" s="405"/>
      <c r="AI27" s="405"/>
      <c r="AJ27" s="405"/>
      <c r="AK27" s="405"/>
      <c r="AL27" s="404"/>
      <c r="AM27" s="404"/>
      <c r="AN27" s="405"/>
      <c r="AO27" s="404"/>
      <c r="AP27" s="405"/>
      <c r="AQ27" s="405"/>
      <c r="AR27" s="405"/>
      <c r="AS27" s="405"/>
      <c r="AT27" s="405"/>
      <c r="AU27" s="404"/>
      <c r="AV27" s="404"/>
    </row>
    <row r="28" spans="1:48" s="20" customFormat="1" ht="11.25" x14ac:dyDescent="0.2">
      <c r="A28" s="402"/>
      <c r="B28" s="403"/>
      <c r="C28" s="404"/>
      <c r="D28" s="405"/>
      <c r="E28" s="406"/>
      <c r="F28" s="406"/>
      <c r="G28" s="406"/>
      <c r="H28" s="406"/>
      <c r="I28" s="406"/>
      <c r="J28" s="406"/>
      <c r="K28" s="406"/>
      <c r="L28" s="407"/>
      <c r="M28" s="408"/>
      <c r="N28" s="403"/>
      <c r="O28" s="403"/>
      <c r="P28" s="409"/>
      <c r="Q28" s="404"/>
      <c r="R28" s="404"/>
      <c r="S28" s="404"/>
      <c r="T28" s="404"/>
      <c r="U28" s="402"/>
      <c r="V28" s="402"/>
      <c r="W28" s="408"/>
      <c r="X28" s="410"/>
      <c r="Y28" s="408"/>
      <c r="Z28" s="405"/>
      <c r="AA28" s="409"/>
      <c r="AB28" s="410"/>
      <c r="AC28" s="410"/>
      <c r="AD28" s="409"/>
      <c r="AE28" s="409"/>
      <c r="AF28" s="402"/>
      <c r="AG28" s="408"/>
      <c r="AH28" s="405"/>
      <c r="AI28" s="405"/>
      <c r="AJ28" s="405"/>
      <c r="AK28" s="405"/>
      <c r="AL28" s="404"/>
      <c r="AM28" s="404"/>
      <c r="AN28" s="405"/>
      <c r="AO28" s="404"/>
      <c r="AP28" s="405"/>
      <c r="AQ28" s="405"/>
      <c r="AR28" s="405"/>
      <c r="AS28" s="405"/>
      <c r="AT28" s="405"/>
      <c r="AU28" s="404"/>
      <c r="AV28" s="404"/>
    </row>
    <row r="29" spans="1:48" s="20" customFormat="1" ht="11.25" x14ac:dyDescent="0.2">
      <c r="A29" s="23"/>
      <c r="B29" s="311"/>
      <c r="C29" s="21"/>
      <c r="D29" s="22"/>
      <c r="E29" s="310"/>
      <c r="F29" s="310"/>
      <c r="G29" s="310"/>
      <c r="H29" s="310"/>
      <c r="I29" s="310"/>
      <c r="J29" s="310"/>
      <c r="K29" s="310"/>
      <c r="L29" s="332"/>
      <c r="M29" s="333"/>
      <c r="N29" s="333"/>
      <c r="O29" s="311"/>
      <c r="P29" s="24"/>
      <c r="Q29" s="21"/>
      <c r="R29" s="21"/>
      <c r="S29" s="21"/>
      <c r="T29" s="21"/>
      <c r="U29" s="23"/>
      <c r="V29" s="23"/>
      <c r="W29" s="333"/>
      <c r="X29" s="334"/>
      <c r="Y29" s="333"/>
      <c r="Z29" s="22"/>
      <c r="AA29" s="24"/>
      <c r="AB29" s="24"/>
      <c r="AC29" s="334"/>
      <c r="AD29" s="24"/>
      <c r="AE29" s="24"/>
      <c r="AF29" s="23"/>
      <c r="AG29" s="21"/>
      <c r="AH29" s="22"/>
      <c r="AI29" s="22"/>
      <c r="AJ29" s="22"/>
      <c r="AK29" s="22"/>
      <c r="AL29" s="21"/>
      <c r="AM29" s="21"/>
      <c r="AN29" s="22"/>
      <c r="AO29" s="21"/>
      <c r="AP29" s="22"/>
      <c r="AQ29" s="22"/>
      <c r="AR29" s="22"/>
      <c r="AS29" s="22"/>
      <c r="AT29" s="22"/>
      <c r="AU29" s="21"/>
      <c r="AV29" s="21"/>
    </row>
    <row r="30" spans="1:48" x14ac:dyDescent="0.25">
      <c r="AD30" s="398">
        <f>SUM(AD26:AD29)</f>
        <v>153.23999999999998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4" zoomScale="90" zoomScaleNormal="90" zoomScaleSheetLayoutView="90" workbookViewId="0">
      <selection activeCell="B75" sqref="B75:B79"/>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41" t="str">
        <f>'1. паспорт местоположение'!A5:C5</f>
        <v>Год раскрытия информации: 2023 год</v>
      </c>
      <c r="B5" s="541"/>
      <c r="C5" s="85"/>
      <c r="D5" s="85"/>
      <c r="E5" s="85"/>
      <c r="F5" s="85"/>
      <c r="G5" s="85"/>
      <c r="H5" s="85"/>
    </row>
    <row r="6" spans="1:8" ht="18.75" x14ac:dyDescent="0.3">
      <c r="A6" s="262"/>
      <c r="B6" s="262"/>
      <c r="C6" s="262"/>
      <c r="D6" s="262"/>
      <c r="E6" s="262"/>
      <c r="F6" s="262"/>
      <c r="G6" s="262"/>
      <c r="H6" s="262"/>
    </row>
    <row r="7" spans="1:8" ht="18.75" x14ac:dyDescent="0.25">
      <c r="A7" s="428" t="s">
        <v>7</v>
      </c>
      <c r="B7" s="428"/>
      <c r="C7" s="154"/>
      <c r="D7" s="154"/>
      <c r="E7" s="154"/>
      <c r="F7" s="154"/>
      <c r="G7" s="154"/>
      <c r="H7" s="154"/>
    </row>
    <row r="8" spans="1:8" ht="18.75" x14ac:dyDescent="0.25">
      <c r="A8" s="154"/>
      <c r="B8" s="154"/>
      <c r="C8" s="154"/>
      <c r="D8" s="154"/>
      <c r="E8" s="154"/>
      <c r="F8" s="154"/>
      <c r="G8" s="154"/>
      <c r="H8" s="154"/>
    </row>
    <row r="9" spans="1:8" x14ac:dyDescent="0.25">
      <c r="A9" s="422" t="str">
        <f>'1. паспорт местоположение'!A9:C9</f>
        <v>Акционерное общество "Россети Янтарь"</v>
      </c>
      <c r="B9" s="422"/>
      <c r="C9" s="168"/>
      <c r="D9" s="168"/>
      <c r="E9" s="168"/>
      <c r="F9" s="168"/>
      <c r="G9" s="168"/>
      <c r="H9" s="168"/>
    </row>
    <row r="10" spans="1:8" x14ac:dyDescent="0.25">
      <c r="A10" s="424" t="s">
        <v>6</v>
      </c>
      <c r="B10" s="424"/>
      <c r="C10" s="156"/>
      <c r="D10" s="156"/>
      <c r="E10" s="156"/>
      <c r="F10" s="156"/>
      <c r="G10" s="156"/>
      <c r="H10" s="156"/>
    </row>
    <row r="11" spans="1:8" ht="18.75" x14ac:dyDescent="0.25">
      <c r="A11" s="154"/>
      <c r="B11" s="154"/>
      <c r="C11" s="154"/>
      <c r="D11" s="154"/>
      <c r="E11" s="154"/>
      <c r="F11" s="154"/>
      <c r="G11" s="154"/>
      <c r="H11" s="154"/>
    </row>
    <row r="12" spans="1:8" x14ac:dyDescent="0.25">
      <c r="A12" s="422" t="str">
        <f>'1. паспорт местоположение'!A12:C12</f>
        <v>M_21-1789</v>
      </c>
      <c r="B12" s="422"/>
      <c r="C12" s="168"/>
      <c r="D12" s="168"/>
      <c r="E12" s="168"/>
      <c r="F12" s="168"/>
      <c r="G12" s="168"/>
      <c r="H12" s="168"/>
    </row>
    <row r="13" spans="1:8" x14ac:dyDescent="0.25">
      <c r="A13" s="424" t="s">
        <v>5</v>
      </c>
      <c r="B13" s="424"/>
      <c r="C13" s="156"/>
      <c r="D13" s="156"/>
      <c r="E13" s="156"/>
      <c r="F13" s="156"/>
      <c r="G13" s="156"/>
      <c r="H13" s="156"/>
    </row>
    <row r="14" spans="1:8" ht="18.75" x14ac:dyDescent="0.25">
      <c r="A14" s="11"/>
      <c r="B14" s="11"/>
      <c r="C14" s="11"/>
      <c r="D14" s="11"/>
      <c r="E14" s="11"/>
      <c r="F14" s="11"/>
      <c r="G14" s="11"/>
      <c r="H14" s="11"/>
    </row>
    <row r="15" spans="1:8" ht="35.25" customHeight="1" x14ac:dyDescent="0.25">
      <c r="A15" s="542" t="str">
        <f>'1. паспорт местоположение'!A15:C15</f>
        <v>Переустройство ВЛ 15-180 (инв.511543602), ВЛ 0,4 кВ от ТП 180-01 (инв.511539903, 511539905) в п. Шоссейное, ул. Лесная Гурьевский ГО</v>
      </c>
      <c r="B15" s="542"/>
      <c r="C15" s="168"/>
      <c r="D15" s="168"/>
      <c r="E15" s="168"/>
      <c r="F15" s="168"/>
      <c r="G15" s="168"/>
      <c r="H15" s="168"/>
    </row>
    <row r="16" spans="1:8" x14ac:dyDescent="0.25">
      <c r="A16" s="424" t="s">
        <v>4</v>
      </c>
      <c r="B16" s="424"/>
      <c r="C16" s="156"/>
      <c r="D16" s="156"/>
      <c r="E16" s="156"/>
      <c r="F16" s="156"/>
      <c r="G16" s="156"/>
      <c r="H16" s="156"/>
    </row>
    <row r="17" spans="1:2" x14ac:dyDescent="0.25">
      <c r="B17" s="123"/>
    </row>
    <row r="18" spans="1:2" x14ac:dyDescent="0.25">
      <c r="A18" s="543" t="s">
        <v>510</v>
      </c>
      <c r="B18" s="544"/>
    </row>
    <row r="19" spans="1:2" x14ac:dyDescent="0.25">
      <c r="B19" s="43"/>
    </row>
    <row r="20" spans="1:2" ht="16.5" thickBot="1" x14ac:dyDescent="0.3">
      <c r="B20" s="124"/>
    </row>
    <row r="21" spans="1:2" ht="30.75" thickBot="1" x14ac:dyDescent="0.3">
      <c r="A21" s="125" t="s">
        <v>380</v>
      </c>
      <c r="B21" s="399" t="str">
        <f>A15</f>
        <v>Переустройство ВЛ 15-180 (инв.511543602), ВЛ 0,4 кВ от ТП 180-01 (инв.511539903, 511539905) в п. Шоссейное, ул. Лесная Гурьевский ГО</v>
      </c>
    </row>
    <row r="22" spans="1:2" ht="16.5" thickBot="1" x14ac:dyDescent="0.3">
      <c r="A22" s="125" t="s">
        <v>381</v>
      </c>
      <c r="B22" s="12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5" t="s">
        <v>346</v>
      </c>
      <c r="B23" s="127" t="s">
        <v>647</v>
      </c>
    </row>
    <row r="24" spans="1:2" ht="16.5" thickBot="1" x14ac:dyDescent="0.3">
      <c r="A24" s="125" t="s">
        <v>382</v>
      </c>
      <c r="B24" s="127" t="str">
        <f>CONCATENATE('3.2 паспорт Техсостояние ЛЭП'!R28," (",ROUND('3.2 паспорт Техсостояние ЛЭП'!S28,2),") км")</f>
        <v>0,462 (0,12) км</v>
      </c>
    </row>
    <row r="25" spans="1:2" ht="16.5" thickBot="1" x14ac:dyDescent="0.3">
      <c r="A25" s="128" t="s">
        <v>383</v>
      </c>
      <c r="B25" s="126" t="s">
        <v>637</v>
      </c>
    </row>
    <row r="26" spans="1:2" ht="16.5" thickBot="1" x14ac:dyDescent="0.3">
      <c r="A26" s="129" t="s">
        <v>384</v>
      </c>
      <c r="B26" s="127" t="s">
        <v>682</v>
      </c>
    </row>
    <row r="27" spans="1:2" ht="29.25" thickBot="1" x14ac:dyDescent="0.3">
      <c r="A27" s="136" t="s">
        <v>674</v>
      </c>
      <c r="B27" s="261">
        <f>'5. анализ эконом эфф'!B122</f>
        <v>2.4674700000000001</v>
      </c>
    </row>
    <row r="28" spans="1:2" ht="16.5" thickBot="1" x14ac:dyDescent="0.3">
      <c r="A28" s="131" t="s">
        <v>385</v>
      </c>
      <c r="B28" s="131" t="s">
        <v>702</v>
      </c>
    </row>
    <row r="29" spans="1:2" ht="29.25" thickBot="1" x14ac:dyDescent="0.3">
      <c r="A29" s="137" t="s">
        <v>386</v>
      </c>
      <c r="B29" s="344">
        <f>'7. Паспорт отчет о закупке'!AD30/1000</f>
        <v>0.15323999999999999</v>
      </c>
    </row>
    <row r="30" spans="1:2" ht="29.25" thickBot="1" x14ac:dyDescent="0.3">
      <c r="A30" s="137" t="s">
        <v>387</v>
      </c>
      <c r="B30" s="344">
        <f>B32+B41+B58</f>
        <v>0.15323999999999999</v>
      </c>
    </row>
    <row r="31" spans="1:2" ht="16.5" thickBot="1" x14ac:dyDescent="0.3">
      <c r="A31" s="131" t="s">
        <v>388</v>
      </c>
      <c r="B31" s="344"/>
    </row>
    <row r="32" spans="1:2" ht="29.25" thickBot="1" x14ac:dyDescent="0.3">
      <c r="A32" s="137" t="s">
        <v>389</v>
      </c>
      <c r="B32" s="344">
        <f>B33+B37</f>
        <v>0</v>
      </c>
    </row>
    <row r="33" spans="1:3" s="267" customFormat="1" ht="16.5" thickBot="1" x14ac:dyDescent="0.3">
      <c r="A33" s="278" t="s">
        <v>390</v>
      </c>
      <c r="B33" s="345">
        <v>0</v>
      </c>
    </row>
    <row r="34" spans="1:3" ht="16.5" thickBot="1" x14ac:dyDescent="0.3">
      <c r="A34" s="131" t="s">
        <v>391</v>
      </c>
      <c r="B34" s="268">
        <f>B33/$B$27</f>
        <v>0</v>
      </c>
    </row>
    <row r="35" spans="1:3" ht="16.5" thickBot="1" x14ac:dyDescent="0.3">
      <c r="A35" s="131" t="s">
        <v>392</v>
      </c>
      <c r="B35" s="344">
        <v>0</v>
      </c>
      <c r="C35" s="122">
        <v>1</v>
      </c>
    </row>
    <row r="36" spans="1:3" ht="16.5" thickBot="1" x14ac:dyDescent="0.3">
      <c r="A36" s="131" t="s">
        <v>393</v>
      </c>
      <c r="B36" s="344">
        <v>0</v>
      </c>
      <c r="C36" s="122">
        <v>2</v>
      </c>
    </row>
    <row r="37" spans="1:3" s="267" customFormat="1" ht="16.5" thickBot="1" x14ac:dyDescent="0.3">
      <c r="A37" s="278" t="s">
        <v>390</v>
      </c>
      <c r="B37" s="345">
        <v>0</v>
      </c>
    </row>
    <row r="38" spans="1:3" ht="16.5" thickBot="1" x14ac:dyDescent="0.3">
      <c r="A38" s="131" t="s">
        <v>391</v>
      </c>
      <c r="B38" s="268">
        <f>B37/$B$27</f>
        <v>0</v>
      </c>
    </row>
    <row r="39" spans="1:3" ht="16.5" thickBot="1" x14ac:dyDescent="0.3">
      <c r="A39" s="131" t="s">
        <v>392</v>
      </c>
      <c r="B39" s="344">
        <v>0</v>
      </c>
      <c r="C39" s="122">
        <v>1</v>
      </c>
    </row>
    <row r="40" spans="1:3" ht="16.5" thickBot="1" x14ac:dyDescent="0.3">
      <c r="A40" s="131" t="s">
        <v>393</v>
      </c>
      <c r="B40" s="344">
        <v>0</v>
      </c>
      <c r="C40" s="122">
        <v>2</v>
      </c>
    </row>
    <row r="41" spans="1:3" ht="29.25" thickBot="1" x14ac:dyDescent="0.3">
      <c r="A41" s="137" t="s">
        <v>394</v>
      </c>
      <c r="B41" s="344">
        <f>B42+B46+B50+B54</f>
        <v>0</v>
      </c>
    </row>
    <row r="42" spans="1:3" s="267" customFormat="1" ht="16.5" thickBot="1" x14ac:dyDescent="0.3">
      <c r="A42" s="278" t="s">
        <v>390</v>
      </c>
      <c r="B42" s="345">
        <v>0</v>
      </c>
    </row>
    <row r="43" spans="1:3" ht="16.5" thickBot="1" x14ac:dyDescent="0.3">
      <c r="A43" s="131" t="s">
        <v>391</v>
      </c>
      <c r="B43" s="268">
        <f>B42/$B$27</f>
        <v>0</v>
      </c>
    </row>
    <row r="44" spans="1:3" ht="16.5" thickBot="1" x14ac:dyDescent="0.3">
      <c r="A44" s="131" t="s">
        <v>392</v>
      </c>
      <c r="B44" s="344">
        <v>0</v>
      </c>
      <c r="C44" s="122">
        <v>1</v>
      </c>
    </row>
    <row r="45" spans="1:3" ht="16.5" thickBot="1" x14ac:dyDescent="0.3">
      <c r="A45" s="131" t="s">
        <v>393</v>
      </c>
      <c r="B45" s="344">
        <v>0</v>
      </c>
      <c r="C45" s="122">
        <v>2</v>
      </c>
    </row>
    <row r="46" spans="1:3" s="267" customFormat="1" ht="16.5" thickBot="1" x14ac:dyDescent="0.3">
      <c r="A46" s="266" t="s">
        <v>390</v>
      </c>
      <c r="B46" s="345">
        <v>0</v>
      </c>
    </row>
    <row r="47" spans="1:3" ht="16.5" thickBot="1" x14ac:dyDescent="0.3">
      <c r="A47" s="131" t="s">
        <v>391</v>
      </c>
      <c r="B47" s="268">
        <f>B46/$B$27</f>
        <v>0</v>
      </c>
    </row>
    <row r="48" spans="1:3" ht="16.5" thickBot="1" x14ac:dyDescent="0.3">
      <c r="A48" s="131" t="s">
        <v>392</v>
      </c>
      <c r="B48" s="344">
        <v>0</v>
      </c>
      <c r="C48" s="122">
        <v>1</v>
      </c>
    </row>
    <row r="49" spans="1:3" ht="16.5" thickBot="1" x14ac:dyDescent="0.3">
      <c r="A49" s="131" t="s">
        <v>393</v>
      </c>
      <c r="B49" s="344">
        <v>0</v>
      </c>
      <c r="C49" s="122">
        <v>2</v>
      </c>
    </row>
    <row r="50" spans="1:3" s="267" customFormat="1" ht="16.5" thickBot="1" x14ac:dyDescent="0.3">
      <c r="A50" s="266" t="s">
        <v>390</v>
      </c>
      <c r="B50" s="345">
        <v>0</v>
      </c>
    </row>
    <row r="51" spans="1:3" ht="16.5" thickBot="1" x14ac:dyDescent="0.3">
      <c r="A51" s="131" t="s">
        <v>391</v>
      </c>
      <c r="B51" s="268">
        <f>B50/$B$27</f>
        <v>0</v>
      </c>
    </row>
    <row r="52" spans="1:3" ht="16.5" thickBot="1" x14ac:dyDescent="0.3">
      <c r="A52" s="131" t="s">
        <v>392</v>
      </c>
      <c r="B52" s="344">
        <v>0</v>
      </c>
      <c r="C52" s="122">
        <v>1</v>
      </c>
    </row>
    <row r="53" spans="1:3" ht="16.5" thickBot="1" x14ac:dyDescent="0.3">
      <c r="A53" s="131" t="s">
        <v>393</v>
      </c>
      <c r="B53" s="344">
        <v>0</v>
      </c>
      <c r="C53" s="122">
        <v>2</v>
      </c>
    </row>
    <row r="54" spans="1:3" s="267" customFormat="1" ht="16.5" thickBot="1" x14ac:dyDescent="0.3">
      <c r="A54" s="266" t="s">
        <v>390</v>
      </c>
      <c r="B54" s="345">
        <v>0</v>
      </c>
    </row>
    <row r="55" spans="1:3" ht="16.5" thickBot="1" x14ac:dyDescent="0.3">
      <c r="A55" s="131" t="s">
        <v>391</v>
      </c>
      <c r="B55" s="268">
        <f>B54/$B$27</f>
        <v>0</v>
      </c>
    </row>
    <row r="56" spans="1:3" ht="16.5" thickBot="1" x14ac:dyDescent="0.3">
      <c r="A56" s="131" t="s">
        <v>392</v>
      </c>
      <c r="B56" s="344">
        <v>0</v>
      </c>
      <c r="C56" s="122">
        <v>1</v>
      </c>
    </row>
    <row r="57" spans="1:3" ht="16.5" thickBot="1" x14ac:dyDescent="0.3">
      <c r="A57" s="131" t="s">
        <v>393</v>
      </c>
      <c r="B57" s="344">
        <v>0</v>
      </c>
      <c r="C57" s="122">
        <v>2</v>
      </c>
    </row>
    <row r="58" spans="1:3" ht="29.25" thickBot="1" x14ac:dyDescent="0.3">
      <c r="A58" s="137" t="s">
        <v>395</v>
      </c>
      <c r="B58" s="344">
        <f>B59+B63+B67+B71</f>
        <v>0.15323999999999999</v>
      </c>
    </row>
    <row r="59" spans="1:3" s="267" customFormat="1" ht="30.75" thickBot="1" x14ac:dyDescent="0.3">
      <c r="A59" s="400" t="s">
        <v>700</v>
      </c>
      <c r="B59" s="401">
        <v>0.15323999999999999</v>
      </c>
    </row>
    <row r="60" spans="1:3" ht="16.5" thickBot="1" x14ac:dyDescent="0.3">
      <c r="A60" s="131" t="s">
        <v>391</v>
      </c>
      <c r="B60" s="268">
        <f t="shared" ref="B60" si="0">B59/$B$27</f>
        <v>6.2104098530073308E-2</v>
      </c>
    </row>
    <row r="61" spans="1:3" ht="16.5" thickBot="1" x14ac:dyDescent="0.3">
      <c r="A61" s="131" t="s">
        <v>392</v>
      </c>
      <c r="B61" s="344">
        <v>0.15323999999999999</v>
      </c>
      <c r="C61" s="122">
        <v>1</v>
      </c>
    </row>
    <row r="62" spans="1:3" ht="16.5" thickBot="1" x14ac:dyDescent="0.3">
      <c r="A62" s="131" t="s">
        <v>393</v>
      </c>
      <c r="B62" s="344">
        <v>0.15323999999999999</v>
      </c>
      <c r="C62" s="122">
        <v>2</v>
      </c>
    </row>
    <row r="63" spans="1:3" s="267" customFormat="1" ht="16.5" thickBot="1" x14ac:dyDescent="0.3">
      <c r="A63" s="278" t="s">
        <v>390</v>
      </c>
      <c r="B63" s="345">
        <v>0</v>
      </c>
    </row>
    <row r="64" spans="1:3" ht="16.5" thickBot="1" x14ac:dyDescent="0.3">
      <c r="A64" s="131" t="s">
        <v>391</v>
      </c>
      <c r="B64" s="268">
        <f t="shared" ref="B64" si="1">B63/$B$27</f>
        <v>0</v>
      </c>
    </row>
    <row r="65" spans="1:4" ht="16.5" thickBot="1" x14ac:dyDescent="0.3">
      <c r="A65" s="131" t="s">
        <v>392</v>
      </c>
      <c r="B65" s="344">
        <v>0</v>
      </c>
      <c r="C65" s="122">
        <v>1</v>
      </c>
    </row>
    <row r="66" spans="1:4" ht="16.5" thickBot="1" x14ac:dyDescent="0.3">
      <c r="A66" s="131" t="s">
        <v>393</v>
      </c>
      <c r="B66" s="344">
        <v>0</v>
      </c>
      <c r="C66" s="122">
        <v>2</v>
      </c>
    </row>
    <row r="67" spans="1:4" s="267" customFormat="1" ht="16.5" thickBot="1" x14ac:dyDescent="0.3">
      <c r="A67" s="278" t="s">
        <v>390</v>
      </c>
      <c r="B67" s="345">
        <v>0</v>
      </c>
    </row>
    <row r="68" spans="1:4" ht="16.5" thickBot="1" x14ac:dyDescent="0.3">
      <c r="A68" s="131" t="s">
        <v>391</v>
      </c>
      <c r="B68" s="268">
        <f t="shared" ref="B68" si="2">B67/$B$27</f>
        <v>0</v>
      </c>
    </row>
    <row r="69" spans="1:4" ht="16.5" thickBot="1" x14ac:dyDescent="0.3">
      <c r="A69" s="131" t="s">
        <v>392</v>
      </c>
      <c r="B69" s="344">
        <v>0</v>
      </c>
      <c r="C69" s="122">
        <v>1</v>
      </c>
    </row>
    <row r="70" spans="1:4" ht="16.5" thickBot="1" x14ac:dyDescent="0.3">
      <c r="A70" s="131" t="s">
        <v>393</v>
      </c>
      <c r="B70" s="344">
        <v>0</v>
      </c>
      <c r="C70" s="122">
        <v>2</v>
      </c>
    </row>
    <row r="71" spans="1:4" s="267" customFormat="1" ht="16.5" thickBot="1" x14ac:dyDescent="0.3">
      <c r="A71" s="266" t="s">
        <v>390</v>
      </c>
      <c r="B71" s="345">
        <v>0</v>
      </c>
    </row>
    <row r="72" spans="1:4" ht="16.5" thickBot="1" x14ac:dyDescent="0.3">
      <c r="A72" s="131" t="s">
        <v>391</v>
      </c>
      <c r="B72" s="268">
        <f>B71/$B$27</f>
        <v>0</v>
      </c>
    </row>
    <row r="73" spans="1:4" ht="16.5" thickBot="1" x14ac:dyDescent="0.3">
      <c r="A73" s="131" t="s">
        <v>392</v>
      </c>
      <c r="B73" s="344">
        <v>0</v>
      </c>
      <c r="C73" s="122">
        <v>1</v>
      </c>
    </row>
    <row r="74" spans="1:4" ht="16.5" thickBot="1" x14ac:dyDescent="0.3">
      <c r="A74" s="131" t="s">
        <v>393</v>
      </c>
      <c r="B74" s="344">
        <v>0</v>
      </c>
      <c r="C74" s="122">
        <v>2</v>
      </c>
    </row>
    <row r="75" spans="1:4" ht="29.25" thickBot="1" x14ac:dyDescent="0.3">
      <c r="A75" s="130" t="s">
        <v>396</v>
      </c>
      <c r="B75" s="268">
        <f>B30/B27</f>
        <v>6.2104098530073308E-2</v>
      </c>
    </row>
    <row r="76" spans="1:4" ht="16.5" thickBot="1" x14ac:dyDescent="0.3">
      <c r="A76" s="132" t="s">
        <v>388</v>
      </c>
      <c r="B76" s="268"/>
    </row>
    <row r="77" spans="1:4" ht="16.5" thickBot="1" x14ac:dyDescent="0.3">
      <c r="A77" s="132" t="s">
        <v>397</v>
      </c>
      <c r="B77" s="268"/>
    </row>
    <row r="78" spans="1:4" ht="16.5" thickBot="1" x14ac:dyDescent="0.3">
      <c r="A78" s="132" t="s">
        <v>398</v>
      </c>
      <c r="B78" s="268"/>
    </row>
    <row r="79" spans="1:4" ht="16.5" thickBot="1" x14ac:dyDescent="0.3">
      <c r="A79" s="132" t="s">
        <v>399</v>
      </c>
      <c r="B79" s="268">
        <f>B59/B27</f>
        <v>6.2104098530073308E-2</v>
      </c>
    </row>
    <row r="80" spans="1:4" s="61" customFormat="1" ht="16.5" thickBot="1" x14ac:dyDescent="0.3">
      <c r="A80" s="394" t="s">
        <v>671</v>
      </c>
      <c r="B80" s="395">
        <f xml:space="preserve"> SUMIF(C81:C88, 40,B81:B88)</f>
        <v>0</v>
      </c>
      <c r="C80" s="396"/>
      <c r="D80" s="397"/>
    </row>
    <row r="81" spans="1:4" s="61" customFormat="1" ht="16.5" thickBot="1" x14ac:dyDescent="0.3">
      <c r="A81" s="278" t="s">
        <v>390</v>
      </c>
      <c r="B81" s="345">
        <v>0</v>
      </c>
      <c r="C81" s="122">
        <v>40</v>
      </c>
      <c r="D81" s="122"/>
    </row>
    <row r="82" spans="1:4" s="61" customFormat="1" ht="16.5" thickBot="1" x14ac:dyDescent="0.3">
      <c r="A82" s="131" t="s">
        <v>391</v>
      </c>
      <c r="B82" s="268">
        <f t="shared" ref="B82" si="3">B81/$B$27</f>
        <v>0</v>
      </c>
      <c r="C82" s="122"/>
      <c r="D82" s="122"/>
    </row>
    <row r="83" spans="1:4" s="61" customFormat="1" ht="16.5" thickBot="1" x14ac:dyDescent="0.3">
      <c r="A83" s="131" t="s">
        <v>392</v>
      </c>
      <c r="B83" s="344">
        <v>0</v>
      </c>
      <c r="C83" s="122">
        <v>1</v>
      </c>
      <c r="D83" s="122"/>
    </row>
    <row r="84" spans="1:4" s="61" customFormat="1" ht="16.5" thickBot="1" x14ac:dyDescent="0.3">
      <c r="A84" s="131" t="s">
        <v>393</v>
      </c>
      <c r="B84" s="344">
        <v>0</v>
      </c>
      <c r="C84" s="122">
        <v>2</v>
      </c>
      <c r="D84" s="122"/>
    </row>
    <row r="85" spans="1:4" s="61" customFormat="1" ht="16.5" thickBot="1" x14ac:dyDescent="0.3">
      <c r="A85" s="278" t="s">
        <v>390</v>
      </c>
      <c r="B85" s="345">
        <v>0</v>
      </c>
      <c r="C85" s="122">
        <v>40</v>
      </c>
      <c r="D85" s="122"/>
    </row>
    <row r="86" spans="1:4" s="61" customFormat="1" ht="16.5" thickBot="1" x14ac:dyDescent="0.3">
      <c r="A86" s="131" t="s">
        <v>391</v>
      </c>
      <c r="B86" s="268">
        <f t="shared" ref="B86" si="4">B85/$B$27</f>
        <v>0</v>
      </c>
      <c r="C86" s="122"/>
      <c r="D86" s="122"/>
    </row>
    <row r="87" spans="1:4" s="61" customFormat="1" ht="16.5" thickBot="1" x14ac:dyDescent="0.3">
      <c r="A87" s="131" t="s">
        <v>392</v>
      </c>
      <c r="B87" s="344">
        <v>0</v>
      </c>
      <c r="C87" s="122">
        <v>1</v>
      </c>
      <c r="D87" s="122"/>
    </row>
    <row r="88" spans="1:4" s="61" customFormat="1" ht="16.5" thickBot="1" x14ac:dyDescent="0.3">
      <c r="A88" s="131" t="s">
        <v>393</v>
      </c>
      <c r="B88" s="344">
        <v>0</v>
      </c>
      <c r="C88" s="122">
        <v>2</v>
      </c>
      <c r="D88" s="122"/>
    </row>
    <row r="89" spans="1:4" ht="16.5" thickBot="1" x14ac:dyDescent="0.3">
      <c r="A89" s="128" t="s">
        <v>400</v>
      </c>
      <c r="B89" s="269">
        <f>B90/$B$27</f>
        <v>6.2104098530073308E-2</v>
      </c>
    </row>
    <row r="90" spans="1:4" ht="16.5" thickBot="1" x14ac:dyDescent="0.3">
      <c r="A90" s="128" t="s">
        <v>401</v>
      </c>
      <c r="B90" s="393">
        <f xml:space="preserve"> SUMIF(C33:C88, 1,B33:B88)</f>
        <v>0.15323999999999999</v>
      </c>
    </row>
    <row r="91" spans="1:4" ht="16.5" thickBot="1" x14ac:dyDescent="0.3">
      <c r="A91" s="128" t="s">
        <v>402</v>
      </c>
      <c r="B91" s="269">
        <f>B92/$B$27</f>
        <v>6.2104098530073308E-2</v>
      </c>
    </row>
    <row r="92" spans="1:4" ht="16.5" thickBot="1" x14ac:dyDescent="0.3">
      <c r="A92" s="129" t="s">
        <v>403</v>
      </c>
      <c r="B92" s="393">
        <f xml:space="preserve"> SUMIF(C33:C88, 2,B33:B88)</f>
        <v>0.15323999999999999</v>
      </c>
    </row>
    <row r="93" spans="1:4" ht="15.6" customHeight="1" x14ac:dyDescent="0.25">
      <c r="A93" s="130" t="s">
        <v>404</v>
      </c>
      <c r="B93" s="132" t="s">
        <v>405</v>
      </c>
    </row>
    <row r="94" spans="1:4" x14ac:dyDescent="0.25">
      <c r="A94" s="134" t="s">
        <v>406</v>
      </c>
      <c r="B94" s="134" t="s">
        <v>530</v>
      </c>
    </row>
    <row r="95" spans="1:4" x14ac:dyDescent="0.25">
      <c r="A95" s="134" t="s">
        <v>407</v>
      </c>
      <c r="B95" s="134" t="s">
        <v>701</v>
      </c>
    </row>
    <row r="96" spans="1:4" x14ac:dyDescent="0.25">
      <c r="A96" s="134" t="s">
        <v>408</v>
      </c>
      <c r="B96" s="134"/>
    </row>
    <row r="97" spans="1:2" x14ac:dyDescent="0.25">
      <c r="A97" s="134" t="s">
        <v>409</v>
      </c>
      <c r="B97" s="134"/>
    </row>
    <row r="98" spans="1:2" ht="16.5" thickBot="1" x14ac:dyDescent="0.3">
      <c r="A98" s="135" t="s">
        <v>410</v>
      </c>
      <c r="B98" s="135"/>
    </row>
    <row r="99" spans="1:2" ht="30.75" thickBot="1" x14ac:dyDescent="0.3">
      <c r="A99" s="132" t="s">
        <v>411</v>
      </c>
      <c r="B99" s="133" t="s">
        <v>637</v>
      </c>
    </row>
    <row r="100" spans="1:2" ht="29.25" thickBot="1" x14ac:dyDescent="0.3">
      <c r="A100" s="128" t="s">
        <v>412</v>
      </c>
      <c r="B100" s="339">
        <v>7</v>
      </c>
    </row>
    <row r="101" spans="1:2" ht="16.5" thickBot="1" x14ac:dyDescent="0.3">
      <c r="A101" s="132" t="s">
        <v>388</v>
      </c>
      <c r="B101" s="340"/>
    </row>
    <row r="102" spans="1:2" ht="16.5" thickBot="1" x14ac:dyDescent="0.3">
      <c r="A102" s="132" t="s">
        <v>413</v>
      </c>
      <c r="B102" s="339">
        <v>4</v>
      </c>
    </row>
    <row r="103" spans="1:2" ht="16.5" thickBot="1" x14ac:dyDescent="0.3">
      <c r="A103" s="132" t="s">
        <v>414</v>
      </c>
      <c r="B103" s="340">
        <v>3</v>
      </c>
    </row>
    <row r="104" spans="1:2" ht="16.5" thickBot="1" x14ac:dyDescent="0.3">
      <c r="A104" s="140" t="s">
        <v>415</v>
      </c>
      <c r="B104" s="338" t="s">
        <v>629</v>
      </c>
    </row>
    <row r="105" spans="1:2" ht="16.5" thickBot="1" x14ac:dyDescent="0.3">
      <c r="A105" s="128" t="s">
        <v>416</v>
      </c>
      <c r="B105" s="138"/>
    </row>
    <row r="106" spans="1:2" ht="16.5" thickBot="1" x14ac:dyDescent="0.3">
      <c r="A106" s="134" t="s">
        <v>417</v>
      </c>
      <c r="B106" s="141" t="s">
        <v>629</v>
      </c>
    </row>
    <row r="107" spans="1:2" ht="16.5" thickBot="1" x14ac:dyDescent="0.3">
      <c r="A107" s="134" t="s">
        <v>418</v>
      </c>
      <c r="B107" s="141" t="s">
        <v>629</v>
      </c>
    </row>
    <row r="108" spans="1:2" ht="16.5" thickBot="1" x14ac:dyDescent="0.3">
      <c r="A108" s="134" t="s">
        <v>419</v>
      </c>
      <c r="B108" s="141" t="s">
        <v>629</v>
      </c>
    </row>
    <row r="109" spans="1:2" ht="29.25" thickBot="1" x14ac:dyDescent="0.3">
      <c r="A109" s="142" t="s">
        <v>420</v>
      </c>
      <c r="B109" s="139" t="s">
        <v>637</v>
      </c>
    </row>
    <row r="110" spans="1:2" ht="28.5" x14ac:dyDescent="0.25">
      <c r="A110" s="130" t="s">
        <v>421</v>
      </c>
      <c r="B110" s="545" t="s">
        <v>629</v>
      </c>
    </row>
    <row r="111" spans="1:2" x14ac:dyDescent="0.25">
      <c r="A111" s="134" t="s">
        <v>422</v>
      </c>
      <c r="B111" s="546"/>
    </row>
    <row r="112" spans="1:2" x14ac:dyDescent="0.25">
      <c r="A112" s="134" t="s">
        <v>423</v>
      </c>
      <c r="B112" s="546"/>
    </row>
    <row r="113" spans="1:2" x14ac:dyDescent="0.25">
      <c r="A113" s="134" t="s">
        <v>424</v>
      </c>
      <c r="B113" s="546"/>
    </row>
    <row r="114" spans="1:2" x14ac:dyDescent="0.25">
      <c r="A114" s="134" t="s">
        <v>425</v>
      </c>
      <c r="B114" s="546"/>
    </row>
    <row r="115" spans="1:2" ht="16.5" thickBot="1" x14ac:dyDescent="0.3">
      <c r="A115" s="143" t="s">
        <v>426</v>
      </c>
      <c r="B115" s="547"/>
    </row>
    <row r="118" spans="1:2" x14ac:dyDescent="0.25">
      <c r="A118" s="144"/>
      <c r="B118" s="145"/>
    </row>
    <row r="119" spans="1:2" x14ac:dyDescent="0.25">
      <c r="B119" s="146"/>
    </row>
    <row r="120" spans="1:2" x14ac:dyDescent="0.25">
      <c r="B120" s="147"/>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8" t="s">
        <v>572</v>
      </c>
    </row>
    <row r="2" spans="1:1" ht="25.5" customHeight="1" x14ac:dyDescent="0.25">
      <c r="A2" s="548"/>
    </row>
    <row r="3" spans="1:1" ht="25.5" customHeight="1" x14ac:dyDescent="0.25">
      <c r="A3" s="548"/>
    </row>
    <row r="4" spans="1:1" ht="25.5" customHeight="1" x14ac:dyDescent="0.25">
      <c r="A4" s="548"/>
    </row>
    <row r="5" spans="1:1" ht="25.5" customHeight="1" x14ac:dyDescent="0.25">
      <c r="A5" s="548"/>
    </row>
    <row r="6" spans="1:1" ht="23.25" customHeight="1" x14ac:dyDescent="0.25">
      <c r="A6" s="254">
        <v>2</v>
      </c>
    </row>
    <row r="7" spans="1:1" s="114" customFormat="1" ht="23.25" customHeight="1" x14ac:dyDescent="0.25">
      <c r="A7" s="258" t="s">
        <v>573</v>
      </c>
    </row>
    <row r="8" spans="1:1" ht="31.5" customHeight="1" x14ac:dyDescent="0.25">
      <c r="A8" s="255" t="s">
        <v>581</v>
      </c>
    </row>
    <row r="9" spans="1:1" ht="45.75" customHeight="1" x14ac:dyDescent="0.25">
      <c r="A9" s="255" t="s">
        <v>582</v>
      </c>
    </row>
    <row r="10" spans="1:1" ht="33.75" customHeight="1" x14ac:dyDescent="0.25">
      <c r="A10" s="255" t="s">
        <v>583</v>
      </c>
    </row>
    <row r="11" spans="1:1" ht="23.25" customHeight="1" x14ac:dyDescent="0.25">
      <c r="A11" s="255" t="s">
        <v>584</v>
      </c>
    </row>
    <row r="12" spans="1:1" ht="23.25" customHeight="1" x14ac:dyDescent="0.25">
      <c r="A12" s="255" t="s">
        <v>585</v>
      </c>
    </row>
    <row r="13" spans="1:1" ht="33" customHeight="1" x14ac:dyDescent="0.25">
      <c r="A13" s="255" t="s">
        <v>586</v>
      </c>
    </row>
    <row r="14" spans="1:1" ht="23.25" customHeight="1" x14ac:dyDescent="0.25">
      <c r="A14" s="255" t="s">
        <v>587</v>
      </c>
    </row>
    <row r="15" spans="1:1" ht="23.25" customHeight="1" x14ac:dyDescent="0.25">
      <c r="A15" s="256" t="s">
        <v>588</v>
      </c>
    </row>
    <row r="16" spans="1:1" ht="34.5" customHeight="1" x14ac:dyDescent="0.25">
      <c r="A16" s="256" t="s">
        <v>589</v>
      </c>
    </row>
    <row r="17" spans="1:1" ht="39.75" customHeight="1" x14ac:dyDescent="0.25">
      <c r="A17" s="256" t="s">
        <v>590</v>
      </c>
    </row>
    <row r="18" spans="1:1" ht="40.5" customHeight="1" x14ac:dyDescent="0.25">
      <c r="A18" s="256" t="s">
        <v>591</v>
      </c>
    </row>
    <row r="19" spans="1:1" ht="48.75" customHeight="1" x14ac:dyDescent="0.25">
      <c r="A19" s="256" t="s">
        <v>589</v>
      </c>
    </row>
    <row r="20" spans="1:1" ht="39" customHeight="1" x14ac:dyDescent="0.25">
      <c r="A20" s="255" t="s">
        <v>590</v>
      </c>
    </row>
    <row r="21" spans="1:1" ht="39.75" customHeight="1" x14ac:dyDescent="0.25">
      <c r="A21" s="255" t="s">
        <v>592</v>
      </c>
    </row>
    <row r="22" spans="1:1" ht="35.25" customHeight="1" x14ac:dyDescent="0.25">
      <c r="A22" s="255" t="s">
        <v>593</v>
      </c>
    </row>
    <row r="23" spans="1:1" ht="35.25" customHeight="1" x14ac:dyDescent="0.25">
      <c r="A23" s="255" t="s">
        <v>594</v>
      </c>
    </row>
    <row r="24" spans="1:1" ht="57.75" customHeight="1" x14ac:dyDescent="0.25">
      <c r="A24" s="255" t="s">
        <v>595</v>
      </c>
    </row>
    <row r="25" spans="1:1" s="114" customFormat="1" ht="23.25" customHeight="1" x14ac:dyDescent="0.25">
      <c r="A25" s="258" t="s">
        <v>596</v>
      </c>
    </row>
    <row r="26" spans="1:1" ht="36.75" customHeight="1" x14ac:dyDescent="0.25">
      <c r="A26" s="255" t="s">
        <v>597</v>
      </c>
    </row>
    <row r="27" spans="1:1" ht="23.25" customHeight="1" x14ac:dyDescent="0.25">
      <c r="A27" s="255" t="s">
        <v>598</v>
      </c>
    </row>
    <row r="28" spans="1:1" ht="30.75" customHeight="1" x14ac:dyDescent="0.25">
      <c r="A28" s="255" t="s">
        <v>599</v>
      </c>
    </row>
    <row r="29" spans="1:1" s="257" customFormat="1" ht="23.25" customHeight="1" x14ac:dyDescent="0.25">
      <c r="A29" s="255" t="s">
        <v>600</v>
      </c>
    </row>
    <row r="30" spans="1:1" s="257" customFormat="1" ht="23.25" customHeight="1" x14ac:dyDescent="0.25">
      <c r="A30" s="255" t="s">
        <v>601</v>
      </c>
    </row>
    <row r="31" spans="1:1" ht="23.25" customHeight="1" x14ac:dyDescent="0.25">
      <c r="A31" s="255" t="s">
        <v>602</v>
      </c>
    </row>
    <row r="32" spans="1:1" ht="23.25" customHeight="1" x14ac:dyDescent="0.25">
      <c r="A32" s="255" t="s">
        <v>603</v>
      </c>
    </row>
    <row r="33" spans="1:1" ht="23.25" customHeight="1" x14ac:dyDescent="0.25">
      <c r="A33" s="255" t="s">
        <v>604</v>
      </c>
    </row>
    <row r="34" spans="1:1" ht="23.25" customHeight="1" x14ac:dyDescent="0.25">
      <c r="A34" s="255" t="s">
        <v>605</v>
      </c>
    </row>
    <row r="35" spans="1:1" ht="23.25" customHeight="1" x14ac:dyDescent="0.25">
      <c r="A35" s="255" t="s">
        <v>606</v>
      </c>
    </row>
    <row r="36" spans="1:1" ht="23.25" customHeight="1" x14ac:dyDescent="0.25">
      <c r="A36" s="255" t="s">
        <v>607</v>
      </c>
    </row>
    <row r="37" spans="1:1" ht="23.25" customHeight="1" x14ac:dyDescent="0.25">
      <c r="A37" s="255" t="s">
        <v>608</v>
      </c>
    </row>
    <row r="38" spans="1:1" ht="23.25" customHeight="1" x14ac:dyDescent="0.25">
      <c r="A38" s="255" t="s">
        <v>609</v>
      </c>
    </row>
    <row r="39" spans="1:1" ht="23.25" customHeight="1" x14ac:dyDescent="0.25">
      <c r="A39" s="255" t="s">
        <v>610</v>
      </c>
    </row>
    <row r="40" spans="1:1" ht="23.25" customHeight="1" x14ac:dyDescent="0.25">
      <c r="A40" s="255" t="s">
        <v>611</v>
      </c>
    </row>
    <row r="41" spans="1:1" ht="23.25" customHeight="1" x14ac:dyDescent="0.25">
      <c r="A41" s="255" t="s">
        <v>612</v>
      </c>
    </row>
    <row r="42" spans="1:1" ht="23.25" customHeight="1" x14ac:dyDescent="0.25">
      <c r="A42" s="255" t="s">
        <v>613</v>
      </c>
    </row>
    <row r="43" spans="1:1" ht="23.25" customHeight="1" x14ac:dyDescent="0.25">
      <c r="A43" s="255" t="s">
        <v>614</v>
      </c>
    </row>
    <row r="44" spans="1:1" s="114" customFormat="1" ht="36" customHeight="1" x14ac:dyDescent="0.25">
      <c r="A44" s="258" t="s">
        <v>615</v>
      </c>
    </row>
    <row r="45" spans="1:1" ht="36" customHeight="1" x14ac:dyDescent="0.25">
      <c r="A45" s="255" t="s">
        <v>616</v>
      </c>
    </row>
    <row r="46" spans="1:1" ht="36" customHeight="1" x14ac:dyDescent="0.25">
      <c r="A46" s="255" t="s">
        <v>617</v>
      </c>
    </row>
    <row r="47" spans="1:1" s="114" customFormat="1" ht="23.25" customHeight="1" x14ac:dyDescent="0.25">
      <c r="A47" s="258" t="s">
        <v>618</v>
      </c>
    </row>
    <row r="48" spans="1:1" s="114" customFormat="1" ht="23.25" customHeight="1" x14ac:dyDescent="0.25">
      <c r="A48" s="259" t="s">
        <v>619</v>
      </c>
    </row>
    <row r="49" spans="1:1" s="114" customFormat="1" ht="23.25" customHeight="1" x14ac:dyDescent="0.25">
      <c r="A49" s="259" t="s">
        <v>620</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s="386" t="s">
        <v>652</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622</v>
      </c>
    </row>
    <row r="10" spans="1:1" x14ac:dyDescent="0.25">
      <c r="A10" t="s">
        <v>623</v>
      </c>
    </row>
    <row r="11" spans="1:1" x14ac:dyDescent="0.25">
      <c r="A11" t="s">
        <v>658</v>
      </c>
    </row>
    <row r="12" spans="1:1" x14ac:dyDescent="0.25">
      <c r="A12" s="386" t="s">
        <v>659</v>
      </c>
    </row>
    <row r="13" spans="1:1" x14ac:dyDescent="0.25">
      <c r="A13" t="s">
        <v>660</v>
      </c>
    </row>
    <row r="14" spans="1:1" x14ac:dyDescent="0.25">
      <c r="A14" t="s">
        <v>624</v>
      </c>
    </row>
    <row r="15" spans="1:1" x14ac:dyDescent="0.25">
      <c r="A15" t="s">
        <v>661</v>
      </c>
    </row>
    <row r="16" spans="1:1" x14ac:dyDescent="0.25">
      <c r="A16" t="s">
        <v>662</v>
      </c>
    </row>
    <row r="17" spans="1:1" x14ac:dyDescent="0.25">
      <c r="A17" t="s">
        <v>625</v>
      </c>
    </row>
    <row r="18" spans="1:1" x14ac:dyDescent="0.25">
      <c r="A18" t="s">
        <v>663</v>
      </c>
    </row>
    <row r="19" spans="1:1" x14ac:dyDescent="0.25">
      <c r="A19" t="s">
        <v>664</v>
      </c>
    </row>
    <row r="20" spans="1:1" ht="17.25" customHeight="1" x14ac:dyDescent="0.25">
      <c r="A20" t="s">
        <v>626</v>
      </c>
    </row>
    <row r="21" spans="1:1" x14ac:dyDescent="0.25">
      <c r="A21" t="s">
        <v>665</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532</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28" t="s">
        <v>7</v>
      </c>
      <c r="B6" s="428"/>
      <c r="C6" s="428"/>
      <c r="D6" s="428"/>
      <c r="E6" s="428"/>
      <c r="F6" s="428"/>
      <c r="G6" s="428"/>
      <c r="H6" s="428"/>
      <c r="I6" s="428"/>
      <c r="J6" s="428"/>
      <c r="K6" s="428"/>
      <c r="L6" s="428"/>
      <c r="M6" s="428"/>
      <c r="N6" s="428"/>
      <c r="O6" s="428"/>
      <c r="P6" s="428"/>
      <c r="Q6" s="428"/>
      <c r="R6" s="428"/>
      <c r="S6" s="428"/>
      <c r="T6" s="13"/>
      <c r="U6" s="13"/>
      <c r="V6" s="13"/>
      <c r="W6" s="13"/>
      <c r="X6" s="13"/>
      <c r="Y6" s="13"/>
      <c r="Z6" s="13"/>
      <c r="AA6" s="13"/>
      <c r="AB6" s="13"/>
    </row>
    <row r="7" spans="1:28" s="12" customFormat="1" ht="18.75" x14ac:dyDescent="0.2">
      <c r="A7" s="428"/>
      <c r="B7" s="428"/>
      <c r="C7" s="428"/>
      <c r="D7" s="428"/>
      <c r="E7" s="428"/>
      <c r="F7" s="428"/>
      <c r="G7" s="428"/>
      <c r="H7" s="428"/>
      <c r="I7" s="428"/>
      <c r="J7" s="428"/>
      <c r="K7" s="428"/>
      <c r="L7" s="428"/>
      <c r="M7" s="428"/>
      <c r="N7" s="428"/>
      <c r="O7" s="428"/>
      <c r="P7" s="428"/>
      <c r="Q7" s="428"/>
      <c r="R7" s="428"/>
      <c r="S7" s="428"/>
      <c r="T7" s="13"/>
      <c r="U7" s="13"/>
      <c r="V7" s="13"/>
      <c r="W7" s="13"/>
      <c r="X7" s="13"/>
      <c r="Y7" s="13"/>
      <c r="Z7" s="13"/>
      <c r="AA7" s="13"/>
      <c r="AB7" s="13"/>
    </row>
    <row r="8" spans="1:28" s="12" customFormat="1" ht="18.75" x14ac:dyDescent="0.2">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24" t="s">
        <v>6</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28"/>
      <c r="B10" s="428"/>
      <c r="C10" s="428"/>
      <c r="D10" s="428"/>
      <c r="E10" s="428"/>
      <c r="F10" s="428"/>
      <c r="G10" s="428"/>
      <c r="H10" s="428"/>
      <c r="I10" s="428"/>
      <c r="J10" s="428"/>
      <c r="K10" s="428"/>
      <c r="L10" s="428"/>
      <c r="M10" s="428"/>
      <c r="N10" s="428"/>
      <c r="O10" s="428"/>
      <c r="P10" s="428"/>
      <c r="Q10" s="428"/>
      <c r="R10" s="428"/>
      <c r="S10" s="428"/>
      <c r="T10" s="13"/>
      <c r="U10" s="13"/>
      <c r="V10" s="13"/>
      <c r="W10" s="13"/>
      <c r="X10" s="13"/>
      <c r="Y10" s="13"/>
      <c r="Z10" s="13"/>
      <c r="AA10" s="13"/>
      <c r="AB10" s="13"/>
    </row>
    <row r="11" spans="1:28" s="12" customFormat="1" ht="18.75" x14ac:dyDescent="0.2">
      <c r="A11" s="422" t="str">
        <f>'1. паспорт местоположение'!A12:C12</f>
        <v>M_21-1789</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0"/>
      <c r="U13" s="10"/>
      <c r="V13" s="10"/>
      <c r="W13" s="10"/>
      <c r="X13" s="10"/>
      <c r="Y13" s="10"/>
      <c r="Z13" s="10"/>
      <c r="AA13" s="10"/>
      <c r="AB13" s="10"/>
    </row>
    <row r="14" spans="1:28" s="3" customFormat="1" ht="12" x14ac:dyDescent="0.2">
      <c r="A14" s="422" t="str">
        <f>'1. паспорт местоположение'!A9:C9</f>
        <v>Акционерное общество "Россети Янтарь"</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3" t="str">
        <f>'1. паспорт местоположение'!A15:C15</f>
        <v>Переустройство ВЛ 15-180 (инв.511543602), ВЛ 0,4 кВ от ТП 180-01 (инв.511539903, 511539905) в п. Шоссейное, ул. Лесная Гурьевский ГО</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485</v>
      </c>
      <c r="B17" s="426"/>
      <c r="C17" s="426"/>
      <c r="D17" s="426"/>
      <c r="E17" s="426"/>
      <c r="F17" s="426"/>
      <c r="G17" s="426"/>
      <c r="H17" s="426"/>
      <c r="I17" s="426"/>
      <c r="J17" s="426"/>
      <c r="K17" s="426"/>
      <c r="L17" s="426"/>
      <c r="M17" s="426"/>
      <c r="N17" s="426"/>
      <c r="O17" s="426"/>
      <c r="P17" s="426"/>
      <c r="Q17" s="426"/>
      <c r="R17" s="426"/>
      <c r="S17" s="426"/>
      <c r="T17" s="7"/>
      <c r="U17" s="7"/>
      <c r="V17" s="7"/>
      <c r="W17" s="7"/>
      <c r="X17" s="7"/>
      <c r="Y17" s="7"/>
      <c r="Z17" s="7"/>
      <c r="AA17" s="7"/>
      <c r="AB17" s="7"/>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30" t="s">
        <v>3</v>
      </c>
      <c r="B19" s="430" t="s">
        <v>94</v>
      </c>
      <c r="C19" s="431"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3" t="s">
        <v>479</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41" t="s">
        <v>375</v>
      </c>
      <c r="R20" s="42" t="s">
        <v>376</v>
      </c>
      <c r="S20" s="433"/>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60" customFormat="1" ht="15.75" x14ac:dyDescent="0.25">
      <c r="A22" s="280"/>
      <c r="B22" s="265"/>
      <c r="C22" s="265"/>
      <c r="D22" s="265"/>
      <c r="E22" s="265"/>
      <c r="F22" s="265"/>
      <c r="G22" s="265"/>
      <c r="H22" s="312"/>
      <c r="I22" s="265"/>
      <c r="J22" s="312"/>
      <c r="K22" s="265"/>
      <c r="L22" s="313"/>
      <c r="M22" s="265"/>
      <c r="N22" s="265"/>
      <c r="O22" s="265"/>
      <c r="P22" s="265"/>
      <c r="Q22" s="331"/>
      <c r="R22" s="280"/>
      <c r="S22" s="314"/>
      <c r="T22" s="263"/>
      <c r="U22" s="263"/>
      <c r="V22" s="263"/>
      <c r="W22" s="263"/>
      <c r="X22" s="263"/>
      <c r="Y22" s="263"/>
      <c r="Z22" s="263"/>
      <c r="AA22" s="263"/>
      <c r="AB22" s="263"/>
    </row>
    <row r="23" spans="1:28" s="330" customFormat="1" ht="15.75" x14ac:dyDescent="0.25">
      <c r="A23" s="280"/>
      <c r="B23" s="265"/>
      <c r="C23" s="265"/>
      <c r="D23" s="265"/>
      <c r="E23" s="265"/>
      <c r="F23" s="265"/>
      <c r="G23" s="265"/>
      <c r="H23" s="312"/>
      <c r="I23" s="265"/>
      <c r="J23" s="312"/>
      <c r="K23" s="265"/>
      <c r="L23" s="313"/>
      <c r="M23" s="265"/>
      <c r="N23" s="265"/>
      <c r="O23" s="265"/>
      <c r="P23" s="265"/>
      <c r="Q23" s="331"/>
      <c r="R23" s="280"/>
      <c r="S23" s="314"/>
      <c r="T23" s="263"/>
      <c r="U23" s="263"/>
      <c r="V23" s="263"/>
      <c r="W23" s="263"/>
      <c r="X23" s="263"/>
      <c r="Y23" s="263"/>
      <c r="Z23" s="263"/>
      <c r="AA23" s="263"/>
      <c r="AB23" s="263"/>
    </row>
    <row r="24" spans="1:28" ht="20.25" customHeight="1" x14ac:dyDescent="0.25">
      <c r="A24" s="119"/>
      <c r="B24" s="46" t="s">
        <v>372</v>
      </c>
      <c r="C24" s="46"/>
      <c r="D24" s="46"/>
      <c r="E24" s="119" t="s">
        <v>373</v>
      </c>
      <c r="F24" s="119" t="s">
        <v>373</v>
      </c>
      <c r="G24" s="119" t="s">
        <v>373</v>
      </c>
      <c r="H24" s="264">
        <f>SUM(H22:H23)</f>
        <v>0</v>
      </c>
      <c r="I24" s="264">
        <f t="shared" ref="I24:J24" si="0">SUM(I22:I23)</f>
        <v>0</v>
      </c>
      <c r="J24" s="264">
        <f t="shared" si="0"/>
        <v>0</v>
      </c>
      <c r="K24" s="119"/>
      <c r="L24" s="119"/>
      <c r="M24" s="119"/>
      <c r="N24" s="119"/>
      <c r="O24" s="119"/>
      <c r="P24" s="119"/>
      <c r="Q24" s="120"/>
      <c r="R24" s="2"/>
      <c r="S24" s="26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2023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2"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2" customFormat="1" ht="18.75" customHeight="1" x14ac:dyDescent="0.2">
      <c r="A10" s="422" t="str">
        <f>'1. паспорт местоположение'!A9:C9</f>
        <v>Акционерное общество "Россети Янтарь"</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2" customFormat="1" ht="18.75" customHeight="1" x14ac:dyDescent="0.2">
      <c r="A13" s="422" t="str">
        <f>'1. паспорт местоположение'!A12:C12</f>
        <v>M_21-1789</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2" t="str">
        <f>'1. паспорт местоположение'!A15</f>
        <v>Переустройство ВЛ 15-180 (инв.511543602), ВЛ 0,4 кВ от ТП 180-01 (инв.511539903, 511539905) в п. Шоссейное, ул. Лесная Гурьевский ГО</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3" customFormat="1" ht="15" customHeight="1" x14ac:dyDescent="0.2">
      <c r="A19" s="437" t="s">
        <v>490</v>
      </c>
      <c r="B19" s="437"/>
      <c r="C19" s="437"/>
      <c r="D19" s="437"/>
      <c r="E19" s="437"/>
      <c r="F19" s="437"/>
      <c r="G19" s="437"/>
      <c r="H19" s="437"/>
      <c r="I19" s="437"/>
      <c r="J19" s="437"/>
      <c r="K19" s="437"/>
      <c r="L19" s="437"/>
      <c r="M19" s="437"/>
      <c r="N19" s="437"/>
      <c r="O19" s="437"/>
      <c r="P19" s="437"/>
      <c r="Q19" s="437"/>
      <c r="R19" s="437"/>
      <c r="S19" s="437"/>
      <c r="T19" s="437"/>
    </row>
    <row r="20" spans="1:113" s="57"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34" t="s">
        <v>111</v>
      </c>
      <c r="R21" s="435"/>
      <c r="S21" s="434" t="s">
        <v>110</v>
      </c>
      <c r="T21" s="436"/>
    </row>
    <row r="22" spans="1:113" ht="204.75" customHeight="1" x14ac:dyDescent="0.25">
      <c r="A22" s="440"/>
      <c r="B22" s="444"/>
      <c r="C22" s="445"/>
      <c r="D22" s="449"/>
      <c r="E22" s="444"/>
      <c r="F22" s="445"/>
      <c r="G22" s="444"/>
      <c r="H22" s="445"/>
      <c r="I22" s="444"/>
      <c r="J22" s="445"/>
      <c r="K22" s="447"/>
      <c r="L22" s="444"/>
      <c r="M22" s="445"/>
      <c r="N22" s="444"/>
      <c r="O22" s="445"/>
      <c r="P22" s="447"/>
      <c r="Q22" s="110" t="s">
        <v>109</v>
      </c>
      <c r="R22" s="110" t="s">
        <v>489</v>
      </c>
      <c r="S22" s="110" t="s">
        <v>108</v>
      </c>
      <c r="T22" s="110" t="s">
        <v>107</v>
      </c>
    </row>
    <row r="23" spans="1:113" ht="51.75" customHeight="1" x14ac:dyDescent="0.25">
      <c r="A23" s="441"/>
      <c r="B23" s="159" t="s">
        <v>105</v>
      </c>
      <c r="C23" s="159" t="s">
        <v>106</v>
      </c>
      <c r="D23" s="447"/>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7" customFormat="1" x14ac:dyDescent="0.25">
      <c r="A25" s="335" t="s">
        <v>373</v>
      </c>
      <c r="B25" s="335" t="s">
        <v>373</v>
      </c>
      <c r="C25" s="335" t="s">
        <v>373</v>
      </c>
      <c r="D25" s="335" t="s">
        <v>373</v>
      </c>
      <c r="E25" s="335" t="s">
        <v>373</v>
      </c>
      <c r="F25" s="335" t="s">
        <v>373</v>
      </c>
      <c r="G25" s="335" t="s">
        <v>373</v>
      </c>
      <c r="H25" s="335" t="s">
        <v>373</v>
      </c>
      <c r="I25" s="335" t="s">
        <v>373</v>
      </c>
      <c r="J25" s="335" t="s">
        <v>373</v>
      </c>
      <c r="K25" s="335" t="s">
        <v>373</v>
      </c>
      <c r="L25" s="335" t="s">
        <v>373</v>
      </c>
      <c r="M25" s="335" t="s">
        <v>373</v>
      </c>
      <c r="N25" s="335" t="s">
        <v>373</v>
      </c>
      <c r="O25" s="335" t="s">
        <v>373</v>
      </c>
      <c r="P25" s="58" t="s">
        <v>373</v>
      </c>
      <c r="Q25" s="336" t="s">
        <v>373</v>
      </c>
      <c r="R25" s="335" t="s">
        <v>373</v>
      </c>
      <c r="S25" s="336" t="s">
        <v>373</v>
      </c>
      <c r="T25" s="335"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8" t="s">
        <v>525</v>
      </c>
      <c r="C29" s="448"/>
      <c r="D29" s="448"/>
      <c r="E29" s="448"/>
      <c r="F29" s="448"/>
      <c r="G29" s="448"/>
      <c r="H29" s="448"/>
      <c r="I29" s="448"/>
      <c r="J29" s="448"/>
      <c r="K29" s="448"/>
      <c r="L29" s="448"/>
      <c r="M29" s="448"/>
      <c r="N29" s="448"/>
      <c r="O29" s="448"/>
      <c r="P29" s="448"/>
      <c r="Q29" s="448"/>
      <c r="R29" s="44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2" zoomScale="80" zoomScaleSheetLayoutView="80" workbookViewId="0">
      <selection activeCell="C25" sqref="C25"/>
    </sheetView>
  </sheetViews>
  <sheetFormatPr defaultColWidth="10.7109375" defaultRowHeight="15.75" x14ac:dyDescent="0.25"/>
  <cols>
    <col min="1" max="1" width="10.7109375" style="49"/>
    <col min="2" max="2" width="24.140625" style="49" customWidth="1"/>
    <col min="3" max="3" width="36.28515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2" t="str">
        <f>'1. паспорт местоположение'!A9</f>
        <v>Акционерное общество "Россети Янтарь"</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M_21-1789</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2" t="str">
        <f>'1. паспорт местоположение'!A15</f>
        <v>Переустройство ВЛ 15-180 (инв.511543602), ВЛ 0,4 кВ от ТП 180-01 (инв.511539903, 511539905) в п. Шоссейное, ул. Лесная Гурьевский ГО</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492</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7" customFormat="1" ht="21" customHeight="1" x14ac:dyDescent="0.25"/>
    <row r="21" spans="1:27" ht="15.75" customHeight="1" x14ac:dyDescent="0.25">
      <c r="A21" s="450" t="s">
        <v>3</v>
      </c>
      <c r="B21" s="452" t="s">
        <v>499</v>
      </c>
      <c r="C21" s="453"/>
      <c r="D21" s="452" t="s">
        <v>501</v>
      </c>
      <c r="E21" s="453"/>
      <c r="F21" s="434" t="s">
        <v>88</v>
      </c>
      <c r="G21" s="436"/>
      <c r="H21" s="436"/>
      <c r="I21" s="435"/>
      <c r="J21" s="450" t="s">
        <v>502</v>
      </c>
      <c r="K21" s="452" t="s">
        <v>503</v>
      </c>
      <c r="L21" s="453"/>
      <c r="M21" s="452" t="s">
        <v>504</v>
      </c>
      <c r="N21" s="453"/>
      <c r="O21" s="452" t="s">
        <v>491</v>
      </c>
      <c r="P21" s="453"/>
      <c r="Q21" s="452" t="s">
        <v>121</v>
      </c>
      <c r="R21" s="453"/>
      <c r="S21" s="450" t="s">
        <v>120</v>
      </c>
      <c r="T21" s="450" t="s">
        <v>505</v>
      </c>
      <c r="U21" s="450" t="s">
        <v>500</v>
      </c>
      <c r="V21" s="452" t="s">
        <v>119</v>
      </c>
      <c r="W21" s="453"/>
      <c r="X21" s="434" t="s">
        <v>111</v>
      </c>
      <c r="Y21" s="436"/>
      <c r="Z21" s="434" t="s">
        <v>110</v>
      </c>
      <c r="AA21" s="436"/>
    </row>
    <row r="22" spans="1:27" ht="216" customHeight="1" x14ac:dyDescent="0.25">
      <c r="A22" s="458"/>
      <c r="B22" s="454"/>
      <c r="C22" s="455"/>
      <c r="D22" s="454"/>
      <c r="E22" s="455"/>
      <c r="F22" s="434" t="s">
        <v>118</v>
      </c>
      <c r="G22" s="435"/>
      <c r="H22" s="434" t="s">
        <v>117</v>
      </c>
      <c r="I22" s="435"/>
      <c r="J22" s="451"/>
      <c r="K22" s="454"/>
      <c r="L22" s="455"/>
      <c r="M22" s="454"/>
      <c r="N22" s="455"/>
      <c r="O22" s="454"/>
      <c r="P22" s="455"/>
      <c r="Q22" s="454"/>
      <c r="R22" s="455"/>
      <c r="S22" s="451"/>
      <c r="T22" s="451"/>
      <c r="U22" s="451"/>
      <c r="V22" s="454"/>
      <c r="W22" s="455"/>
      <c r="X22" s="110" t="s">
        <v>109</v>
      </c>
      <c r="Y22" s="110" t="s">
        <v>489</v>
      </c>
      <c r="Z22" s="110" t="s">
        <v>108</v>
      </c>
      <c r="AA22" s="110" t="s">
        <v>107</v>
      </c>
    </row>
    <row r="23" spans="1:27" ht="60" customHeight="1" x14ac:dyDescent="0.25">
      <c r="A23" s="451"/>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7" customFormat="1" ht="31.5" x14ac:dyDescent="0.25">
      <c r="A25" s="456">
        <v>1</v>
      </c>
      <c r="B25" s="456" t="s">
        <v>685</v>
      </c>
      <c r="C25" s="411" t="s">
        <v>690</v>
      </c>
      <c r="D25" s="385" t="s">
        <v>687</v>
      </c>
      <c r="E25" s="385" t="str">
        <f>D25</f>
        <v>ТП - оп.5</v>
      </c>
      <c r="F25" s="456">
        <v>15</v>
      </c>
      <c r="G25" s="456" t="s">
        <v>689</v>
      </c>
      <c r="H25" s="456">
        <v>15</v>
      </c>
      <c r="I25" s="456" t="s">
        <v>689</v>
      </c>
      <c r="J25" s="456" t="s">
        <v>373</v>
      </c>
      <c r="K25" s="456">
        <v>1</v>
      </c>
      <c r="L25" s="343">
        <v>3</v>
      </c>
      <c r="M25" s="459">
        <v>50</v>
      </c>
      <c r="N25" s="343">
        <v>70</v>
      </c>
      <c r="O25" s="459" t="s">
        <v>641</v>
      </c>
      <c r="P25" s="459" t="s">
        <v>641</v>
      </c>
      <c r="Q25" s="459">
        <v>0.16600000000000001</v>
      </c>
      <c r="R25" s="343">
        <v>0.105</v>
      </c>
      <c r="S25" s="343" t="s">
        <v>373</v>
      </c>
      <c r="T25" s="343" t="s">
        <v>373</v>
      </c>
      <c r="U25" s="343" t="s">
        <v>373</v>
      </c>
      <c r="V25" s="343" t="s">
        <v>666</v>
      </c>
      <c r="W25" s="343" t="s">
        <v>666</v>
      </c>
      <c r="X25" s="343" t="s">
        <v>373</v>
      </c>
      <c r="Y25" s="343" t="s">
        <v>373</v>
      </c>
      <c r="Z25" s="343" t="s">
        <v>373</v>
      </c>
      <c r="AA25" s="343" t="s">
        <v>373</v>
      </c>
    </row>
    <row r="26" spans="1:27" s="337" customFormat="1" ht="31.5" x14ac:dyDescent="0.25">
      <c r="A26" s="457"/>
      <c r="B26" s="457"/>
      <c r="C26" s="411" t="s">
        <v>691</v>
      </c>
      <c r="D26" s="385" t="s">
        <v>688</v>
      </c>
      <c r="E26" s="385" t="str">
        <f>D26</f>
        <v>оп.5 - оп.7</v>
      </c>
      <c r="F26" s="457"/>
      <c r="G26" s="457"/>
      <c r="H26" s="457"/>
      <c r="I26" s="457"/>
      <c r="J26" s="457"/>
      <c r="K26" s="457"/>
      <c r="L26" s="343">
        <v>2</v>
      </c>
      <c r="M26" s="460"/>
      <c r="N26" s="343">
        <v>70</v>
      </c>
      <c r="O26" s="460" t="s">
        <v>641</v>
      </c>
      <c r="P26" s="460" t="s">
        <v>641</v>
      </c>
      <c r="Q26" s="460"/>
      <c r="R26" s="343">
        <v>7.8E-2</v>
      </c>
      <c r="S26" s="343" t="s">
        <v>373</v>
      </c>
      <c r="T26" s="343" t="s">
        <v>373</v>
      </c>
      <c r="U26" s="343" t="s">
        <v>373</v>
      </c>
      <c r="V26" s="343" t="s">
        <v>666</v>
      </c>
      <c r="W26" s="343" t="s">
        <v>666</v>
      </c>
      <c r="X26" s="343" t="s">
        <v>373</v>
      </c>
      <c r="Y26" s="343" t="s">
        <v>373</v>
      </c>
      <c r="Z26" s="343" t="s">
        <v>373</v>
      </c>
      <c r="AA26" s="343" t="s">
        <v>373</v>
      </c>
    </row>
    <row r="27" spans="1:27" s="337" customFormat="1" x14ac:dyDescent="0.25">
      <c r="A27" s="343">
        <v>2</v>
      </c>
      <c r="B27" s="385" t="s">
        <v>686</v>
      </c>
      <c r="C27" s="385" t="s">
        <v>686</v>
      </c>
      <c r="D27" s="385" t="s">
        <v>692</v>
      </c>
      <c r="E27" s="385" t="str">
        <f>D27</f>
        <v>оп.5 - оп.7сущ.</v>
      </c>
      <c r="F27" s="385">
        <v>15</v>
      </c>
      <c r="G27" s="385">
        <v>15</v>
      </c>
      <c r="H27" s="385">
        <v>15</v>
      </c>
      <c r="I27" s="385">
        <v>15</v>
      </c>
      <c r="J27" s="343" t="s">
        <v>373</v>
      </c>
      <c r="K27" s="343">
        <v>1</v>
      </c>
      <c r="L27" s="343">
        <v>1</v>
      </c>
      <c r="M27" s="343">
        <v>50</v>
      </c>
      <c r="N27" s="343">
        <v>70</v>
      </c>
      <c r="O27" s="343" t="s">
        <v>641</v>
      </c>
      <c r="P27" s="343" t="s">
        <v>641</v>
      </c>
      <c r="Q27" s="343">
        <f>0.098+0.083</f>
        <v>0.18099999999999999</v>
      </c>
      <c r="R27" s="343">
        <v>0.27900000000000003</v>
      </c>
      <c r="S27" s="343" t="s">
        <v>373</v>
      </c>
      <c r="T27" s="343" t="s">
        <v>373</v>
      </c>
      <c r="U27" s="343" t="s">
        <v>373</v>
      </c>
      <c r="V27" s="343" t="s">
        <v>666</v>
      </c>
      <c r="W27" s="343" t="s">
        <v>666</v>
      </c>
      <c r="X27" s="343" t="s">
        <v>373</v>
      </c>
      <c r="Y27" s="343" t="s">
        <v>373</v>
      </c>
      <c r="Z27" s="343" t="s">
        <v>373</v>
      </c>
      <c r="AA27" s="343" t="s">
        <v>373</v>
      </c>
    </row>
    <row r="28" spans="1:27" x14ac:dyDescent="0.25">
      <c r="Q28" s="49">
        <f>SUM(Q25:Q27)</f>
        <v>0.34699999999999998</v>
      </c>
      <c r="R28" s="49">
        <f>SUM(R25:R27)</f>
        <v>0.46200000000000002</v>
      </c>
      <c r="S28" s="49">
        <f>R28-Q28</f>
        <v>0.11500000000000005</v>
      </c>
    </row>
    <row r="29" spans="1:27" x14ac:dyDescent="0.25">
      <c r="S29" s="49">
        <f>(R25+R26)-Q25</f>
        <v>1.6999999999999987E-2</v>
      </c>
    </row>
    <row r="30" spans="1:27" x14ac:dyDescent="0.25">
      <c r="S30" s="49">
        <f>R27-Q27</f>
        <v>9.8000000000000032E-2</v>
      </c>
    </row>
  </sheetData>
  <mergeCells count="39">
    <mergeCell ref="O25:O26"/>
    <mergeCell ref="P25:P26"/>
    <mergeCell ref="Q25:Q26"/>
    <mergeCell ref="H25:H26"/>
    <mergeCell ref="I25:I26"/>
    <mergeCell ref="J25:J26"/>
    <mergeCell ref="K25:K26"/>
    <mergeCell ref="M25:M26"/>
    <mergeCell ref="B25:B26"/>
    <mergeCell ref="A25:A26"/>
    <mergeCell ref="F25:F26"/>
    <mergeCell ref="G25:G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2023 год</v>
      </c>
      <c r="B5" s="415"/>
      <c r="C5" s="41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8" t="s">
        <v>7</v>
      </c>
      <c r="B7" s="428"/>
      <c r="C7" s="428"/>
      <c r="D7" s="13"/>
      <c r="E7" s="13"/>
      <c r="F7" s="13"/>
      <c r="G7" s="13"/>
      <c r="H7" s="13"/>
      <c r="I7" s="13"/>
      <c r="J7" s="13"/>
      <c r="K7" s="13"/>
      <c r="L7" s="13"/>
      <c r="M7" s="13"/>
      <c r="N7" s="13"/>
      <c r="O7" s="13"/>
      <c r="P7" s="13"/>
      <c r="Q7" s="13"/>
      <c r="R7" s="13"/>
      <c r="S7" s="13"/>
      <c r="T7" s="13"/>
      <c r="U7" s="13"/>
    </row>
    <row r="8" spans="1:29" s="12" customFormat="1" ht="18.75" x14ac:dyDescent="0.2">
      <c r="A8" s="428"/>
      <c r="B8" s="428"/>
      <c r="C8" s="428"/>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"Россети Янтарь"</v>
      </c>
      <c r="B9" s="422"/>
      <c r="C9" s="422"/>
      <c r="D9" s="8"/>
      <c r="E9" s="8"/>
      <c r="F9" s="8"/>
      <c r="G9" s="8"/>
      <c r="H9" s="13"/>
      <c r="I9" s="13"/>
      <c r="J9" s="13"/>
      <c r="K9" s="13"/>
      <c r="L9" s="13"/>
      <c r="M9" s="13"/>
      <c r="N9" s="13"/>
      <c r="O9" s="13"/>
      <c r="P9" s="13"/>
      <c r="Q9" s="13"/>
      <c r="R9" s="13"/>
      <c r="S9" s="13"/>
      <c r="T9" s="13"/>
      <c r="U9" s="13"/>
    </row>
    <row r="10" spans="1:29" s="12" customFormat="1" ht="18.75" x14ac:dyDescent="0.2">
      <c r="A10" s="424" t="s">
        <v>6</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28"/>
      <c r="B11" s="428"/>
      <c r="C11" s="428"/>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M_21-1789</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24" t="s">
        <v>5</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9"/>
      <c r="B14" s="429"/>
      <c r="C14" s="429"/>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61" t="str">
        <f>'1. паспорт местоположение'!A15</f>
        <v>Переустройство ВЛ 15-180 (инв.511543602), ВЛ 0,4 кВ от ТП 180-01 (инв.511539903, 511539905) в п. Шоссейное, ул. Лесная Гурьевский ГО</v>
      </c>
      <c r="B15" s="461"/>
      <c r="C15" s="461"/>
      <c r="D15" s="8"/>
      <c r="E15" s="8"/>
      <c r="F15" s="8"/>
      <c r="G15" s="8"/>
      <c r="H15" s="8"/>
      <c r="I15" s="8"/>
      <c r="J15" s="8"/>
      <c r="K15" s="8"/>
      <c r="L15" s="8"/>
      <c r="M15" s="8"/>
      <c r="N15" s="8"/>
      <c r="O15" s="8"/>
      <c r="P15" s="8"/>
      <c r="Q15" s="8"/>
      <c r="R15" s="8"/>
      <c r="S15" s="8"/>
      <c r="T15" s="8"/>
      <c r="U15" s="8"/>
    </row>
    <row r="16" spans="1:29" s="3" customFormat="1" ht="15" customHeight="1" x14ac:dyDescent="0.2">
      <c r="A16" s="424" t="s">
        <v>4</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484</v>
      </c>
      <c r="B18" s="426"/>
      <c r="C18" s="4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9"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C22</f>
        <v>Вынос (переустройство) участков ВЛ 15 кВ,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693</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694</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3" t="s">
        <v>684</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54"/>
      <c r="AB6" s="154"/>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54"/>
      <c r="AB7" s="154"/>
    </row>
    <row r="8" spans="1:28" x14ac:dyDescent="0.25">
      <c r="A8" s="422" t="str">
        <f>'1. паспорт местоположение'!A9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5"/>
      <c r="AB8" s="155"/>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6"/>
      <c r="AB9" s="156"/>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54"/>
      <c r="AB10" s="154"/>
    </row>
    <row r="11" spans="1:28" x14ac:dyDescent="0.25">
      <c r="A11" s="422" t="str">
        <f>'1. паспорт местоположение'!A12:C12</f>
        <v>M_21-1789</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5"/>
      <c r="AB11" s="155"/>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6"/>
      <c r="AB12" s="156"/>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1"/>
      <c r="AB13" s="11"/>
    </row>
    <row r="14" spans="1:28" x14ac:dyDescent="0.25">
      <c r="A14" s="422" t="str">
        <f>'1. паспорт местоположение'!A15</f>
        <v>Переустройство ВЛ 15-180 (инв.511543602), ВЛ 0,4 кВ от ТП 180-01 (инв.511539903, 511539905) в п. Шоссейное, ул. Лесная Гурьевский ГО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5"/>
      <c r="AB14" s="155"/>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6"/>
      <c r="AB15" s="156"/>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64"/>
      <c r="AB16" s="164"/>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64"/>
      <c r="AB17" s="164"/>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64"/>
      <c r="AB18" s="164"/>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64"/>
      <c r="AB19" s="164"/>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65"/>
      <c r="AB20" s="165"/>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65"/>
      <c r="AB21" s="165"/>
    </row>
    <row r="22" spans="1:28" x14ac:dyDescent="0.25">
      <c r="A22" s="464" t="s">
        <v>516</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66"/>
      <c r="AB22" s="166"/>
    </row>
    <row r="23" spans="1:28" ht="32.25" customHeight="1" x14ac:dyDescent="0.25">
      <c r="A23" s="466" t="s">
        <v>370</v>
      </c>
      <c r="B23" s="467"/>
      <c r="C23" s="467"/>
      <c r="D23" s="467"/>
      <c r="E23" s="467"/>
      <c r="F23" s="467"/>
      <c r="G23" s="467"/>
      <c r="H23" s="467"/>
      <c r="I23" s="467"/>
      <c r="J23" s="467"/>
      <c r="K23" s="467"/>
      <c r="L23" s="468"/>
      <c r="M23" s="465" t="s">
        <v>371</v>
      </c>
      <c r="N23" s="465"/>
      <c r="O23" s="465"/>
      <c r="P23" s="465"/>
      <c r="Q23" s="465"/>
      <c r="R23" s="465"/>
      <c r="S23" s="465"/>
      <c r="T23" s="465"/>
      <c r="U23" s="465"/>
      <c r="V23" s="465"/>
      <c r="W23" s="465"/>
      <c r="X23" s="465"/>
      <c r="Y23" s="465"/>
      <c r="Z23" s="465"/>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8" t="s">
        <v>7</v>
      </c>
      <c r="B7" s="428"/>
      <c r="C7" s="428"/>
      <c r="D7" s="428"/>
      <c r="E7" s="428"/>
      <c r="F7" s="428"/>
      <c r="G7" s="428"/>
      <c r="H7" s="428"/>
      <c r="I7" s="428"/>
      <c r="J7" s="428"/>
      <c r="K7" s="428"/>
      <c r="L7" s="428"/>
      <c r="M7" s="428"/>
      <c r="N7" s="428"/>
      <c r="O7" s="428"/>
      <c r="P7" s="13"/>
      <c r="Q7" s="13"/>
      <c r="R7" s="13"/>
      <c r="S7" s="13"/>
      <c r="T7" s="13"/>
      <c r="U7" s="13"/>
      <c r="V7" s="13"/>
      <c r="W7" s="13"/>
      <c r="X7" s="13"/>
      <c r="Y7" s="13"/>
    </row>
    <row r="8" spans="1:27" s="12" customFormat="1" ht="18.75" x14ac:dyDescent="0.2">
      <c r="A8" s="428"/>
      <c r="B8" s="428"/>
      <c r="C8" s="428"/>
      <c r="D8" s="428"/>
      <c r="E8" s="428"/>
      <c r="F8" s="428"/>
      <c r="G8" s="428"/>
      <c r="H8" s="428"/>
      <c r="I8" s="428"/>
      <c r="J8" s="428"/>
      <c r="K8" s="428"/>
      <c r="L8" s="428"/>
      <c r="M8" s="428"/>
      <c r="N8" s="428"/>
      <c r="O8" s="428"/>
      <c r="P8" s="13"/>
      <c r="Q8" s="13"/>
      <c r="R8" s="13"/>
      <c r="S8" s="13"/>
      <c r="T8" s="13"/>
      <c r="U8" s="13"/>
      <c r="V8" s="13"/>
      <c r="W8" s="13"/>
      <c r="X8" s="13"/>
      <c r="Y8" s="13"/>
    </row>
    <row r="9" spans="1:27" s="12" customFormat="1" ht="18.75" x14ac:dyDescent="0.2">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13"/>
      <c r="Q9" s="13"/>
      <c r="R9" s="13"/>
      <c r="S9" s="13"/>
      <c r="T9" s="13"/>
      <c r="U9" s="13"/>
      <c r="V9" s="13"/>
      <c r="W9" s="13"/>
      <c r="X9" s="13"/>
      <c r="Y9" s="13"/>
    </row>
    <row r="10" spans="1:27" s="12" customFormat="1" ht="18.75" x14ac:dyDescent="0.2">
      <c r="A10" s="424" t="s">
        <v>6</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row>
    <row r="11" spans="1:27" s="12" customFormat="1" ht="18.75" x14ac:dyDescent="0.2">
      <c r="A11" s="428"/>
      <c r="B11" s="428"/>
      <c r="C11" s="428"/>
      <c r="D11" s="428"/>
      <c r="E11" s="428"/>
      <c r="F11" s="428"/>
      <c r="G11" s="428"/>
      <c r="H11" s="428"/>
      <c r="I11" s="428"/>
      <c r="J11" s="428"/>
      <c r="K11" s="428"/>
      <c r="L11" s="428"/>
      <c r="M11" s="428"/>
      <c r="N11" s="428"/>
      <c r="O11" s="428"/>
      <c r="P11" s="13"/>
      <c r="Q11" s="13"/>
      <c r="R11" s="13"/>
      <c r="S11" s="13"/>
      <c r="T11" s="13"/>
      <c r="U11" s="13"/>
      <c r="V11" s="13"/>
      <c r="W11" s="13"/>
      <c r="X11" s="13"/>
      <c r="Y11" s="13"/>
    </row>
    <row r="12" spans="1:27" s="12" customFormat="1" ht="18.75" x14ac:dyDescent="0.2">
      <c r="A12" s="422" t="str">
        <f>'1. паспорт местоположение'!A12:C12</f>
        <v>M_21-1789</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row>
    <row r="13" spans="1:27" s="12" customFormat="1" ht="18.75" x14ac:dyDescent="0.2">
      <c r="A13" s="424" t="s">
        <v>5</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row>
    <row r="14" spans="1:27" s="9" customFormat="1" ht="15.75" customHeight="1" x14ac:dyDescent="0.2">
      <c r="A14" s="429"/>
      <c r="B14" s="429"/>
      <c r="C14" s="429"/>
      <c r="D14" s="429"/>
      <c r="E14" s="429"/>
      <c r="F14" s="429"/>
      <c r="G14" s="429"/>
      <c r="H14" s="429"/>
      <c r="I14" s="429"/>
      <c r="J14" s="429"/>
      <c r="K14" s="429"/>
      <c r="L14" s="429"/>
      <c r="M14" s="429"/>
      <c r="N14" s="429"/>
      <c r="O14" s="429"/>
      <c r="P14" s="10"/>
      <c r="Q14" s="10"/>
      <c r="R14" s="10"/>
      <c r="S14" s="10"/>
      <c r="T14" s="10"/>
      <c r="U14" s="10"/>
      <c r="V14" s="10"/>
      <c r="W14" s="10"/>
      <c r="X14" s="10"/>
      <c r="Y14" s="10"/>
    </row>
    <row r="15" spans="1:27" s="3" customFormat="1" ht="12" x14ac:dyDescent="0.2">
      <c r="A15" s="422" t="str">
        <f>'1. паспорт местоположение'!A15</f>
        <v>Переустройство ВЛ 15-180 (инв.511543602), ВЛ 0,4 кВ от ТП 180-01 (инв.511539903, 511539905) в п. Шоссейное, ул. Лесная Гурьевский ГО</v>
      </c>
      <c r="B15" s="422"/>
      <c r="C15" s="422"/>
      <c r="D15" s="422"/>
      <c r="E15" s="422"/>
      <c r="F15" s="422"/>
      <c r="G15" s="422"/>
      <c r="H15" s="422"/>
      <c r="I15" s="422"/>
      <c r="J15" s="422"/>
      <c r="K15" s="422"/>
      <c r="L15" s="422"/>
      <c r="M15" s="422"/>
      <c r="N15" s="422"/>
      <c r="O15" s="422"/>
      <c r="P15" s="8"/>
      <c r="Q15" s="8"/>
      <c r="R15" s="8"/>
      <c r="S15" s="8"/>
      <c r="T15" s="8"/>
      <c r="U15" s="8"/>
      <c r="V15" s="8"/>
      <c r="W15" s="8"/>
      <c r="X15" s="8"/>
      <c r="Y15" s="8"/>
    </row>
    <row r="16" spans="1:27" s="3" customFormat="1" ht="15" customHeight="1" x14ac:dyDescent="0.2">
      <c r="A16" s="424" t="s">
        <v>4</v>
      </c>
      <c r="B16" s="424"/>
      <c r="C16" s="424"/>
      <c r="D16" s="424"/>
      <c r="E16" s="424"/>
      <c r="F16" s="424"/>
      <c r="G16" s="424"/>
      <c r="H16" s="424"/>
      <c r="I16" s="424"/>
      <c r="J16" s="424"/>
      <c r="K16" s="424"/>
      <c r="L16" s="424"/>
      <c r="M16" s="424"/>
      <c r="N16" s="424"/>
      <c r="O16" s="424"/>
      <c r="P16" s="6"/>
      <c r="Q16" s="6"/>
      <c r="R16" s="6"/>
      <c r="S16" s="6"/>
      <c r="T16" s="6"/>
      <c r="U16" s="6"/>
      <c r="V16" s="6"/>
      <c r="W16" s="6"/>
      <c r="X16" s="6"/>
      <c r="Y16" s="6"/>
    </row>
    <row r="17" spans="1:25"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row>
    <row r="18" spans="1:25" s="3" customFormat="1" ht="91.5" customHeight="1" x14ac:dyDescent="0.2">
      <c r="A18" s="472" t="s">
        <v>493</v>
      </c>
      <c r="B18" s="472"/>
      <c r="C18" s="472"/>
      <c r="D18" s="472"/>
      <c r="E18" s="472"/>
      <c r="F18" s="472"/>
      <c r="G18" s="472"/>
      <c r="H18" s="472"/>
      <c r="I18" s="472"/>
      <c r="J18" s="472"/>
      <c r="K18" s="472"/>
      <c r="L18" s="472"/>
      <c r="M18" s="472"/>
      <c r="N18" s="472"/>
      <c r="O18" s="472"/>
      <c r="P18" s="7"/>
      <c r="Q18" s="7"/>
      <c r="R18" s="7"/>
      <c r="S18" s="7"/>
      <c r="T18" s="7"/>
      <c r="U18" s="7"/>
      <c r="V18" s="7"/>
      <c r="W18" s="7"/>
      <c r="X18" s="7"/>
      <c r="Y18" s="7"/>
    </row>
    <row r="19" spans="1:25" s="3" customFormat="1" ht="78" customHeight="1" x14ac:dyDescent="0.2">
      <c r="A19" s="430" t="s">
        <v>3</v>
      </c>
      <c r="B19" s="430" t="s">
        <v>82</v>
      </c>
      <c r="C19" s="430" t="s">
        <v>81</v>
      </c>
      <c r="D19" s="430" t="s">
        <v>73</v>
      </c>
      <c r="E19" s="469" t="s">
        <v>80</v>
      </c>
      <c r="F19" s="470"/>
      <c r="G19" s="470"/>
      <c r="H19" s="470"/>
      <c r="I19" s="471"/>
      <c r="J19" s="430" t="s">
        <v>79</v>
      </c>
      <c r="K19" s="430"/>
      <c r="L19" s="430"/>
      <c r="M19" s="430"/>
      <c r="N19" s="430"/>
      <c r="O19" s="430"/>
      <c r="P19" s="4"/>
      <c r="Q19" s="4"/>
      <c r="R19" s="4"/>
      <c r="S19" s="4"/>
      <c r="T19" s="4"/>
      <c r="U19" s="4"/>
      <c r="V19" s="4"/>
    </row>
    <row r="20" spans="1:25" s="3" customFormat="1" ht="51" customHeight="1" x14ac:dyDescent="0.2">
      <c r="A20" s="430"/>
      <c r="B20" s="430"/>
      <c r="C20" s="430"/>
      <c r="D20" s="430"/>
      <c r="E20" s="41" t="s">
        <v>78</v>
      </c>
      <c r="F20" s="41" t="s">
        <v>77</v>
      </c>
      <c r="G20" s="41" t="s">
        <v>76</v>
      </c>
      <c r="H20" s="41" t="s">
        <v>75</v>
      </c>
      <c r="I20" s="41" t="s">
        <v>74</v>
      </c>
      <c r="J20" s="41">
        <v>2020</v>
      </c>
      <c r="K20" s="392">
        <v>2021</v>
      </c>
      <c r="L20" s="392">
        <v>2022</v>
      </c>
      <c r="M20" s="392">
        <v>2023</v>
      </c>
      <c r="N20" s="392">
        <v>2024</v>
      </c>
      <c r="O20" s="392">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695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8" t="str">
        <f>'1. паспорт местоположение'!A5:C5</f>
        <v>Год раскрытия информации: 2023 год</v>
      </c>
      <c r="B5" s="478"/>
      <c r="C5" s="478"/>
      <c r="D5" s="478"/>
      <c r="E5" s="478"/>
      <c r="F5" s="478"/>
      <c r="G5" s="478"/>
      <c r="H5" s="478"/>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8" t="s">
        <v>7</v>
      </c>
      <c r="B7" s="428"/>
      <c r="C7" s="428"/>
      <c r="D7" s="428"/>
      <c r="E7" s="428"/>
      <c r="F7" s="428"/>
      <c r="G7" s="428"/>
      <c r="H7" s="42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0"/>
      <c r="B8" s="390"/>
      <c r="C8" s="390"/>
      <c r="D8" s="390"/>
      <c r="E8" s="390"/>
      <c r="F8" s="390"/>
      <c r="G8" s="390"/>
      <c r="H8" s="390"/>
      <c r="I8" s="390"/>
      <c r="J8" s="390"/>
      <c r="K8" s="39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7" t="str">
        <f>'1. паспорт местоположение'!A9:C9</f>
        <v>Акционерное общество "Россети Янтарь"</v>
      </c>
      <c r="B9" s="437"/>
      <c r="C9" s="437"/>
      <c r="D9" s="437"/>
      <c r="E9" s="437"/>
      <c r="F9" s="437"/>
      <c r="G9" s="437"/>
      <c r="H9" s="437"/>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4" t="s">
        <v>6</v>
      </c>
      <c r="B10" s="424"/>
      <c r="C10" s="424"/>
      <c r="D10" s="424"/>
      <c r="E10" s="424"/>
      <c r="F10" s="424"/>
      <c r="G10" s="424"/>
      <c r="H10" s="424"/>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0"/>
      <c r="B11" s="390"/>
      <c r="C11" s="390"/>
      <c r="D11" s="390"/>
      <c r="E11" s="390"/>
      <c r="F11" s="390"/>
      <c r="G11" s="390"/>
      <c r="H11" s="390"/>
      <c r="I11" s="390"/>
      <c r="J11" s="390"/>
      <c r="K11" s="39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7" t="str">
        <f>'1. паспорт местоположение'!A12:C12</f>
        <v>M_21-1789</v>
      </c>
      <c r="B12" s="437"/>
      <c r="C12" s="437"/>
      <c r="D12" s="437"/>
      <c r="E12" s="437"/>
      <c r="F12" s="437"/>
      <c r="G12" s="437"/>
      <c r="H12" s="437"/>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4" t="s">
        <v>5</v>
      </c>
      <c r="B13" s="424"/>
      <c r="C13" s="424"/>
      <c r="D13" s="424"/>
      <c r="E13" s="424"/>
      <c r="F13" s="424"/>
      <c r="G13" s="424"/>
      <c r="H13" s="424"/>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72" customHeight="1" x14ac:dyDescent="0.2">
      <c r="A15" s="479" t="str">
        <f>'1. паспорт местоположение'!A15:C15</f>
        <v>Переустройство ВЛ 15-180 (инв.511543602), ВЛ 0,4 кВ от ТП 180-01 (инв.511539903, 511539905) в п. Шоссейное, ул. Лесная Гурьевский ГО</v>
      </c>
      <c r="B15" s="479"/>
      <c r="C15" s="479"/>
      <c r="D15" s="479"/>
      <c r="E15" s="479"/>
      <c r="F15" s="479"/>
      <c r="G15" s="479"/>
      <c r="H15" s="479"/>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4" t="s">
        <v>4</v>
      </c>
      <c r="B16" s="424"/>
      <c r="C16" s="424"/>
      <c r="D16" s="424"/>
      <c r="E16" s="424"/>
      <c r="F16" s="424"/>
      <c r="G16" s="424"/>
      <c r="H16" s="424"/>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7" t="s">
        <v>494</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2056225.0000000005</v>
      </c>
    </row>
    <row r="26" spans="1:44" x14ac:dyDescent="0.2">
      <c r="A26" s="192" t="s">
        <v>342</v>
      </c>
      <c r="B26" s="315">
        <v>0</v>
      </c>
    </row>
    <row r="27" spans="1:44" x14ac:dyDescent="0.2">
      <c r="A27" s="192" t="s">
        <v>340</v>
      </c>
      <c r="B27" s="315">
        <f>$B$123</f>
        <v>30</v>
      </c>
      <c r="D27" s="185" t="s">
        <v>343</v>
      </c>
    </row>
    <row r="28" spans="1:44" ht="16.149999999999999" customHeight="1" thickBot="1" x14ac:dyDescent="0.25">
      <c r="A28" s="193" t="s">
        <v>338</v>
      </c>
      <c r="B28" s="194">
        <v>1</v>
      </c>
      <c r="D28" s="473" t="s">
        <v>341</v>
      </c>
      <c r="E28" s="474"/>
      <c r="F28" s="475"/>
      <c r="G28" s="476" t="str">
        <f>IF(SUM(B89:L89)=0,"не окупается",SUM(B89:L89))</f>
        <v>не окупается</v>
      </c>
      <c r="H28" s="477"/>
    </row>
    <row r="29" spans="1:44" ht="15.6" customHeight="1" x14ac:dyDescent="0.2">
      <c r="A29" s="190" t="s">
        <v>336</v>
      </c>
      <c r="B29" s="191">
        <f>$B$126*$B$127</f>
        <v>74024.100000000006</v>
      </c>
      <c r="D29" s="473" t="s">
        <v>339</v>
      </c>
      <c r="E29" s="474"/>
      <c r="F29" s="475"/>
      <c r="G29" s="476" t="str">
        <f>IF(SUM(B90:L90)=0,"не окупается",SUM(B90:L90))</f>
        <v>не окупается</v>
      </c>
      <c r="H29" s="477"/>
    </row>
    <row r="30" spans="1:44" ht="27.6" customHeight="1" x14ac:dyDescent="0.2">
      <c r="A30" s="192" t="s">
        <v>534</v>
      </c>
      <c r="B30" s="315">
        <v>1</v>
      </c>
      <c r="D30" s="473" t="s">
        <v>337</v>
      </c>
      <c r="E30" s="474"/>
      <c r="F30" s="475"/>
      <c r="G30" s="482">
        <f>L87</f>
        <v>-374097.16401962476</v>
      </c>
      <c r="H30" s="483"/>
    </row>
    <row r="31" spans="1:44" x14ac:dyDescent="0.2">
      <c r="A31" s="192" t="s">
        <v>335</v>
      </c>
      <c r="B31" s="315">
        <v>1</v>
      </c>
      <c r="D31" s="484"/>
      <c r="E31" s="485"/>
      <c r="F31" s="486"/>
      <c r="G31" s="484"/>
      <c r="H31" s="486"/>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535</v>
      </c>
      <c r="B37" s="191">
        <v>0</v>
      </c>
    </row>
    <row r="38" spans="1:42" x14ac:dyDescent="0.2">
      <c r="A38" s="192" t="s">
        <v>332</v>
      </c>
      <c r="B38" s="315"/>
    </row>
    <row r="39" spans="1:42" ht="16.5" thickBot="1" x14ac:dyDescent="0.25">
      <c r="A39" s="317" t="s">
        <v>331</v>
      </c>
      <c r="B39" s="318"/>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4" customFormat="1" x14ac:dyDescent="0.2">
      <c r="A49" s="205"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4" customFormat="1" ht="16.5" thickBot="1" x14ac:dyDescent="0.25">
      <c r="A50" s="206" t="s">
        <v>537</v>
      </c>
      <c r="B50" s="207">
        <f>IF($B$124="да",($B$126-0.05),0)</f>
        <v>2467469.9500000007</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0"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0"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8">
        <f t="shared" ref="B59:AP59" si="10">B50*$B$28</f>
        <v>2467469.9500000007</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0" t="s">
        <v>315</v>
      </c>
      <c r="B60" s="347">
        <f t="shared" ref="B60:Z60" si="11">SUM(B61:B65)</f>
        <v>0</v>
      </c>
      <c r="C60" s="347">
        <f t="shared" si="11"/>
        <v>-95296.334225134895</v>
      </c>
      <c r="D60" s="347">
        <f>SUM(D61:D65)</f>
        <v>-99298.780262590561</v>
      </c>
      <c r="E60" s="347">
        <f t="shared" si="11"/>
        <v>-103469.32903361936</v>
      </c>
      <c r="F60" s="347">
        <f t="shared" si="11"/>
        <v>-107815.04085303139</v>
      </c>
      <c r="G60" s="347">
        <f t="shared" si="11"/>
        <v>-112343.27256885871</v>
      </c>
      <c r="H60" s="347">
        <f t="shared" si="11"/>
        <v>-117061.69001675077</v>
      </c>
      <c r="I60" s="347">
        <f t="shared" si="11"/>
        <v>-121978.28099745432</v>
      </c>
      <c r="J60" s="347">
        <f t="shared" si="11"/>
        <v>-127101.36879934742</v>
      </c>
      <c r="K60" s="347">
        <f t="shared" si="11"/>
        <v>-132439.62628892</v>
      </c>
      <c r="L60" s="347">
        <f t="shared" si="11"/>
        <v>-138002.09059305466</v>
      </c>
      <c r="M60" s="347">
        <f t="shared" si="11"/>
        <v>-143798.17839796297</v>
      </c>
      <c r="N60" s="347">
        <f t="shared" si="11"/>
        <v>-149837.70189067739</v>
      </c>
      <c r="O60" s="347">
        <f t="shared" si="11"/>
        <v>-156130.88537008586</v>
      </c>
      <c r="P60" s="347">
        <f t="shared" si="11"/>
        <v>-162688.38255562945</v>
      </c>
      <c r="Q60" s="347">
        <f t="shared" si="11"/>
        <v>-169521.29462296591</v>
      </c>
      <c r="R60" s="347">
        <f t="shared" si="11"/>
        <v>-176641.18899713046</v>
      </c>
      <c r="S60" s="347">
        <f t="shared" si="11"/>
        <v>-184060.11893500996</v>
      </c>
      <c r="T60" s="347">
        <f t="shared" si="11"/>
        <v>-191790.64393028041</v>
      </c>
      <c r="U60" s="347">
        <f t="shared" si="11"/>
        <v>-199845.85097535219</v>
      </c>
      <c r="V60" s="347">
        <f t="shared" si="11"/>
        <v>-208239.37671631697</v>
      </c>
      <c r="W60" s="347">
        <f t="shared" si="11"/>
        <v>-216985.43053840229</v>
      </c>
      <c r="X60" s="347">
        <f t="shared" si="11"/>
        <v>-226098.81862101521</v>
      </c>
      <c r="Y60" s="347">
        <f t="shared" si="11"/>
        <v>-235594.96900309785</v>
      </c>
      <c r="Z60" s="347">
        <f t="shared" si="11"/>
        <v>-245489.95770122798</v>
      </c>
      <c r="AA60" s="347">
        <f t="shared" ref="AA60:AP60" si="12">SUM(AA61:AA65)</f>
        <v>-255800.5359246796</v>
      </c>
      <c r="AB60" s="347">
        <f t="shared" si="12"/>
        <v>-266544.15843351616</v>
      </c>
      <c r="AC60" s="347">
        <f t="shared" si="12"/>
        <v>-277739.01308772387</v>
      </c>
      <c r="AD60" s="347">
        <f t="shared" si="12"/>
        <v>-289404.05163740827</v>
      </c>
      <c r="AE60" s="347">
        <f t="shared" si="12"/>
        <v>-301559.02180617943</v>
      </c>
      <c r="AF60" s="347">
        <f t="shared" si="12"/>
        <v>-314224.50072203891</v>
      </c>
      <c r="AG60" s="347">
        <f t="shared" si="12"/>
        <v>-327421.92975236458</v>
      </c>
      <c r="AH60" s="347">
        <f t="shared" si="12"/>
        <v>-341173.65080196387</v>
      </c>
      <c r="AI60" s="347">
        <f t="shared" si="12"/>
        <v>-355502.94413564634</v>
      </c>
      <c r="AJ60" s="347">
        <f t="shared" si="12"/>
        <v>-370434.06778934353</v>
      </c>
      <c r="AK60" s="347">
        <f t="shared" si="12"/>
        <v>-385992.29863649601</v>
      </c>
      <c r="AL60" s="347">
        <f t="shared" si="12"/>
        <v>-402203.97517922887</v>
      </c>
      <c r="AM60" s="347">
        <f t="shared" si="12"/>
        <v>-419096.54213675653</v>
      </c>
      <c r="AN60" s="347">
        <f t="shared" si="12"/>
        <v>-436698.59690650029</v>
      </c>
      <c r="AO60" s="347">
        <f t="shared" si="12"/>
        <v>-455039.93797657336</v>
      </c>
      <c r="AP60" s="347">
        <f t="shared" si="12"/>
        <v>-474151.61537158943</v>
      </c>
    </row>
    <row r="61" spans="1:45" x14ac:dyDescent="0.2">
      <c r="A61" s="217" t="s">
        <v>314</v>
      </c>
      <c r="B61" s="347"/>
      <c r="C61" s="347">
        <f>-IF(C$47&lt;=$B$30,0,$B$29*(1+C$49)*$B$28)</f>
        <v>-95296.334225134895</v>
      </c>
      <c r="D61" s="347">
        <f>-IF(D$47&lt;=$B$30,0,$B$29*(1+D$49)*$B$28)</f>
        <v>-99298.780262590561</v>
      </c>
      <c r="E61" s="347">
        <f t="shared" ref="E61:AP61" si="13">-IF(E$47&lt;=$B$30,0,$B$29*(1+E$49)*$B$28)</f>
        <v>-103469.32903361936</v>
      </c>
      <c r="F61" s="347">
        <f t="shared" si="13"/>
        <v>-107815.04085303139</v>
      </c>
      <c r="G61" s="347">
        <f t="shared" si="13"/>
        <v>-112343.27256885871</v>
      </c>
      <c r="H61" s="347">
        <f t="shared" si="13"/>
        <v>-117061.69001675077</v>
      </c>
      <c r="I61" s="347">
        <f t="shared" si="13"/>
        <v>-121978.28099745432</v>
      </c>
      <c r="J61" s="347">
        <f t="shared" si="13"/>
        <v>-127101.36879934742</v>
      </c>
      <c r="K61" s="347">
        <f t="shared" si="13"/>
        <v>-132439.62628892</v>
      </c>
      <c r="L61" s="347">
        <f t="shared" si="13"/>
        <v>-138002.09059305466</v>
      </c>
      <c r="M61" s="347">
        <f t="shared" si="13"/>
        <v>-143798.17839796297</v>
      </c>
      <c r="N61" s="347">
        <f t="shared" si="13"/>
        <v>-149837.70189067739</v>
      </c>
      <c r="O61" s="347">
        <f t="shared" si="13"/>
        <v>-156130.88537008586</v>
      </c>
      <c r="P61" s="347">
        <f t="shared" si="13"/>
        <v>-162688.38255562945</v>
      </c>
      <c r="Q61" s="347">
        <f t="shared" si="13"/>
        <v>-169521.29462296591</v>
      </c>
      <c r="R61" s="347">
        <f t="shared" si="13"/>
        <v>-176641.18899713046</v>
      </c>
      <c r="S61" s="347">
        <f t="shared" si="13"/>
        <v>-184060.11893500996</v>
      </c>
      <c r="T61" s="347">
        <f t="shared" si="13"/>
        <v>-191790.64393028041</v>
      </c>
      <c r="U61" s="347">
        <f t="shared" si="13"/>
        <v>-199845.85097535219</v>
      </c>
      <c r="V61" s="347">
        <f t="shared" si="13"/>
        <v>-208239.37671631697</v>
      </c>
      <c r="W61" s="347">
        <f t="shared" si="13"/>
        <v>-216985.43053840229</v>
      </c>
      <c r="X61" s="347">
        <f t="shared" si="13"/>
        <v>-226098.81862101521</v>
      </c>
      <c r="Y61" s="347">
        <f t="shared" si="13"/>
        <v>-235594.96900309785</v>
      </c>
      <c r="Z61" s="347">
        <f t="shared" si="13"/>
        <v>-245489.95770122798</v>
      </c>
      <c r="AA61" s="347">
        <f t="shared" si="13"/>
        <v>-255800.5359246796</v>
      </c>
      <c r="AB61" s="347">
        <f t="shared" si="13"/>
        <v>-266544.15843351616</v>
      </c>
      <c r="AC61" s="347">
        <f t="shared" si="13"/>
        <v>-277739.01308772387</v>
      </c>
      <c r="AD61" s="347">
        <f t="shared" si="13"/>
        <v>-289404.05163740827</v>
      </c>
      <c r="AE61" s="347">
        <f t="shared" si="13"/>
        <v>-301559.02180617943</v>
      </c>
      <c r="AF61" s="347">
        <f t="shared" si="13"/>
        <v>-314224.50072203891</v>
      </c>
      <c r="AG61" s="347">
        <f t="shared" si="13"/>
        <v>-327421.92975236458</v>
      </c>
      <c r="AH61" s="347">
        <f t="shared" si="13"/>
        <v>-341173.65080196387</v>
      </c>
      <c r="AI61" s="347">
        <f t="shared" si="13"/>
        <v>-355502.94413564634</v>
      </c>
      <c r="AJ61" s="347">
        <f t="shared" si="13"/>
        <v>-370434.06778934353</v>
      </c>
      <c r="AK61" s="347">
        <f t="shared" si="13"/>
        <v>-385992.29863649601</v>
      </c>
      <c r="AL61" s="347">
        <f t="shared" si="13"/>
        <v>-402203.97517922887</v>
      </c>
      <c r="AM61" s="347">
        <f t="shared" si="13"/>
        <v>-419096.54213675653</v>
      </c>
      <c r="AN61" s="347">
        <f t="shared" si="13"/>
        <v>-436698.59690650029</v>
      </c>
      <c r="AO61" s="347">
        <f t="shared" si="13"/>
        <v>-455039.93797657336</v>
      </c>
      <c r="AP61" s="347">
        <f t="shared" si="13"/>
        <v>-474151.61537158943</v>
      </c>
    </row>
    <row r="62" spans="1:45" x14ac:dyDescent="0.2">
      <c r="A62" s="217"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7" t="s">
        <v>535</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7" t="s">
        <v>535</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7" t="s">
        <v>539</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8" t="s">
        <v>312</v>
      </c>
      <c r="B66" s="348">
        <f t="shared" ref="B66:AO66" si="14">B59+B60</f>
        <v>2467469.9500000007</v>
      </c>
      <c r="C66" s="348">
        <f t="shared" si="14"/>
        <v>-95296.334225134895</v>
      </c>
      <c r="D66" s="348">
        <f t="shared" si="14"/>
        <v>-99298.780262590561</v>
      </c>
      <c r="E66" s="348">
        <f t="shared" si="14"/>
        <v>-103469.32903361936</v>
      </c>
      <c r="F66" s="348">
        <f t="shared" si="14"/>
        <v>-107815.04085303139</v>
      </c>
      <c r="G66" s="348">
        <f t="shared" si="14"/>
        <v>-112343.27256885871</v>
      </c>
      <c r="H66" s="348">
        <f t="shared" si="14"/>
        <v>-117061.69001675077</v>
      </c>
      <c r="I66" s="348">
        <f t="shared" si="14"/>
        <v>-121978.28099745432</v>
      </c>
      <c r="J66" s="348">
        <f t="shared" si="14"/>
        <v>-127101.36879934742</v>
      </c>
      <c r="K66" s="348">
        <f t="shared" si="14"/>
        <v>-132439.62628892</v>
      </c>
      <c r="L66" s="348">
        <f t="shared" si="14"/>
        <v>-138002.09059305466</v>
      </c>
      <c r="M66" s="348">
        <f t="shared" si="14"/>
        <v>-143798.17839796297</v>
      </c>
      <c r="N66" s="348">
        <f t="shared" si="14"/>
        <v>-149837.70189067739</v>
      </c>
      <c r="O66" s="348">
        <f t="shared" si="14"/>
        <v>-156130.88537008586</v>
      </c>
      <c r="P66" s="348">
        <f t="shared" si="14"/>
        <v>-162688.38255562945</v>
      </c>
      <c r="Q66" s="348">
        <f t="shared" si="14"/>
        <v>-169521.29462296591</v>
      </c>
      <c r="R66" s="348">
        <f t="shared" si="14"/>
        <v>-176641.18899713046</v>
      </c>
      <c r="S66" s="348">
        <f t="shared" si="14"/>
        <v>-184060.11893500996</v>
      </c>
      <c r="T66" s="348">
        <f t="shared" si="14"/>
        <v>-191790.64393028041</v>
      </c>
      <c r="U66" s="348">
        <f t="shared" si="14"/>
        <v>-199845.85097535219</v>
      </c>
      <c r="V66" s="348">
        <f t="shared" si="14"/>
        <v>-208239.37671631697</v>
      </c>
      <c r="W66" s="348">
        <f t="shared" si="14"/>
        <v>-216985.43053840229</v>
      </c>
      <c r="X66" s="348">
        <f t="shared" si="14"/>
        <v>-226098.81862101521</v>
      </c>
      <c r="Y66" s="348">
        <f t="shared" si="14"/>
        <v>-235594.96900309785</v>
      </c>
      <c r="Z66" s="348">
        <f t="shared" si="14"/>
        <v>-245489.95770122798</v>
      </c>
      <c r="AA66" s="348">
        <f t="shared" si="14"/>
        <v>-255800.5359246796</v>
      </c>
      <c r="AB66" s="348">
        <f t="shared" si="14"/>
        <v>-266544.15843351616</v>
      </c>
      <c r="AC66" s="348">
        <f t="shared" si="14"/>
        <v>-277739.01308772387</v>
      </c>
      <c r="AD66" s="348">
        <f t="shared" si="14"/>
        <v>-289404.05163740827</v>
      </c>
      <c r="AE66" s="348">
        <f t="shared" si="14"/>
        <v>-301559.02180617943</v>
      </c>
      <c r="AF66" s="348">
        <f t="shared" si="14"/>
        <v>-314224.50072203891</v>
      </c>
      <c r="AG66" s="348">
        <f t="shared" si="14"/>
        <v>-327421.92975236458</v>
      </c>
      <c r="AH66" s="348">
        <f t="shared" si="14"/>
        <v>-341173.65080196387</v>
      </c>
      <c r="AI66" s="348">
        <f t="shared" si="14"/>
        <v>-355502.94413564634</v>
      </c>
      <c r="AJ66" s="348">
        <f t="shared" si="14"/>
        <v>-370434.06778934353</v>
      </c>
      <c r="AK66" s="348">
        <f t="shared" si="14"/>
        <v>-385992.29863649601</v>
      </c>
      <c r="AL66" s="348">
        <f t="shared" si="14"/>
        <v>-402203.97517922887</v>
      </c>
      <c r="AM66" s="348">
        <f t="shared" si="14"/>
        <v>-419096.54213675653</v>
      </c>
      <c r="AN66" s="348">
        <f t="shared" si="14"/>
        <v>-436698.59690650029</v>
      </c>
      <c r="AO66" s="348">
        <f t="shared" si="14"/>
        <v>-455039.93797657336</v>
      </c>
      <c r="AP66" s="348">
        <f>AP59+AP60</f>
        <v>-474151.61537158943</v>
      </c>
    </row>
    <row r="67" spans="1:45" x14ac:dyDescent="0.2">
      <c r="A67" s="217" t="s">
        <v>307</v>
      </c>
      <c r="B67" s="219"/>
      <c r="C67" s="347">
        <f>-($B$25)*1.18*$B$28/$B$27</f>
        <v>-80878.183333333349</v>
      </c>
      <c r="D67" s="347">
        <f>C67</f>
        <v>-80878.183333333349</v>
      </c>
      <c r="E67" s="347">
        <f t="shared" ref="E67:AP67" si="15">D67</f>
        <v>-80878.183333333349</v>
      </c>
      <c r="F67" s="347">
        <f t="shared" si="15"/>
        <v>-80878.183333333349</v>
      </c>
      <c r="G67" s="347">
        <f t="shared" si="15"/>
        <v>-80878.183333333349</v>
      </c>
      <c r="H67" s="347">
        <f t="shared" si="15"/>
        <v>-80878.183333333349</v>
      </c>
      <c r="I67" s="347">
        <f t="shared" si="15"/>
        <v>-80878.183333333349</v>
      </c>
      <c r="J67" s="347">
        <f t="shared" si="15"/>
        <v>-80878.183333333349</v>
      </c>
      <c r="K67" s="347">
        <f t="shared" si="15"/>
        <v>-80878.183333333349</v>
      </c>
      <c r="L67" s="347">
        <f t="shared" si="15"/>
        <v>-80878.183333333349</v>
      </c>
      <c r="M67" s="347">
        <f t="shared" si="15"/>
        <v>-80878.183333333349</v>
      </c>
      <c r="N67" s="347">
        <f t="shared" si="15"/>
        <v>-80878.183333333349</v>
      </c>
      <c r="O67" s="347">
        <f t="shared" si="15"/>
        <v>-80878.183333333349</v>
      </c>
      <c r="P67" s="347">
        <f t="shared" si="15"/>
        <v>-80878.183333333349</v>
      </c>
      <c r="Q67" s="347">
        <f t="shared" si="15"/>
        <v>-80878.183333333349</v>
      </c>
      <c r="R67" s="347">
        <f t="shared" si="15"/>
        <v>-80878.183333333349</v>
      </c>
      <c r="S67" s="347">
        <f t="shared" si="15"/>
        <v>-80878.183333333349</v>
      </c>
      <c r="T67" s="347">
        <f t="shared" si="15"/>
        <v>-80878.183333333349</v>
      </c>
      <c r="U67" s="347">
        <f t="shared" si="15"/>
        <v>-80878.183333333349</v>
      </c>
      <c r="V67" s="347">
        <f t="shared" si="15"/>
        <v>-80878.183333333349</v>
      </c>
      <c r="W67" s="347">
        <f t="shared" si="15"/>
        <v>-80878.183333333349</v>
      </c>
      <c r="X67" s="347">
        <f t="shared" si="15"/>
        <v>-80878.183333333349</v>
      </c>
      <c r="Y67" s="347">
        <f t="shared" si="15"/>
        <v>-80878.183333333349</v>
      </c>
      <c r="Z67" s="347">
        <f t="shared" si="15"/>
        <v>-80878.183333333349</v>
      </c>
      <c r="AA67" s="347">
        <f t="shared" si="15"/>
        <v>-80878.183333333349</v>
      </c>
      <c r="AB67" s="347">
        <f t="shared" si="15"/>
        <v>-80878.183333333349</v>
      </c>
      <c r="AC67" s="347">
        <f t="shared" si="15"/>
        <v>-80878.183333333349</v>
      </c>
      <c r="AD67" s="347">
        <f t="shared" si="15"/>
        <v>-80878.183333333349</v>
      </c>
      <c r="AE67" s="347">
        <f t="shared" si="15"/>
        <v>-80878.183333333349</v>
      </c>
      <c r="AF67" s="347">
        <f t="shared" si="15"/>
        <v>-80878.183333333349</v>
      </c>
      <c r="AG67" s="347">
        <f t="shared" si="15"/>
        <v>-80878.183333333349</v>
      </c>
      <c r="AH67" s="347">
        <f t="shared" si="15"/>
        <v>-80878.183333333349</v>
      </c>
      <c r="AI67" s="347">
        <f t="shared" si="15"/>
        <v>-80878.183333333349</v>
      </c>
      <c r="AJ67" s="347">
        <f t="shared" si="15"/>
        <v>-80878.183333333349</v>
      </c>
      <c r="AK67" s="347">
        <f t="shared" si="15"/>
        <v>-80878.183333333349</v>
      </c>
      <c r="AL67" s="347">
        <f t="shared" si="15"/>
        <v>-80878.183333333349</v>
      </c>
      <c r="AM67" s="347">
        <f t="shared" si="15"/>
        <v>-80878.183333333349</v>
      </c>
      <c r="AN67" s="347">
        <f t="shared" si="15"/>
        <v>-80878.183333333349</v>
      </c>
      <c r="AO67" s="347">
        <f t="shared" si="15"/>
        <v>-80878.183333333349</v>
      </c>
      <c r="AP67" s="347">
        <f t="shared" si="15"/>
        <v>-80878.183333333349</v>
      </c>
      <c r="AQ67" s="220">
        <f>SUM(B67:AA67)/1.18</f>
        <v>-1713520.8333333337</v>
      </c>
      <c r="AR67" s="221">
        <f>SUM(B67:AF67)/1.18</f>
        <v>-2056225.0000000009</v>
      </c>
      <c r="AS67" s="221">
        <f>SUM(B67:AP67)/1.18</f>
        <v>-2741633.3333333363</v>
      </c>
    </row>
    <row r="68" spans="1:45" ht="28.5" x14ac:dyDescent="0.2">
      <c r="A68" s="218" t="s">
        <v>308</v>
      </c>
      <c r="B68" s="348">
        <f t="shared" ref="B68:J68" si="16">B66+B67</f>
        <v>2467469.9500000007</v>
      </c>
      <c r="C68" s="348">
        <f>C66+C67</f>
        <v>-176174.51755846824</v>
      </c>
      <c r="D68" s="348">
        <f>D66+D67</f>
        <v>-180176.96359592391</v>
      </c>
      <c r="E68" s="348">
        <f t="shared" si="16"/>
        <v>-184347.51236695272</v>
      </c>
      <c r="F68" s="348">
        <f>F66+C67</f>
        <v>-188693.22418636474</v>
      </c>
      <c r="G68" s="348">
        <f t="shared" si="16"/>
        <v>-193221.45590219204</v>
      </c>
      <c r="H68" s="348">
        <f t="shared" si="16"/>
        <v>-197939.87335008412</v>
      </c>
      <c r="I68" s="348">
        <f t="shared" si="16"/>
        <v>-202856.46433078765</v>
      </c>
      <c r="J68" s="348">
        <f t="shared" si="16"/>
        <v>-207979.55213268078</v>
      </c>
      <c r="K68" s="348">
        <f>K66+K67</f>
        <v>-213317.80962225335</v>
      </c>
      <c r="L68" s="348">
        <f>L66+L67</f>
        <v>-218880.27392638801</v>
      </c>
      <c r="M68" s="348">
        <f t="shared" ref="M68:AO68" si="17">M66+M67</f>
        <v>-224676.36173129632</v>
      </c>
      <c r="N68" s="348">
        <f t="shared" si="17"/>
        <v>-230715.88522401074</v>
      </c>
      <c r="O68" s="348">
        <f t="shared" si="17"/>
        <v>-237009.06870341921</v>
      </c>
      <c r="P68" s="348">
        <f t="shared" si="17"/>
        <v>-243566.5658889628</v>
      </c>
      <c r="Q68" s="348">
        <f t="shared" si="17"/>
        <v>-250399.47795629926</v>
      </c>
      <c r="R68" s="348">
        <f t="shared" si="17"/>
        <v>-257519.37233046381</v>
      </c>
      <c r="S68" s="348">
        <f t="shared" si="17"/>
        <v>-264938.30226834328</v>
      </c>
      <c r="T68" s="348">
        <f t="shared" si="17"/>
        <v>-272668.82726361376</v>
      </c>
      <c r="U68" s="348">
        <f t="shared" si="17"/>
        <v>-280724.03430868557</v>
      </c>
      <c r="V68" s="348">
        <f t="shared" si="17"/>
        <v>-289117.56004965032</v>
      </c>
      <c r="W68" s="348">
        <f t="shared" si="17"/>
        <v>-297863.61387173564</v>
      </c>
      <c r="X68" s="348">
        <f t="shared" si="17"/>
        <v>-306977.00195434853</v>
      </c>
      <c r="Y68" s="348">
        <f t="shared" si="17"/>
        <v>-316473.1523364312</v>
      </c>
      <c r="Z68" s="348">
        <f t="shared" si="17"/>
        <v>-326368.14103456133</v>
      </c>
      <c r="AA68" s="348">
        <f t="shared" si="17"/>
        <v>-336678.71925801295</v>
      </c>
      <c r="AB68" s="348">
        <f t="shared" si="17"/>
        <v>-347422.34176684951</v>
      </c>
      <c r="AC68" s="348">
        <f t="shared" si="17"/>
        <v>-358617.19642105722</v>
      </c>
      <c r="AD68" s="348">
        <f t="shared" si="17"/>
        <v>-370282.23497074161</v>
      </c>
      <c r="AE68" s="348">
        <f t="shared" si="17"/>
        <v>-382437.20513951278</v>
      </c>
      <c r="AF68" s="348">
        <f t="shared" si="17"/>
        <v>-395102.68405537226</v>
      </c>
      <c r="AG68" s="348">
        <f t="shared" si="17"/>
        <v>-408300.11308569793</v>
      </c>
      <c r="AH68" s="348">
        <f t="shared" si="17"/>
        <v>-422051.83413529722</v>
      </c>
      <c r="AI68" s="348">
        <f t="shared" si="17"/>
        <v>-436381.12746897968</v>
      </c>
      <c r="AJ68" s="348">
        <f t="shared" si="17"/>
        <v>-451312.25112267688</v>
      </c>
      <c r="AK68" s="348">
        <f t="shared" si="17"/>
        <v>-466870.48196982936</v>
      </c>
      <c r="AL68" s="348">
        <f t="shared" si="17"/>
        <v>-483082.15851256222</v>
      </c>
      <c r="AM68" s="348">
        <f t="shared" si="17"/>
        <v>-499974.72547008988</v>
      </c>
      <c r="AN68" s="348">
        <f t="shared" si="17"/>
        <v>-517576.78023983364</v>
      </c>
      <c r="AO68" s="348">
        <f t="shared" si="17"/>
        <v>-535918.12130990671</v>
      </c>
      <c r="AP68" s="348">
        <f>AP66+AP67</f>
        <v>-555029.79870492278</v>
      </c>
      <c r="AQ68" s="170">
        <v>25</v>
      </c>
      <c r="AR68" s="170">
        <v>30</v>
      </c>
      <c r="AS68" s="170">
        <v>40</v>
      </c>
    </row>
    <row r="69" spans="1:45" x14ac:dyDescent="0.2">
      <c r="A69" s="217"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8" t="s">
        <v>311</v>
      </c>
      <c r="B70" s="348">
        <f t="shared" ref="B70:AO70" si="19">B68+B69</f>
        <v>2467469.9500000007</v>
      </c>
      <c r="C70" s="348">
        <f t="shared" si="19"/>
        <v>-176174.51755846824</v>
      </c>
      <c r="D70" s="348">
        <f t="shared" si="19"/>
        <v>-180176.96359592391</v>
      </c>
      <c r="E70" s="348">
        <f t="shared" si="19"/>
        <v>-184347.51236695272</v>
      </c>
      <c r="F70" s="348">
        <f t="shared" si="19"/>
        <v>-188693.22418636474</v>
      </c>
      <c r="G70" s="348">
        <f t="shared" si="19"/>
        <v>-193221.45590219204</v>
      </c>
      <c r="H70" s="348">
        <f t="shared" si="19"/>
        <v>-197939.87335008412</v>
      </c>
      <c r="I70" s="348">
        <f t="shared" si="19"/>
        <v>-202856.46433078765</v>
      </c>
      <c r="J70" s="348">
        <f t="shared" si="19"/>
        <v>-207979.55213268078</v>
      </c>
      <c r="K70" s="348">
        <f t="shared" si="19"/>
        <v>-213317.80962225335</v>
      </c>
      <c r="L70" s="348">
        <f t="shared" si="19"/>
        <v>-218880.27392638801</v>
      </c>
      <c r="M70" s="348">
        <f t="shared" si="19"/>
        <v>-224676.36173129632</v>
      </c>
      <c r="N70" s="348">
        <f t="shared" si="19"/>
        <v>-230715.88522401074</v>
      </c>
      <c r="O70" s="348">
        <f t="shared" si="19"/>
        <v>-237009.06870341921</v>
      </c>
      <c r="P70" s="348">
        <f t="shared" si="19"/>
        <v>-243566.5658889628</v>
      </c>
      <c r="Q70" s="348">
        <f t="shared" si="19"/>
        <v>-250399.47795629926</v>
      </c>
      <c r="R70" s="348">
        <f t="shared" si="19"/>
        <v>-257519.37233046381</v>
      </c>
      <c r="S70" s="348">
        <f t="shared" si="19"/>
        <v>-264938.30226834328</v>
      </c>
      <c r="T70" s="348">
        <f t="shared" si="19"/>
        <v>-272668.82726361376</v>
      </c>
      <c r="U70" s="348">
        <f t="shared" si="19"/>
        <v>-280724.03430868557</v>
      </c>
      <c r="V70" s="348">
        <f t="shared" si="19"/>
        <v>-289117.56004965032</v>
      </c>
      <c r="W70" s="348">
        <f t="shared" si="19"/>
        <v>-297863.61387173564</v>
      </c>
      <c r="X70" s="348">
        <f t="shared" si="19"/>
        <v>-306977.00195434853</v>
      </c>
      <c r="Y70" s="348">
        <f t="shared" si="19"/>
        <v>-316473.1523364312</v>
      </c>
      <c r="Z70" s="348">
        <f t="shared" si="19"/>
        <v>-326368.14103456133</v>
      </c>
      <c r="AA70" s="348">
        <f t="shared" si="19"/>
        <v>-336678.71925801295</v>
      </c>
      <c r="AB70" s="348">
        <f t="shared" si="19"/>
        <v>-347422.34176684951</v>
      </c>
      <c r="AC70" s="348">
        <f t="shared" si="19"/>
        <v>-358617.19642105722</v>
      </c>
      <c r="AD70" s="348">
        <f t="shared" si="19"/>
        <v>-370282.23497074161</v>
      </c>
      <c r="AE70" s="348">
        <f t="shared" si="19"/>
        <v>-382437.20513951278</v>
      </c>
      <c r="AF70" s="348">
        <f t="shared" si="19"/>
        <v>-395102.68405537226</v>
      </c>
      <c r="AG70" s="348">
        <f t="shared" si="19"/>
        <v>-408300.11308569793</v>
      </c>
      <c r="AH70" s="348">
        <f t="shared" si="19"/>
        <v>-422051.83413529722</v>
      </c>
      <c r="AI70" s="348">
        <f t="shared" si="19"/>
        <v>-436381.12746897968</v>
      </c>
      <c r="AJ70" s="348">
        <f t="shared" si="19"/>
        <v>-451312.25112267688</v>
      </c>
      <c r="AK70" s="348">
        <f t="shared" si="19"/>
        <v>-466870.48196982936</v>
      </c>
      <c r="AL70" s="348">
        <f t="shared" si="19"/>
        <v>-483082.15851256222</v>
      </c>
      <c r="AM70" s="348">
        <f t="shared" si="19"/>
        <v>-499974.72547008988</v>
      </c>
      <c r="AN70" s="348">
        <f t="shared" si="19"/>
        <v>-517576.78023983364</v>
      </c>
      <c r="AO70" s="348">
        <f t="shared" si="19"/>
        <v>-535918.12130990671</v>
      </c>
      <c r="AP70" s="348">
        <f>AP68+AP69</f>
        <v>-555029.79870492278</v>
      </c>
    </row>
    <row r="71" spans="1:45" x14ac:dyDescent="0.2">
      <c r="A71" s="217" t="s">
        <v>305</v>
      </c>
      <c r="B71" s="347">
        <f t="shared" ref="B71:AP71" si="20">-B70*$B$36</f>
        <v>-493493.99000000017</v>
      </c>
      <c r="C71" s="347">
        <f t="shared" si="20"/>
        <v>35234.90351169365</v>
      </c>
      <c r="D71" s="347">
        <f t="shared" si="20"/>
        <v>36035.392719184783</v>
      </c>
      <c r="E71" s="347">
        <f t="shared" si="20"/>
        <v>36869.502473390545</v>
      </c>
      <c r="F71" s="347">
        <f t="shared" si="20"/>
        <v>37738.64483727295</v>
      </c>
      <c r="G71" s="347">
        <f t="shared" si="20"/>
        <v>38644.291180438413</v>
      </c>
      <c r="H71" s="347">
        <f t="shared" si="20"/>
        <v>39587.974670016825</v>
      </c>
      <c r="I71" s="347">
        <f t="shared" si="20"/>
        <v>40571.292866157535</v>
      </c>
      <c r="J71" s="347">
        <f t="shared" si="20"/>
        <v>41595.91042653616</v>
      </c>
      <c r="K71" s="347">
        <f t="shared" si="20"/>
        <v>42663.561924450674</v>
      </c>
      <c r="L71" s="347">
        <f t="shared" si="20"/>
        <v>43776.054785277607</v>
      </c>
      <c r="M71" s="347">
        <f t="shared" si="20"/>
        <v>44935.272346259269</v>
      </c>
      <c r="N71" s="347">
        <f t="shared" si="20"/>
        <v>46143.177044802149</v>
      </c>
      <c r="O71" s="347">
        <f t="shared" si="20"/>
        <v>47401.813740683843</v>
      </c>
      <c r="P71" s="347">
        <f t="shared" si="20"/>
        <v>48713.313177792559</v>
      </c>
      <c r="Q71" s="347">
        <f t="shared" si="20"/>
        <v>50079.895591259854</v>
      </c>
      <c r="R71" s="347">
        <f t="shared" si="20"/>
        <v>51503.874466092762</v>
      </c>
      <c r="S71" s="347">
        <f t="shared" si="20"/>
        <v>52987.660453668657</v>
      </c>
      <c r="T71" s="347">
        <f t="shared" si="20"/>
        <v>54533.765452722757</v>
      </c>
      <c r="U71" s="347">
        <f t="shared" si="20"/>
        <v>56144.806861737117</v>
      </c>
      <c r="V71" s="347">
        <f t="shared" si="20"/>
        <v>57823.512009930069</v>
      </c>
      <c r="W71" s="347">
        <f t="shared" si="20"/>
        <v>59572.72277434713</v>
      </c>
      <c r="X71" s="347">
        <f t="shared" si="20"/>
        <v>61395.400390869705</v>
      </c>
      <c r="Y71" s="347">
        <f t="shared" si="20"/>
        <v>63294.630467286246</v>
      </c>
      <c r="Z71" s="347">
        <f t="shared" si="20"/>
        <v>65273.628206912268</v>
      </c>
      <c r="AA71" s="347">
        <f t="shared" si="20"/>
        <v>67335.743851602587</v>
      </c>
      <c r="AB71" s="347">
        <f t="shared" si="20"/>
        <v>69484.468353369899</v>
      </c>
      <c r="AC71" s="347">
        <f t="shared" si="20"/>
        <v>71723.439284211447</v>
      </c>
      <c r="AD71" s="347">
        <f t="shared" si="20"/>
        <v>74056.446994148326</v>
      </c>
      <c r="AE71" s="347">
        <f t="shared" si="20"/>
        <v>76487.441027902561</v>
      </c>
      <c r="AF71" s="347">
        <f t="shared" si="20"/>
        <v>79020.53681107446</v>
      </c>
      <c r="AG71" s="347">
        <f t="shared" si="20"/>
        <v>81660.022617139592</v>
      </c>
      <c r="AH71" s="347">
        <f t="shared" si="20"/>
        <v>84410.36682705945</v>
      </c>
      <c r="AI71" s="347">
        <f t="shared" si="20"/>
        <v>87276.225493795937</v>
      </c>
      <c r="AJ71" s="347">
        <f t="shared" si="20"/>
        <v>90262.45022453538</v>
      </c>
      <c r="AK71" s="347">
        <f t="shared" si="20"/>
        <v>93374.096393965883</v>
      </c>
      <c r="AL71" s="347">
        <f t="shared" si="20"/>
        <v>96616.431702512447</v>
      </c>
      <c r="AM71" s="347">
        <f t="shared" si="20"/>
        <v>99994.945094017981</v>
      </c>
      <c r="AN71" s="347">
        <f t="shared" si="20"/>
        <v>103515.35604796674</v>
      </c>
      <c r="AO71" s="347">
        <f t="shared" si="20"/>
        <v>107183.62426198134</v>
      </c>
      <c r="AP71" s="347">
        <f t="shared" si="20"/>
        <v>111005.95974098456</v>
      </c>
    </row>
    <row r="72" spans="1:45" ht="15" thickBot="1" x14ac:dyDescent="0.25">
      <c r="A72" s="222" t="s">
        <v>310</v>
      </c>
      <c r="B72" s="223">
        <f t="shared" ref="B72:AO72" si="21">B70+B71</f>
        <v>1973975.9600000004</v>
      </c>
      <c r="C72" s="223">
        <f t="shared" si="21"/>
        <v>-140939.6140467746</v>
      </c>
      <c r="D72" s="223">
        <f t="shared" si="21"/>
        <v>-144141.57087673913</v>
      </c>
      <c r="E72" s="223">
        <f t="shared" si="21"/>
        <v>-147478.00989356218</v>
      </c>
      <c r="F72" s="223">
        <f t="shared" si="21"/>
        <v>-150954.5793490918</v>
      </c>
      <c r="G72" s="223">
        <f t="shared" si="21"/>
        <v>-154577.16472175362</v>
      </c>
      <c r="H72" s="223">
        <f t="shared" si="21"/>
        <v>-158351.8986800673</v>
      </c>
      <c r="I72" s="223">
        <f t="shared" si="21"/>
        <v>-162285.17146463011</v>
      </c>
      <c r="J72" s="223">
        <f t="shared" si="21"/>
        <v>-166383.64170614461</v>
      </c>
      <c r="K72" s="223">
        <f t="shared" si="21"/>
        <v>-170654.24769780267</v>
      </c>
      <c r="L72" s="223">
        <f t="shared" si="21"/>
        <v>-175104.2191411104</v>
      </c>
      <c r="M72" s="223">
        <f t="shared" si="21"/>
        <v>-179741.08938503705</v>
      </c>
      <c r="N72" s="223">
        <f t="shared" si="21"/>
        <v>-184572.7081792086</v>
      </c>
      <c r="O72" s="223">
        <f t="shared" si="21"/>
        <v>-189607.25496273537</v>
      </c>
      <c r="P72" s="223">
        <f t="shared" si="21"/>
        <v>-194853.25271117024</v>
      </c>
      <c r="Q72" s="223">
        <f t="shared" si="21"/>
        <v>-200319.58236503942</v>
      </c>
      <c r="R72" s="223">
        <f t="shared" si="21"/>
        <v>-206015.49786437105</v>
      </c>
      <c r="S72" s="223">
        <f t="shared" si="21"/>
        <v>-211950.64181467463</v>
      </c>
      <c r="T72" s="223">
        <f t="shared" si="21"/>
        <v>-218135.061810891</v>
      </c>
      <c r="U72" s="223">
        <f t="shared" si="21"/>
        <v>-224579.22744694847</v>
      </c>
      <c r="V72" s="223">
        <f t="shared" si="21"/>
        <v>-231294.04803972025</v>
      </c>
      <c r="W72" s="223">
        <f t="shared" si="21"/>
        <v>-238290.89109738852</v>
      </c>
      <c r="X72" s="223">
        <f t="shared" si="21"/>
        <v>-245581.60156347882</v>
      </c>
      <c r="Y72" s="223">
        <f t="shared" si="21"/>
        <v>-253178.52186914496</v>
      </c>
      <c r="Z72" s="223">
        <f t="shared" si="21"/>
        <v>-261094.51282764907</v>
      </c>
      <c r="AA72" s="223">
        <f t="shared" si="21"/>
        <v>-269342.97540641035</v>
      </c>
      <c r="AB72" s="223">
        <f t="shared" si="21"/>
        <v>-277937.8734134796</v>
      </c>
      <c r="AC72" s="223">
        <f t="shared" si="21"/>
        <v>-286893.75713684579</v>
      </c>
      <c r="AD72" s="223">
        <f t="shared" si="21"/>
        <v>-296225.7879765933</v>
      </c>
      <c r="AE72" s="223">
        <f t="shared" si="21"/>
        <v>-305949.76411161025</v>
      </c>
      <c r="AF72" s="223">
        <f t="shared" si="21"/>
        <v>-316082.14724429778</v>
      </c>
      <c r="AG72" s="223">
        <f t="shared" si="21"/>
        <v>-326640.09046855837</v>
      </c>
      <c r="AH72" s="223">
        <f t="shared" si="21"/>
        <v>-337641.4673082378</v>
      </c>
      <c r="AI72" s="223">
        <f t="shared" si="21"/>
        <v>-349104.90197518375</v>
      </c>
      <c r="AJ72" s="223">
        <f t="shared" si="21"/>
        <v>-361049.80089814152</v>
      </c>
      <c r="AK72" s="223">
        <f t="shared" si="21"/>
        <v>-373496.38557586347</v>
      </c>
      <c r="AL72" s="223">
        <f t="shared" si="21"/>
        <v>-386465.72681004979</v>
      </c>
      <c r="AM72" s="223">
        <f t="shared" si="21"/>
        <v>-399979.78037607193</v>
      </c>
      <c r="AN72" s="223">
        <f t="shared" si="21"/>
        <v>-414061.42419186688</v>
      </c>
      <c r="AO72" s="223">
        <f t="shared" si="21"/>
        <v>-428734.49704792537</v>
      </c>
      <c r="AP72" s="223">
        <f>AP70+AP71</f>
        <v>-444023.83896393824</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8">
        <f t="shared" ref="B75:AO75" si="24">B68</f>
        <v>2467469.9500000007</v>
      </c>
      <c r="C75" s="348">
        <f t="shared" si="24"/>
        <v>-176174.51755846824</v>
      </c>
      <c r="D75" s="348">
        <f>D68</f>
        <v>-180176.96359592391</v>
      </c>
      <c r="E75" s="348">
        <f t="shared" si="24"/>
        <v>-184347.51236695272</v>
      </c>
      <c r="F75" s="348">
        <f t="shared" si="24"/>
        <v>-188693.22418636474</v>
      </c>
      <c r="G75" s="348">
        <f t="shared" si="24"/>
        <v>-193221.45590219204</v>
      </c>
      <c r="H75" s="348">
        <f t="shared" si="24"/>
        <v>-197939.87335008412</v>
      </c>
      <c r="I75" s="348">
        <f t="shared" si="24"/>
        <v>-202856.46433078765</v>
      </c>
      <c r="J75" s="348">
        <f t="shared" si="24"/>
        <v>-207979.55213268078</v>
      </c>
      <c r="K75" s="348">
        <f t="shared" si="24"/>
        <v>-213317.80962225335</v>
      </c>
      <c r="L75" s="348">
        <f t="shared" si="24"/>
        <v>-218880.27392638801</v>
      </c>
      <c r="M75" s="348">
        <f t="shared" si="24"/>
        <v>-224676.36173129632</v>
      </c>
      <c r="N75" s="348">
        <f t="shared" si="24"/>
        <v>-230715.88522401074</v>
      </c>
      <c r="O75" s="348">
        <f t="shared" si="24"/>
        <v>-237009.06870341921</v>
      </c>
      <c r="P75" s="348">
        <f t="shared" si="24"/>
        <v>-243566.5658889628</v>
      </c>
      <c r="Q75" s="348">
        <f t="shared" si="24"/>
        <v>-250399.47795629926</v>
      </c>
      <c r="R75" s="348">
        <f t="shared" si="24"/>
        <v>-257519.37233046381</v>
      </c>
      <c r="S75" s="348">
        <f t="shared" si="24"/>
        <v>-264938.30226834328</v>
      </c>
      <c r="T75" s="348">
        <f t="shared" si="24"/>
        <v>-272668.82726361376</v>
      </c>
      <c r="U75" s="348">
        <f t="shared" si="24"/>
        <v>-280724.03430868557</v>
      </c>
      <c r="V75" s="348">
        <f t="shared" si="24"/>
        <v>-289117.56004965032</v>
      </c>
      <c r="W75" s="348">
        <f t="shared" si="24"/>
        <v>-297863.61387173564</v>
      </c>
      <c r="X75" s="348">
        <f t="shared" si="24"/>
        <v>-306977.00195434853</v>
      </c>
      <c r="Y75" s="348">
        <f t="shared" si="24"/>
        <v>-316473.1523364312</v>
      </c>
      <c r="Z75" s="348">
        <f t="shared" si="24"/>
        <v>-326368.14103456133</v>
      </c>
      <c r="AA75" s="348">
        <f t="shared" si="24"/>
        <v>-336678.71925801295</v>
      </c>
      <c r="AB75" s="348">
        <f t="shared" si="24"/>
        <v>-347422.34176684951</v>
      </c>
      <c r="AC75" s="348">
        <f t="shared" si="24"/>
        <v>-358617.19642105722</v>
      </c>
      <c r="AD75" s="348">
        <f t="shared" si="24"/>
        <v>-370282.23497074161</v>
      </c>
      <c r="AE75" s="348">
        <f t="shared" si="24"/>
        <v>-382437.20513951278</v>
      </c>
      <c r="AF75" s="348">
        <f t="shared" si="24"/>
        <v>-395102.68405537226</v>
      </c>
      <c r="AG75" s="348">
        <f t="shared" si="24"/>
        <v>-408300.11308569793</v>
      </c>
      <c r="AH75" s="348">
        <f t="shared" si="24"/>
        <v>-422051.83413529722</v>
      </c>
      <c r="AI75" s="348">
        <f t="shared" si="24"/>
        <v>-436381.12746897968</v>
      </c>
      <c r="AJ75" s="348">
        <f t="shared" si="24"/>
        <v>-451312.25112267688</v>
      </c>
      <c r="AK75" s="348">
        <f t="shared" si="24"/>
        <v>-466870.48196982936</v>
      </c>
      <c r="AL75" s="348">
        <f t="shared" si="24"/>
        <v>-483082.15851256222</v>
      </c>
      <c r="AM75" s="348">
        <f t="shared" si="24"/>
        <v>-499974.72547008988</v>
      </c>
      <c r="AN75" s="348">
        <f t="shared" si="24"/>
        <v>-517576.78023983364</v>
      </c>
      <c r="AO75" s="348">
        <f t="shared" si="24"/>
        <v>-535918.12130990671</v>
      </c>
      <c r="AP75" s="348">
        <f>AP68</f>
        <v>-555029.79870492278</v>
      </c>
    </row>
    <row r="76" spans="1:45" x14ac:dyDescent="0.2">
      <c r="A76" s="217" t="s">
        <v>307</v>
      </c>
      <c r="B76" s="347">
        <f t="shared" ref="B76:AO76" si="25">-B67</f>
        <v>0</v>
      </c>
      <c r="C76" s="347">
        <f>-C67</f>
        <v>80878.183333333349</v>
      </c>
      <c r="D76" s="347">
        <f t="shared" si="25"/>
        <v>80878.183333333349</v>
      </c>
      <c r="E76" s="347">
        <f t="shared" si="25"/>
        <v>80878.183333333349</v>
      </c>
      <c r="F76" s="347">
        <f>-C67</f>
        <v>80878.183333333349</v>
      </c>
      <c r="G76" s="347">
        <f t="shared" si="25"/>
        <v>80878.183333333349</v>
      </c>
      <c r="H76" s="347">
        <f t="shared" si="25"/>
        <v>80878.183333333349</v>
      </c>
      <c r="I76" s="347">
        <f t="shared" si="25"/>
        <v>80878.183333333349</v>
      </c>
      <c r="J76" s="347">
        <f t="shared" si="25"/>
        <v>80878.183333333349</v>
      </c>
      <c r="K76" s="347">
        <f t="shared" si="25"/>
        <v>80878.183333333349</v>
      </c>
      <c r="L76" s="347">
        <f>-L67</f>
        <v>80878.183333333349</v>
      </c>
      <c r="M76" s="347">
        <f>-M67</f>
        <v>80878.183333333349</v>
      </c>
      <c r="N76" s="347">
        <f t="shared" si="25"/>
        <v>80878.183333333349</v>
      </c>
      <c r="O76" s="347">
        <f t="shared" si="25"/>
        <v>80878.183333333349</v>
      </c>
      <c r="P76" s="347">
        <f t="shared" si="25"/>
        <v>80878.183333333349</v>
      </c>
      <c r="Q76" s="347">
        <f t="shared" si="25"/>
        <v>80878.183333333349</v>
      </c>
      <c r="R76" s="347">
        <f t="shared" si="25"/>
        <v>80878.183333333349</v>
      </c>
      <c r="S76" s="347">
        <f t="shared" si="25"/>
        <v>80878.183333333349</v>
      </c>
      <c r="T76" s="347">
        <f t="shared" si="25"/>
        <v>80878.183333333349</v>
      </c>
      <c r="U76" s="347">
        <f t="shared" si="25"/>
        <v>80878.183333333349</v>
      </c>
      <c r="V76" s="347">
        <f t="shared" si="25"/>
        <v>80878.183333333349</v>
      </c>
      <c r="W76" s="347">
        <f t="shared" si="25"/>
        <v>80878.183333333349</v>
      </c>
      <c r="X76" s="347">
        <f t="shared" si="25"/>
        <v>80878.183333333349</v>
      </c>
      <c r="Y76" s="347">
        <f t="shared" si="25"/>
        <v>80878.183333333349</v>
      </c>
      <c r="Z76" s="347">
        <f t="shared" si="25"/>
        <v>80878.183333333349</v>
      </c>
      <c r="AA76" s="347">
        <f t="shared" si="25"/>
        <v>80878.183333333349</v>
      </c>
      <c r="AB76" s="347">
        <f t="shared" si="25"/>
        <v>80878.183333333349</v>
      </c>
      <c r="AC76" s="347">
        <f t="shared" si="25"/>
        <v>80878.183333333349</v>
      </c>
      <c r="AD76" s="347">
        <f t="shared" si="25"/>
        <v>80878.183333333349</v>
      </c>
      <c r="AE76" s="347">
        <f t="shared" si="25"/>
        <v>80878.183333333349</v>
      </c>
      <c r="AF76" s="347">
        <f t="shared" si="25"/>
        <v>80878.183333333349</v>
      </c>
      <c r="AG76" s="347">
        <f t="shared" si="25"/>
        <v>80878.183333333349</v>
      </c>
      <c r="AH76" s="347">
        <f t="shared" si="25"/>
        <v>80878.183333333349</v>
      </c>
      <c r="AI76" s="347">
        <f t="shared" si="25"/>
        <v>80878.183333333349</v>
      </c>
      <c r="AJ76" s="347">
        <f t="shared" si="25"/>
        <v>80878.183333333349</v>
      </c>
      <c r="AK76" s="347">
        <f t="shared" si="25"/>
        <v>80878.183333333349</v>
      </c>
      <c r="AL76" s="347">
        <f t="shared" si="25"/>
        <v>80878.183333333349</v>
      </c>
      <c r="AM76" s="347">
        <f t="shared" si="25"/>
        <v>80878.183333333349</v>
      </c>
      <c r="AN76" s="347">
        <f t="shared" si="25"/>
        <v>80878.183333333349</v>
      </c>
      <c r="AO76" s="347">
        <f t="shared" si="25"/>
        <v>80878.183333333349</v>
      </c>
      <c r="AP76" s="347">
        <f>-AP67</f>
        <v>80878.183333333349</v>
      </c>
    </row>
    <row r="77" spans="1:45" x14ac:dyDescent="0.2">
      <c r="A77" s="217"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7" t="s">
        <v>305</v>
      </c>
      <c r="B78" s="347">
        <f>IF(SUM($B$71:B71)+SUM($A$78:A78)&gt;0,0,SUM($B$71:B71)-SUM($A$78:A78))</f>
        <v>-493493.99000000017</v>
      </c>
      <c r="C78" s="347">
        <f>IF(SUM($B$71:C71)+SUM($A$78:B78)&gt;0,0,SUM($B$71:C71)-SUM($A$78:B78))</f>
        <v>35234.903511693643</v>
      </c>
      <c r="D78" s="347">
        <f>IF(SUM($B$71:D71)+SUM($A$78:C78)&gt;0,0,SUM($B$71:D71)-SUM($A$78:C78))</f>
        <v>36035.392719184805</v>
      </c>
      <c r="E78" s="347">
        <f>IF(SUM($B$71:E71)+SUM($A$78:D78)&gt;0,0,SUM($B$71:E71)-SUM($A$78:D78))</f>
        <v>36869.502473390545</v>
      </c>
      <c r="F78" s="347">
        <f>IF(SUM($B$71:F71)+SUM($A$78:E78)&gt;0,0,SUM($B$71:F71)-SUM($A$78:E78))</f>
        <v>37738.644837272936</v>
      </c>
      <c r="G78" s="347">
        <f>IF(SUM($B$71:G71)+SUM($A$78:F78)&gt;0,0,SUM($B$71:G71)-SUM($A$78:F78))</f>
        <v>38644.29118043842</v>
      </c>
      <c r="H78" s="347">
        <f>IF(SUM($B$71:H71)+SUM($A$78:G78)&gt;0,0,SUM($B$71:H71)-SUM($A$78:G78))</f>
        <v>39587.974670016847</v>
      </c>
      <c r="I78" s="347">
        <f>IF(SUM($B$71:I71)+SUM($A$78:H78)&gt;0,0,SUM($B$71:I71)-SUM($A$78:H78))</f>
        <v>40571.292866157542</v>
      </c>
      <c r="J78" s="347">
        <f>IF(SUM($B$71:J71)+SUM($A$78:I78)&gt;0,0,SUM($B$71:J71)-SUM($A$78:I78))</f>
        <v>41595.910426536168</v>
      </c>
      <c r="K78" s="347">
        <f>IF(SUM($B$71:K71)+SUM($A$78:J78)&gt;0,0,SUM($B$71:K71)-SUM($A$78:J78))</f>
        <v>42663.561924450682</v>
      </c>
      <c r="L78" s="347">
        <f>IF(SUM($B$71:L71)+SUM($A$78:K78)&gt;0,0,SUM($B$71:L71)-SUM($A$78:K78))</f>
        <v>43776.054785277607</v>
      </c>
      <c r="M78" s="347">
        <f>IF(SUM($B$71:M71)+SUM($A$78:L78)&gt;0,0,SUM($B$71:M71)-SUM($A$78:L78))</f>
        <v>44935.272346259269</v>
      </c>
      <c r="N78" s="347">
        <f>IF(SUM($B$71:N71)+SUM($A$78:M78)&gt;0,0,SUM($B$71:N71)-SUM($A$78:M78))</f>
        <v>46143.177044802149</v>
      </c>
      <c r="O78" s="347">
        <f>IF(SUM($B$71:O71)+SUM($A$78:N78)&gt;0,0,SUM($B$71:O71)-SUM($A$78:N78))</f>
        <v>0</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7" t="s">
        <v>304</v>
      </c>
      <c r="B79" s="347">
        <f>IF(((SUM($B$59:B59)+SUM($B$61:B64))+SUM($B$81:B81))&lt;0,((SUM($B$59:B59)+SUM($B$61:B64))+SUM($B$81:B81))*0.18-SUM($A$79:A79),IF(SUM(A$79:$B79)&lt;0,0-SUM(A$79:$B79),0))</f>
        <v>-8.9999999664723863E-3</v>
      </c>
      <c r="C79" s="347">
        <f>IF(((SUM($B$59:C59)+SUM($B$61:C64))+SUM($B$81:C81))&lt;0,((SUM($B$59:C59)+SUM($B$61:C64))+SUM($B$81:C81))*0.18-SUM($A$79:B79),IF(SUM($B$79:B79)&lt;0,0-SUM($B$79:B79),0))</f>
        <v>-17153.340160524287</v>
      </c>
      <c r="D79" s="347">
        <f>IF(((SUM($B$59:D59)+SUM($B$61:D64))+SUM($B$81:D81))&lt;0,((SUM($B$59:D59)+SUM($B$61:D64))+SUM($B$81:D81))*0.18-SUM($A$79:C79),IF(SUM($B$79:C79)&lt;0,0-SUM($B$79:C79),0))</f>
        <v>-17873.780447266268</v>
      </c>
      <c r="E79" s="347">
        <f>IF(((SUM($B$59:E59)+SUM($B$61:E64))+SUM($B$81:E81))&lt;0,((SUM($B$59:E59)+SUM($B$61:E64))+SUM($B$81:E81))*0.18-SUM($A$79:D79),IF(SUM($B$79:D79)&lt;0,0-SUM($B$79:D79),0))</f>
        <v>-18624.479226051466</v>
      </c>
      <c r="F79" s="347">
        <f>IF(((SUM($B$59:F59)+SUM($B$61:F64))+SUM($B$81:F81))&lt;0,((SUM($B$59:F59)+SUM($B$61:F64))+SUM($B$81:F81))*0.18-SUM($A$79:E79),IF(SUM($B$79:E79)&lt;0,0-SUM($B$79:E79),0))</f>
        <v>-19406.707353545695</v>
      </c>
      <c r="G79" s="347">
        <f>IF(((SUM($B$59:G59)+SUM($B$61:G64))+SUM($B$81:G81))&lt;0,((SUM($B$59:G59)+SUM($B$61:G64))+SUM($B$81:G81))*0.18-SUM($A$79:F79),IF(SUM($B$79:F79)&lt;0,0-SUM($B$79:F79),0))</f>
        <v>-20221.789062394571</v>
      </c>
      <c r="H79" s="347">
        <f>IF(((SUM($B$59:H59)+SUM($B$61:H64))+SUM($B$81:H81))&lt;0,((SUM($B$59:H59)+SUM($B$61:H64))+SUM($B$81:H81))*0.18-SUM($A$79:G79),IF(SUM($B$79:G79)&lt;0,0-SUM($B$79:G79),0))</f>
        <v>-21071.104203015129</v>
      </c>
      <c r="I79" s="347">
        <f>IF(((SUM($B$59:I59)+SUM($B$61:I64))+SUM($B$81:I81))&lt;0,((SUM($B$59:I59)+SUM($B$61:I64))+SUM($B$81:I81))*0.18-SUM($A$79:H79),IF(SUM($B$79:H79)&lt;0,0-SUM($B$79:H79),0))</f>
        <v>-21956.090579541793</v>
      </c>
      <c r="J79" s="347">
        <f>IF(((SUM($B$59:J59)+SUM($B$61:J64))+SUM($B$81:J81))&lt;0,((SUM($B$59:J59)+SUM($B$61:J64))+SUM($B$81:J81))*0.18-SUM($A$79:I79),IF(SUM($B$79:I79)&lt;0,0-SUM($B$79:I79),0))</f>
        <v>-22878.246383882535</v>
      </c>
      <c r="K79" s="347">
        <f>IF(((SUM($B$59:K59)+SUM($B$61:K64))+SUM($B$81:K81))&lt;0,((SUM($B$59:K59)+SUM($B$61:K64))+SUM($B$81:K81))*0.18-SUM($A$79:J79),IF(SUM($B$79:J79)&lt;0,0-SUM($B$79:J79),0))</f>
        <v>-23839.132732005586</v>
      </c>
      <c r="L79" s="347">
        <f>IF(((SUM($B$59:L59)+SUM($B$61:L64))+SUM($B$81:L81))&lt;0,((SUM($B$59:L59)+SUM($B$61:L64))+SUM($B$81:L81))*0.18-SUM($A$79:K79),IF(SUM($B$79:K79)&lt;0,0-SUM($B$79:K79),0))</f>
        <v>-24840.376306749851</v>
      </c>
      <c r="M79" s="347">
        <f>IF(((SUM($B$59:M59)+SUM($B$61:M64))+SUM($B$81:M81))&lt;0,((SUM($B$59:M59)+SUM($B$61:M64))+SUM($B$81:M81))*0.18-SUM($A$79:L79),IF(SUM($B$79:L79)&lt;0,0-SUM($B$79:L79),0))</f>
        <v>-25883.67211163335</v>
      </c>
      <c r="N79" s="347">
        <f>IF(((SUM($B$59:N59)+SUM($B$61:N64))+SUM($B$81:N81))&lt;0,((SUM($B$59:N59)+SUM($B$61:N64))+SUM($B$81:N81))*0.18-SUM($A$79:M79),IF(SUM($B$79:M79)&lt;0,0-SUM($B$79:M79),0))</f>
        <v>-26970.786340321938</v>
      </c>
      <c r="O79" s="347">
        <f>IF(((SUM($B$59:O59)+SUM($B$61:O64))+SUM($B$81:O81))&lt;0,((SUM($B$59:O59)+SUM($B$61:O64))+SUM($B$81:O81))*0.18-SUM($A$79:N79),IF(SUM($B$79:N79)&lt;0,0-SUM($B$79:N79),0))</f>
        <v>-28103.559366615431</v>
      </c>
      <c r="P79" s="347">
        <f>IF(((SUM($B$59:P59)+SUM($B$61:P64))+SUM($B$81:P81))&lt;0,((SUM($B$59:P59)+SUM($B$61:P64))+SUM($B$81:P81))*0.18-SUM($A$79:O79),IF(SUM($B$79:O79)&lt;0,0-SUM($B$79:O79),0))</f>
        <v>-29283.908860013296</v>
      </c>
      <c r="Q79" s="347">
        <f>IF(((SUM($B$59:Q59)+SUM($B$61:Q64))+SUM($B$81:Q81))&lt;0,((SUM($B$59:Q59)+SUM($B$61:Q64))+SUM($B$81:Q81))*0.18-SUM($A$79:P79),IF(SUM($B$79:P79)&lt;0,0-SUM($B$79:P79),0))</f>
        <v>-30513.833032133873</v>
      </c>
      <c r="R79" s="347">
        <f>IF(((SUM($B$59:R59)+SUM($B$61:R64))+SUM($B$81:R81))&lt;0,((SUM($B$59:R59)+SUM($B$61:R64))+SUM($B$81:R81))*0.18-SUM($A$79:Q79),IF(SUM($B$79:Q79)&lt;0,0-SUM($B$79:Q79),0))</f>
        <v>-31795.414019483491</v>
      </c>
      <c r="S79" s="347">
        <f>IF(((SUM($B$59:S59)+SUM($B$61:S64))+SUM($B$81:S81))&lt;0,((SUM($B$59:S59)+SUM($B$61:S64))+SUM($B$81:S81))*0.18-SUM($A$79:R79),IF(SUM($B$79:R79)&lt;0,0-SUM($B$79:R79),0))</f>
        <v>-33130.821408301766</v>
      </c>
      <c r="T79" s="347">
        <f>IF(((SUM($B$59:T59)+SUM($B$61:T64))+SUM($B$81:T81))&lt;0,((SUM($B$59:T59)+SUM($B$61:T64))+SUM($B$81:T81))*0.18-SUM($A$79:S79),IF(SUM($B$79:S79)&lt;0,0-SUM($B$79:S79),0))</f>
        <v>-34522.315907450509</v>
      </c>
      <c r="U79" s="347">
        <f>IF(((SUM($B$59:U59)+SUM($B$61:U64))+SUM($B$81:U81))&lt;0,((SUM($B$59:U59)+SUM($B$61:U64))+SUM($B$81:U81))*0.18-SUM($A$79:T79),IF(SUM($B$79:T79)&lt;0,0-SUM($B$79:T79),0))</f>
        <v>-35972.253175563412</v>
      </c>
      <c r="V79" s="347">
        <f>IF(((SUM($B$59:V59)+SUM($B$61:V64))+SUM($B$81:V81))&lt;0,((SUM($B$59:V59)+SUM($B$61:V64))+SUM($B$81:V81))*0.18-SUM($A$79:U79),IF(SUM($B$79:U79)&lt;0,0-SUM($B$79:U79),0))</f>
        <v>-37483.087808937067</v>
      </c>
      <c r="W79" s="347">
        <f>IF(((SUM($B$59:W59)+SUM($B$61:W64))+SUM($B$81:W81))&lt;0,((SUM($B$59:W59)+SUM($B$61:W64))+SUM($B$81:W81))*0.18-SUM($A$79:V79),IF(SUM($B$79:V79)&lt;0,0-SUM($B$79:V79),0))</f>
        <v>-39057.377496912435</v>
      </c>
      <c r="X79" s="347">
        <f>IF(((SUM($B$59:X59)+SUM($B$61:X64))+SUM($B$81:X81))&lt;0,((SUM($B$59:X59)+SUM($B$61:X64))+SUM($B$81:X81))*0.18-SUM($A$79:W79),IF(SUM($B$79:W79)&lt;0,0-SUM($B$79:W79),0))</f>
        <v>-40697.787351782783</v>
      </c>
      <c r="Y79" s="347">
        <f>IF(((SUM($B$59:Y59)+SUM($B$61:Y64))+SUM($B$81:Y81))&lt;0,((SUM($B$59:Y59)+SUM($B$61:Y64))+SUM($B$81:Y81))*0.18-SUM($A$79:X79),IF(SUM($B$79:X79)&lt;0,0-SUM($B$79:X79),0))</f>
        <v>-42407.094420557609</v>
      </c>
      <c r="Z79" s="347">
        <f>IF(((SUM($B$59:Z59)+SUM($B$61:Z64))+SUM($B$81:Z81))&lt;0,((SUM($B$59:Z59)+SUM($B$61:Z64))+SUM($B$81:Z81))*0.18-SUM($A$79:Y79),IF(SUM($B$79:Y79)&lt;0,0-SUM($B$79:Y79),0))</f>
        <v>-44188.192386221024</v>
      </c>
      <c r="AA79" s="347">
        <f>IF(((SUM($B$59:AA59)+SUM($B$61:AA64))+SUM($B$81:AA81))&lt;0,((SUM($B$59:AA59)+SUM($B$61:AA64))+SUM($B$81:AA81))*0.18-SUM($A$79:Z79),IF(SUM($B$79:Z79)&lt;0,0-SUM($B$79:Z79),0))</f>
        <v>-46044.096466442337</v>
      </c>
      <c r="AB79" s="347">
        <f>IF(((SUM($B$59:AB59)+SUM($B$61:AB64))+SUM($B$81:AB81))&lt;0,((SUM($B$59:AB59)+SUM($B$61:AB64))+SUM($B$81:AB81))*0.18-SUM($A$79:AA79),IF(SUM($B$79:AA79)&lt;0,0-SUM($B$79:AA79),0))</f>
        <v>-47977.948518032907</v>
      </c>
      <c r="AC79" s="347">
        <f>IF(((SUM($B$59:AC59)+SUM($B$61:AC64))+SUM($B$81:AC81))&lt;0,((SUM($B$59:AC59)+SUM($B$61:AC64))+SUM($B$81:AC81))*0.18-SUM($A$79:AB79),IF(SUM($B$79:AB79)&lt;0,0-SUM($B$79:AB79),0))</f>
        <v>-49993.022355790366</v>
      </c>
      <c r="AD79" s="347">
        <f>IF(((SUM($B$59:AD59)+SUM($B$61:AD64))+SUM($B$81:AD81))&lt;0,((SUM($B$59:AD59)+SUM($B$61:AD64))+SUM($B$81:AD81))*0.18-SUM($A$79:AC79),IF(SUM($B$79:AC79)&lt;0,0-SUM($B$79:AC79),0))</f>
        <v>-52092.729294733494</v>
      </c>
      <c r="AE79" s="347">
        <f>IF(((SUM($B$59:AE59)+SUM($B$61:AE64))+SUM($B$81:AE81))&lt;0,((SUM($B$59:AE59)+SUM($B$61:AE64))+SUM($B$81:AE81))*0.18-SUM($A$79:AD79),IF(SUM($B$79:AD79)&lt;0,0-SUM($B$79:AD79),0))</f>
        <v>-54280.623925112304</v>
      </c>
      <c r="AF79" s="347">
        <f>IF(((SUM($B$59:AF59)+SUM($B$61:AF64))+SUM($B$81:AF81))&lt;0,((SUM($B$59:AF59)+SUM($B$61:AF64))+SUM($B$81:AF81))*0.18-SUM($A$79:AE79),IF(SUM($B$79:AE79)&lt;0,0-SUM($B$79:AE79),0))</f>
        <v>-56560.410129966913</v>
      </c>
      <c r="AG79" s="347">
        <f>IF(((SUM($B$59:AG59)+SUM($B$61:AG64))+SUM($B$81:AG81))&lt;0,((SUM($B$59:AG59)+SUM($B$61:AG64))+SUM($B$81:AG81))*0.18-SUM($A$79:AF79),IF(SUM($B$79:AF79)&lt;0,0-SUM($B$79:AF79),0))</f>
        <v>-58935.9473554258</v>
      </c>
      <c r="AH79" s="347">
        <f>IF(((SUM($B$59:AH59)+SUM($B$61:AH64))+SUM($B$81:AH81))&lt;0,((SUM($B$59:AH59)+SUM($B$61:AH64))+SUM($B$81:AH81))*0.18-SUM($A$79:AG79),IF(SUM($B$79:AG79)&lt;0,0-SUM($B$79:AG79),0))</f>
        <v>-61411.257144353352</v>
      </c>
      <c r="AI79" s="347">
        <f>IF(((SUM($B$59:AI59)+SUM($B$61:AI64))+SUM($B$81:AI81))&lt;0,((SUM($B$59:AI59)+SUM($B$61:AI64))+SUM($B$81:AI81))*0.18-SUM($A$79:AH79),IF(SUM($B$79:AH79)&lt;0,0-SUM($B$79:AH79),0))</f>
        <v>-63990.529944416368</v>
      </c>
      <c r="AJ79" s="347">
        <f>IF(((SUM($B$59:AJ59)+SUM($B$61:AJ64))+SUM($B$81:AJ81))&lt;0,((SUM($B$59:AJ59)+SUM($B$61:AJ64))+SUM($B$81:AJ81))*0.18-SUM($A$79:AI79),IF(SUM($B$79:AI79)&lt;0,0-SUM($B$79:AI79),0))</f>
        <v>-66678.132202081848</v>
      </c>
      <c r="AK79" s="347">
        <f>IF(((SUM($B$59:AK59)+SUM($B$61:AK64))+SUM($B$81:AK81))&lt;0,((SUM($B$59:AK59)+SUM($B$61:AK64))+SUM($B$81:AK81))*0.18-SUM($A$79:AJ79),IF(SUM($B$79:AJ79)&lt;0,0-SUM($B$79:AJ79),0))</f>
        <v>-69478.61375456932</v>
      </c>
      <c r="AL79" s="347">
        <f>IF(((SUM($B$59:AL59)+SUM($B$61:AL64))+SUM($B$81:AL81))&lt;0,((SUM($B$59:AL59)+SUM($B$61:AL64))+SUM($B$81:AL81))*0.18-SUM($A$79:AK79),IF(SUM($B$79:AK79)&lt;0,0-SUM($B$79:AK79),0))</f>
        <v>-72396.71553226118</v>
      </c>
      <c r="AM79" s="347">
        <f>IF(((SUM($B$59:AM59)+SUM($B$61:AM64))+SUM($B$81:AM81))&lt;0,((SUM($B$59:AM59)+SUM($B$61:AM64))+SUM($B$81:AM81))*0.18-SUM($A$79:AL79),IF(SUM($B$79:AL79)&lt;0,0-SUM($B$79:AL79),0))</f>
        <v>-75437.377584616188</v>
      </c>
      <c r="AN79" s="347">
        <f>IF(((SUM($B$59:AN59)+SUM($B$61:AN64))+SUM($B$81:AN81))&lt;0,((SUM($B$59:AN59)+SUM($B$61:AN64))+SUM($B$81:AN81))*0.18-SUM($A$79:AM79),IF(SUM($B$79:AM79)&lt;0,0-SUM($B$79:AM79),0))</f>
        <v>-78605.747443170054</v>
      </c>
      <c r="AO79" s="347">
        <f>IF(((SUM($B$59:AO59)+SUM($B$61:AO64))+SUM($B$81:AO81))&lt;0,((SUM($B$59:AO59)+SUM($B$61:AO64))+SUM($B$81:AO81))*0.18-SUM($A$79:AN79),IF(SUM($B$79:AN79)&lt;0,0-SUM($B$79:AN79),0))</f>
        <v>-81907.18883578293</v>
      </c>
      <c r="AP79" s="347">
        <f>IF(((SUM($B$59:AP59)+SUM($B$61:AP64))+SUM($B$81:AP81))&lt;0,((SUM($B$59:AP59)+SUM($B$61:AP64))+SUM($B$81:AP81))*0.18-SUM($A$79:AO79),IF(SUM($B$79:AO79)&lt;0,0-SUM($B$79:AO79),0))</f>
        <v>-85347.29076688597</v>
      </c>
    </row>
    <row r="80" spans="1:45" x14ac:dyDescent="0.2">
      <c r="A80" s="217"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7" t="s">
        <v>540</v>
      </c>
      <c r="B81" s="347">
        <f>-$B$126</f>
        <v>-2467470.0000000005</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0">
        <f>SUM(B81:AP81)</f>
        <v>-2467470.0000000005</v>
      </c>
      <c r="AR81" s="221"/>
    </row>
    <row r="82" spans="1:45" x14ac:dyDescent="0.2">
      <c r="A82" s="217"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8" t="s">
        <v>301</v>
      </c>
      <c r="B83" s="348">
        <f>SUM(B75:B82)</f>
        <v>-493494.04900000012</v>
      </c>
      <c r="C83" s="348">
        <f t="shared" ref="C83:V83" si="29">SUM(C75:C82)</f>
        <v>-77214.770873965535</v>
      </c>
      <c r="D83" s="348">
        <f t="shared" si="29"/>
        <v>-81137.167990672024</v>
      </c>
      <c r="E83" s="348">
        <f t="shared" si="29"/>
        <v>-85224.305786280296</v>
      </c>
      <c r="F83" s="348">
        <f t="shared" si="29"/>
        <v>-89483.103369304154</v>
      </c>
      <c r="G83" s="348">
        <f t="shared" si="29"/>
        <v>-93920.770450814845</v>
      </c>
      <c r="H83" s="348">
        <f t="shared" si="29"/>
        <v>-98544.819549749052</v>
      </c>
      <c r="I83" s="348">
        <f t="shared" si="29"/>
        <v>-103363.07871083856</v>
      </c>
      <c r="J83" s="348">
        <f t="shared" si="29"/>
        <v>-108383.7047566938</v>
      </c>
      <c r="K83" s="348">
        <f t="shared" si="29"/>
        <v>-113615.19709647491</v>
      </c>
      <c r="L83" s="348">
        <f t="shared" si="29"/>
        <v>-119066.4121145269</v>
      </c>
      <c r="M83" s="348">
        <f t="shared" si="29"/>
        <v>-124746.57816333705</v>
      </c>
      <c r="N83" s="348">
        <f t="shared" si="29"/>
        <v>-130665.31118619718</v>
      </c>
      <c r="O83" s="348">
        <f t="shared" si="29"/>
        <v>-184234.44473670129</v>
      </c>
      <c r="P83" s="348">
        <f t="shared" si="29"/>
        <v>-191972.29141564274</v>
      </c>
      <c r="Q83" s="348">
        <f t="shared" si="29"/>
        <v>-200035.12765509979</v>
      </c>
      <c r="R83" s="348">
        <f t="shared" si="29"/>
        <v>-208436.60301661395</v>
      </c>
      <c r="S83" s="348">
        <f t="shared" si="29"/>
        <v>-217190.9403433117</v>
      </c>
      <c r="T83" s="348">
        <f t="shared" si="29"/>
        <v>-226312.95983773092</v>
      </c>
      <c r="U83" s="348">
        <f t="shared" si="29"/>
        <v>-235818.10415091563</v>
      </c>
      <c r="V83" s="348">
        <f t="shared" si="29"/>
        <v>-245722.46452525404</v>
      </c>
      <c r="W83" s="348">
        <f>SUM(W75:W82)</f>
        <v>-256042.80803531472</v>
      </c>
      <c r="X83" s="348">
        <f>SUM(X75:X82)</f>
        <v>-266796.60597279796</v>
      </c>
      <c r="Y83" s="348">
        <f>SUM(Y75:Y82)</f>
        <v>-278002.06342365546</v>
      </c>
      <c r="Z83" s="348">
        <f>SUM(Z75:Z82)</f>
        <v>-289678.150087449</v>
      </c>
      <c r="AA83" s="348">
        <f t="shared" ref="AA83:AP83" si="30">SUM(AA75:AA82)</f>
        <v>-301844.63239112194</v>
      </c>
      <c r="AB83" s="348">
        <f t="shared" si="30"/>
        <v>-314522.10695154907</v>
      </c>
      <c r="AC83" s="348">
        <f t="shared" si="30"/>
        <v>-327732.03544351424</v>
      </c>
      <c r="AD83" s="348">
        <f t="shared" si="30"/>
        <v>-341496.78093214176</v>
      </c>
      <c r="AE83" s="348">
        <f t="shared" si="30"/>
        <v>-355839.64573129173</v>
      </c>
      <c r="AF83" s="348">
        <f t="shared" si="30"/>
        <v>-370784.91085200582</v>
      </c>
      <c r="AG83" s="348">
        <f t="shared" si="30"/>
        <v>-386357.87710779038</v>
      </c>
      <c r="AH83" s="348">
        <f t="shared" si="30"/>
        <v>-402584.90794631722</v>
      </c>
      <c r="AI83" s="348">
        <f t="shared" si="30"/>
        <v>-419493.4740800627</v>
      </c>
      <c r="AJ83" s="348">
        <f t="shared" si="30"/>
        <v>-437112.19999142538</v>
      </c>
      <c r="AK83" s="348">
        <f t="shared" si="30"/>
        <v>-455470.91239106533</v>
      </c>
      <c r="AL83" s="348">
        <f t="shared" si="30"/>
        <v>-474600.69071149005</v>
      </c>
      <c r="AM83" s="348">
        <f t="shared" si="30"/>
        <v>-494533.91972137272</v>
      </c>
      <c r="AN83" s="348">
        <f t="shared" si="30"/>
        <v>-515304.34434967034</v>
      </c>
      <c r="AO83" s="348">
        <f t="shared" si="30"/>
        <v>-536947.12681235629</v>
      </c>
      <c r="AP83" s="348">
        <f t="shared" si="30"/>
        <v>-559498.9061384754</v>
      </c>
    </row>
    <row r="84" spans="1:45" ht="14.25" x14ac:dyDescent="0.2">
      <c r="A84" s="218" t="s">
        <v>300</v>
      </c>
      <c r="B84" s="348">
        <f>SUM($B$83:B83)</f>
        <v>-493494.04900000012</v>
      </c>
      <c r="C84" s="348">
        <f>SUM($B$83:C83)</f>
        <v>-570708.81987396569</v>
      </c>
      <c r="D84" s="348">
        <f>SUM($B$83:D83)</f>
        <v>-651845.98786463775</v>
      </c>
      <c r="E84" s="348">
        <f>SUM($B$83:E83)</f>
        <v>-737070.29365091806</v>
      </c>
      <c r="F84" s="348">
        <f>SUM($B$83:F83)</f>
        <v>-826553.39702022215</v>
      </c>
      <c r="G84" s="348">
        <f>SUM($B$83:G83)</f>
        <v>-920474.16747103701</v>
      </c>
      <c r="H84" s="348">
        <f>SUM($B$83:H83)</f>
        <v>-1019018.987020786</v>
      </c>
      <c r="I84" s="348">
        <f>SUM($B$83:I83)</f>
        <v>-1122382.0657316246</v>
      </c>
      <c r="J84" s="348">
        <f>SUM($B$83:J83)</f>
        <v>-1230765.7704883185</v>
      </c>
      <c r="K84" s="348">
        <f>SUM($B$83:K83)</f>
        <v>-1344380.9675847935</v>
      </c>
      <c r="L84" s="348">
        <f>SUM($B$83:L83)</f>
        <v>-1463447.3796993203</v>
      </c>
      <c r="M84" s="348">
        <f>SUM($B$83:M83)</f>
        <v>-1588193.9578626573</v>
      </c>
      <c r="N84" s="348">
        <f>SUM($B$83:N83)</f>
        <v>-1718859.2690488545</v>
      </c>
      <c r="O84" s="348">
        <f>SUM($B$83:O83)</f>
        <v>-1903093.7137855557</v>
      </c>
      <c r="P84" s="348">
        <f>SUM($B$83:P83)</f>
        <v>-2095066.0052011984</v>
      </c>
      <c r="Q84" s="348">
        <f>SUM($B$83:Q83)</f>
        <v>-2295101.1328562982</v>
      </c>
      <c r="R84" s="348">
        <f>SUM($B$83:R83)</f>
        <v>-2503537.7358729122</v>
      </c>
      <c r="S84" s="348">
        <f>SUM($B$83:S83)</f>
        <v>-2720728.6762162237</v>
      </c>
      <c r="T84" s="348">
        <f>SUM($B$83:T83)</f>
        <v>-2947041.6360539547</v>
      </c>
      <c r="U84" s="348">
        <f>SUM($B$83:U83)</f>
        <v>-3182859.7402048702</v>
      </c>
      <c r="V84" s="348">
        <f>SUM($B$83:V83)</f>
        <v>-3428582.2047301242</v>
      </c>
      <c r="W84" s="348">
        <f>SUM($B$83:W83)</f>
        <v>-3684625.0127654388</v>
      </c>
      <c r="X84" s="348">
        <f>SUM($B$83:X83)</f>
        <v>-3951421.6187382368</v>
      </c>
      <c r="Y84" s="348">
        <f>SUM($B$83:Y83)</f>
        <v>-4229423.6821618918</v>
      </c>
      <c r="Z84" s="348">
        <f>SUM($B$83:Z83)</f>
        <v>-4519101.8322493406</v>
      </c>
      <c r="AA84" s="348">
        <f>SUM($B$83:AA83)</f>
        <v>-4820946.4646404628</v>
      </c>
      <c r="AB84" s="348">
        <f>SUM($B$83:AB83)</f>
        <v>-5135468.5715920115</v>
      </c>
      <c r="AC84" s="348">
        <f>SUM($B$83:AC83)</f>
        <v>-5463200.6070355261</v>
      </c>
      <c r="AD84" s="348">
        <f>SUM($B$83:AD83)</f>
        <v>-5804697.3879676675</v>
      </c>
      <c r="AE84" s="348">
        <f>SUM($B$83:AE83)</f>
        <v>-6160537.0336989593</v>
      </c>
      <c r="AF84" s="348">
        <f>SUM($B$83:AF83)</f>
        <v>-6531321.944550965</v>
      </c>
      <c r="AG84" s="348">
        <f>SUM($B$83:AG83)</f>
        <v>-6917679.8216587557</v>
      </c>
      <c r="AH84" s="348">
        <f>SUM($B$83:AH83)</f>
        <v>-7320264.7296050731</v>
      </c>
      <c r="AI84" s="348">
        <f>SUM($B$83:AI83)</f>
        <v>-7739758.2036851356</v>
      </c>
      <c r="AJ84" s="348">
        <f>SUM($B$83:AJ83)</f>
        <v>-8176870.4036765611</v>
      </c>
      <c r="AK84" s="348">
        <f>SUM($B$83:AK83)</f>
        <v>-8632341.3160676267</v>
      </c>
      <c r="AL84" s="348">
        <f>SUM($B$83:AL83)</f>
        <v>-9106942.0067791175</v>
      </c>
      <c r="AM84" s="348">
        <f>SUM($B$83:AM83)</f>
        <v>-9601475.9265004899</v>
      </c>
      <c r="AN84" s="348">
        <f>SUM($B$83:AN83)</f>
        <v>-10116780.270850161</v>
      </c>
      <c r="AO84" s="348">
        <f>SUM($B$83:AO83)</f>
        <v>-10653727.397662517</v>
      </c>
      <c r="AP84" s="348">
        <f>SUM($B$83:AP83)</f>
        <v>-11213226.303800993</v>
      </c>
    </row>
    <row r="85" spans="1:45" x14ac:dyDescent="0.2">
      <c r="A85" s="217" t="s">
        <v>541</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6" t="s">
        <v>299</v>
      </c>
      <c r="B86" s="348">
        <f>B83*B85</f>
        <v>-213226.02403469937</v>
      </c>
      <c r="C86" s="348">
        <f>C83*C85</f>
        <v>-27686.727676364088</v>
      </c>
      <c r="D86" s="348">
        <f t="shared" ref="D86:AO86" si="32">D83*D85</f>
        <v>-24143.711897748064</v>
      </c>
      <c r="E86" s="348">
        <f t="shared" si="32"/>
        <v>-21045.566497785185</v>
      </c>
      <c r="F86" s="348">
        <f t="shared" si="32"/>
        <v>-18337.964968001048</v>
      </c>
      <c r="G86" s="348">
        <f t="shared" si="32"/>
        <v>-15972.934136272353</v>
      </c>
      <c r="H86" s="348">
        <f t="shared" si="32"/>
        <v>-13908.164093866175</v>
      </c>
      <c r="I86" s="348">
        <f t="shared" si="32"/>
        <v>-12106.382659397919</v>
      </c>
      <c r="J86" s="348">
        <f t="shared" si="32"/>
        <v>-10534.790550942689</v>
      </c>
      <c r="K86" s="348">
        <f t="shared" si="32"/>
        <v>-9164.5531216490472</v>
      </c>
      <c r="L86" s="348">
        <f t="shared" si="32"/>
        <v>-7970.3443828987665</v>
      </c>
      <c r="M86" s="348">
        <f t="shared" si="32"/>
        <v>-6929.9390432301288</v>
      </c>
      <c r="N86" s="348">
        <f t="shared" si="32"/>
        <v>-6023.8483925428063</v>
      </c>
      <c r="O86" s="348">
        <f t="shared" si="32"/>
        <v>-7048.5130609807447</v>
      </c>
      <c r="P86" s="348">
        <f t="shared" si="32"/>
        <v>-6095.0627465078296</v>
      </c>
      <c r="Q86" s="348">
        <f t="shared" si="32"/>
        <v>-5270.5853791378931</v>
      </c>
      <c r="R86" s="348">
        <f t="shared" si="32"/>
        <v>-4557.6348257773307</v>
      </c>
      <c r="S86" s="348">
        <f t="shared" si="32"/>
        <v>-3941.1248866887795</v>
      </c>
      <c r="T86" s="348">
        <f t="shared" si="32"/>
        <v>-3408.0100679914603</v>
      </c>
      <c r="U86" s="348">
        <f t="shared" si="32"/>
        <v>-2947.0095359726984</v>
      </c>
      <c r="V86" s="348">
        <f t="shared" si="32"/>
        <v>-2548.3684120195439</v>
      </c>
      <c r="W86" s="348">
        <f t="shared" si="32"/>
        <v>-2203.6513571156552</v>
      </c>
      <c r="X86" s="348">
        <f t="shared" si="32"/>
        <v>-1905.5640781033301</v>
      </c>
      <c r="Y86" s="348">
        <f t="shared" si="32"/>
        <v>-1647.7989787416345</v>
      </c>
      <c r="Z86" s="348">
        <f t="shared" si="32"/>
        <v>-1424.9016895010645</v>
      </c>
      <c r="AA86" s="348">
        <f t="shared" si="32"/>
        <v>-1232.155651834116</v>
      </c>
      <c r="AB86" s="348">
        <f t="shared" si="32"/>
        <v>-1065.4823146980486</v>
      </c>
      <c r="AC86" s="348">
        <f t="shared" si="32"/>
        <v>-921.35483146503464</v>
      </c>
      <c r="AD86" s="348">
        <f t="shared" si="32"/>
        <v>-796.72343102619629</v>
      </c>
      <c r="AE86" s="348">
        <f t="shared" si="32"/>
        <v>-688.95088392472735</v>
      </c>
      <c r="AF86" s="348">
        <f t="shared" si="32"/>
        <v>-595.75669796644434</v>
      </c>
      <c r="AG86" s="348">
        <f t="shared" si="32"/>
        <v>-515.16886247388834</v>
      </c>
      <c r="AH86" s="348">
        <f t="shared" si="32"/>
        <v>-445.48212008115445</v>
      </c>
      <c r="AI86" s="348">
        <f t="shared" si="32"/>
        <v>-385.22188309092365</v>
      </c>
      <c r="AJ86" s="348">
        <f t="shared" si="32"/>
        <v>-333.11303085538799</v>
      </c>
      <c r="AK86" s="348">
        <f t="shared" si="32"/>
        <v>-288.05292792640188</v>
      </c>
      <c r="AL86" s="348">
        <f t="shared" si="32"/>
        <v>-249.08809203262297</v>
      </c>
      <c r="AM86" s="348">
        <f t="shared" si="32"/>
        <v>-215.39401817260841</v>
      </c>
      <c r="AN86" s="348">
        <f t="shared" si="32"/>
        <v>-186.25773189697756</v>
      </c>
      <c r="AO86" s="348">
        <f t="shared" si="32"/>
        <v>-161.06270260302961</v>
      </c>
      <c r="AP86" s="348">
        <f>AP83*AP85</f>
        <v>-139.27579760361553</v>
      </c>
    </row>
    <row r="87" spans="1:45" ht="14.25" x14ac:dyDescent="0.2">
      <c r="A87" s="216" t="s">
        <v>298</v>
      </c>
      <c r="B87" s="348">
        <f>SUM($B$86:B86)</f>
        <v>-213226.02403469937</v>
      </c>
      <c r="C87" s="348">
        <f>SUM($B$86:C86)</f>
        <v>-240912.75171106347</v>
      </c>
      <c r="D87" s="348">
        <f>SUM($B$86:D86)</f>
        <v>-265056.46360881155</v>
      </c>
      <c r="E87" s="348">
        <f>SUM($B$86:E86)</f>
        <v>-286102.03010659677</v>
      </c>
      <c r="F87" s="348">
        <f>SUM($B$86:F86)</f>
        <v>-304439.99507459783</v>
      </c>
      <c r="G87" s="348">
        <f>SUM($B$86:G86)</f>
        <v>-320412.92921087018</v>
      </c>
      <c r="H87" s="348">
        <f>SUM($B$86:H86)</f>
        <v>-334321.09330473637</v>
      </c>
      <c r="I87" s="348">
        <f>SUM($B$86:I86)</f>
        <v>-346427.47596413427</v>
      </c>
      <c r="J87" s="348">
        <f>SUM($B$86:J86)</f>
        <v>-356962.26651507698</v>
      </c>
      <c r="K87" s="348">
        <f>SUM($B$86:K86)</f>
        <v>-366126.819636726</v>
      </c>
      <c r="L87" s="348">
        <f>SUM($B$86:L86)</f>
        <v>-374097.16401962476</v>
      </c>
      <c r="M87" s="348">
        <f>SUM($B$86:M86)</f>
        <v>-381027.10306285491</v>
      </c>
      <c r="N87" s="348">
        <f>SUM($B$86:N86)</f>
        <v>-387050.95145539771</v>
      </c>
      <c r="O87" s="348">
        <f>SUM($B$86:O86)</f>
        <v>-394099.46451637847</v>
      </c>
      <c r="P87" s="348">
        <f>SUM($B$86:P86)</f>
        <v>-400194.52726288629</v>
      </c>
      <c r="Q87" s="348">
        <f>SUM($B$86:Q86)</f>
        <v>-405465.11264202418</v>
      </c>
      <c r="R87" s="348">
        <f>SUM($B$86:R86)</f>
        <v>-410022.7474678015</v>
      </c>
      <c r="S87" s="348">
        <f>SUM($B$86:S86)</f>
        <v>-413963.87235449028</v>
      </c>
      <c r="T87" s="348">
        <f>SUM($B$86:T86)</f>
        <v>-417371.88242248172</v>
      </c>
      <c r="U87" s="348">
        <f>SUM($B$86:U86)</f>
        <v>-420318.89195845439</v>
      </c>
      <c r="V87" s="348">
        <f>SUM($B$86:V86)</f>
        <v>-422867.26037047396</v>
      </c>
      <c r="W87" s="348">
        <f>SUM($B$86:W86)</f>
        <v>-425070.91172758961</v>
      </c>
      <c r="X87" s="348">
        <f>SUM($B$86:X86)</f>
        <v>-426976.47580569296</v>
      </c>
      <c r="Y87" s="348">
        <f>SUM($B$86:Y86)</f>
        <v>-428624.27478443459</v>
      </c>
      <c r="Z87" s="348">
        <f>SUM($B$86:Z86)</f>
        <v>-430049.17647393566</v>
      </c>
      <c r="AA87" s="348">
        <f>SUM($B$86:AA86)</f>
        <v>-431281.33212576975</v>
      </c>
      <c r="AB87" s="348">
        <f>SUM($B$86:AB86)</f>
        <v>-432346.8144404678</v>
      </c>
      <c r="AC87" s="348">
        <f>SUM($B$86:AC86)</f>
        <v>-433268.16927193286</v>
      </c>
      <c r="AD87" s="348">
        <f>SUM($B$86:AD86)</f>
        <v>-434064.89270295907</v>
      </c>
      <c r="AE87" s="348">
        <f>SUM($B$86:AE86)</f>
        <v>-434753.8435868838</v>
      </c>
      <c r="AF87" s="348">
        <f>SUM($B$86:AF86)</f>
        <v>-435349.60028485022</v>
      </c>
      <c r="AG87" s="348">
        <f>SUM($B$86:AG86)</f>
        <v>-435864.76914732408</v>
      </c>
      <c r="AH87" s="348">
        <f>SUM($B$86:AH86)</f>
        <v>-436310.25126740523</v>
      </c>
      <c r="AI87" s="348">
        <f>SUM($B$86:AI86)</f>
        <v>-436695.47315049614</v>
      </c>
      <c r="AJ87" s="348">
        <f>SUM($B$86:AJ86)</f>
        <v>-437028.58618135151</v>
      </c>
      <c r="AK87" s="348">
        <f>SUM($B$86:AK86)</f>
        <v>-437316.63910927792</v>
      </c>
      <c r="AL87" s="348">
        <f>SUM($B$86:AL86)</f>
        <v>-437565.72720131057</v>
      </c>
      <c r="AM87" s="348">
        <f>SUM($B$86:AM86)</f>
        <v>-437781.1212194832</v>
      </c>
      <c r="AN87" s="348">
        <f>SUM($B$86:AN86)</f>
        <v>-437967.3789513802</v>
      </c>
      <c r="AO87" s="348">
        <f>SUM($B$86:AO86)</f>
        <v>-438128.44165398326</v>
      </c>
      <c r="AP87" s="348">
        <f>SUM($B$86:AP86)</f>
        <v>-438267.71745158685</v>
      </c>
    </row>
    <row r="88" spans="1:45" ht="14.25" x14ac:dyDescent="0.2">
      <c r="A88" s="216"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6"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7" t="s">
        <v>542</v>
      </c>
      <c r="B97" s="487"/>
      <c r="C97" s="487"/>
      <c r="D97" s="487"/>
      <c r="E97" s="487"/>
      <c r="F97" s="487"/>
      <c r="G97" s="487"/>
      <c r="H97" s="487"/>
      <c r="I97" s="487"/>
      <c r="J97" s="487"/>
      <c r="K97" s="487"/>
      <c r="L97" s="487"/>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-1066130.0143153288</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-1066130.0143153288</v>
      </c>
      <c r="AR99" s="236"/>
      <c r="AS99" s="236"/>
    </row>
    <row r="100" spans="1:71" s="240" customFormat="1" x14ac:dyDescent="0.2">
      <c r="A100" s="238">
        <f>AQ99</f>
        <v>-1066130.0143153288</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-438267.71745158685</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2">
        <f>(A101+-A100)/-A100</f>
        <v>0.58891719436954093</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3" t="s">
        <v>545</v>
      </c>
      <c r="B104" s="353" t="s">
        <v>546</v>
      </c>
      <c r="C104" s="353" t="s">
        <v>547</v>
      </c>
      <c r="D104" s="353"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4">
        <f>G30/1000/1000</f>
        <v>-0.37409716401962478</v>
      </c>
      <c r="B105" s="355">
        <f>L88</f>
        <v>0</v>
      </c>
      <c r="C105" s="356" t="str">
        <f>G28</f>
        <v>не окупается</v>
      </c>
      <c r="D105" s="356"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0"/>
      <c r="AU107" s="240"/>
      <c r="AV107" s="240"/>
      <c r="AW107" s="240"/>
      <c r="AX107" s="240"/>
      <c r="AY107" s="240"/>
      <c r="AZ107" s="240"/>
      <c r="BA107" s="240"/>
      <c r="BB107" s="240"/>
      <c r="BC107" s="240"/>
      <c r="BD107" s="240"/>
      <c r="BE107" s="240"/>
      <c r="BF107" s="240"/>
      <c r="BG107" s="240"/>
    </row>
    <row r="108" spans="1:71" ht="12.75" x14ac:dyDescent="0.2">
      <c r="A108" s="360" t="s">
        <v>550</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0"/>
      <c r="AU108" s="240"/>
      <c r="AV108" s="240"/>
      <c r="AW108" s="240"/>
      <c r="AX108" s="240"/>
      <c r="AY108" s="240"/>
      <c r="AZ108" s="240"/>
      <c r="BA108" s="240"/>
      <c r="BB108" s="240"/>
      <c r="BC108" s="240"/>
      <c r="BD108" s="240"/>
      <c r="BE108" s="240"/>
      <c r="BF108" s="240"/>
      <c r="BG108" s="240"/>
    </row>
    <row r="109" spans="1:71" ht="12.75" x14ac:dyDescent="0.2">
      <c r="A109" s="360" t="s">
        <v>551</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0"/>
      <c r="AU109" s="240"/>
      <c r="AV109" s="240"/>
      <c r="AW109" s="240"/>
      <c r="AX109" s="240"/>
      <c r="AY109" s="240"/>
      <c r="AZ109" s="240"/>
      <c r="BA109" s="240"/>
      <c r="BB109" s="240"/>
      <c r="BC109" s="240"/>
      <c r="BD109" s="240"/>
      <c r="BE109" s="240"/>
      <c r="BF109" s="240"/>
      <c r="BG109" s="240"/>
    </row>
    <row r="110" spans="1:71" ht="12.75" x14ac:dyDescent="0.2">
      <c r="A110" s="360" t="s">
        <v>552</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0"/>
      <c r="AU110" s="240"/>
      <c r="AV110" s="240"/>
      <c r="AW110" s="240"/>
      <c r="AX110" s="240"/>
      <c r="AY110" s="240"/>
      <c r="AZ110" s="240"/>
      <c r="BA110" s="240"/>
      <c r="BB110" s="240"/>
      <c r="BC110" s="240"/>
      <c r="BD110" s="240"/>
      <c r="BE110" s="240"/>
      <c r="BF110" s="240"/>
      <c r="BG110" s="240"/>
    </row>
    <row r="111" spans="1:71" ht="12.75" x14ac:dyDescent="0.2">
      <c r="A111" s="360" t="s">
        <v>553</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0"/>
      <c r="AU111" s="240"/>
      <c r="AV111" s="240"/>
      <c r="AW111" s="240"/>
      <c r="AX111" s="240"/>
      <c r="AY111" s="240"/>
      <c r="AZ111" s="240"/>
      <c r="BA111" s="240"/>
      <c r="BB111" s="240"/>
      <c r="BC111" s="240"/>
      <c r="BD111" s="240"/>
      <c r="BE111" s="240"/>
      <c r="BF111" s="240"/>
      <c r="BG111" s="240"/>
    </row>
    <row r="112" spans="1:71" ht="12.75" x14ac:dyDescent="0.2">
      <c r="A112" s="360" t="s">
        <v>554</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0"/>
      <c r="AU112" s="240"/>
      <c r="AV112" s="240"/>
      <c r="AW112" s="240"/>
      <c r="AX112" s="240"/>
      <c r="AY112" s="240"/>
      <c r="AZ112" s="240"/>
      <c r="BA112" s="240"/>
      <c r="BB112" s="240"/>
      <c r="BC112" s="240"/>
      <c r="BD112" s="240"/>
      <c r="BE112" s="240"/>
      <c r="BF112" s="240"/>
      <c r="BG112" s="240"/>
    </row>
    <row r="113" spans="1:71" ht="15" x14ac:dyDescent="0.2">
      <c r="A113" s="363" t="s">
        <v>555</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7"/>
      <c r="B116" s="488" t="s">
        <v>556</v>
      </c>
      <c r="C116" s="489"/>
      <c r="D116" s="488" t="s">
        <v>557</v>
      </c>
      <c r="E116" s="489"/>
      <c r="F116" s="357"/>
      <c r="G116" s="357"/>
      <c r="H116" s="357"/>
      <c r="I116" s="357"/>
      <c r="J116" s="357"/>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0" t="s">
        <v>558</v>
      </c>
      <c r="B117" s="366"/>
      <c r="C117" s="357" t="s">
        <v>559</v>
      </c>
      <c r="D117" s="366"/>
      <c r="E117" s="357" t="s">
        <v>559</v>
      </c>
      <c r="F117" s="357"/>
      <c r="G117" s="357"/>
      <c r="H117" s="357"/>
      <c r="I117" s="357"/>
      <c r="J117" s="357"/>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0" t="s">
        <v>558</v>
      </c>
      <c r="B118" s="357">
        <f>$B$110*B117</f>
        <v>0</v>
      </c>
      <c r="C118" s="357" t="s">
        <v>126</v>
      </c>
      <c r="D118" s="357">
        <f>$B$110*D117</f>
        <v>0</v>
      </c>
      <c r="E118" s="357" t="s">
        <v>126</v>
      </c>
      <c r="F118" s="360" t="s">
        <v>560</v>
      </c>
      <c r="G118" s="357">
        <f>D117-B117</f>
        <v>0</v>
      </c>
      <c r="H118" s="357" t="s">
        <v>559</v>
      </c>
      <c r="I118" s="367">
        <f>$B$110*G118</f>
        <v>0</v>
      </c>
      <c r="J118" s="357"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7"/>
      <c r="B119" s="357"/>
      <c r="C119" s="357"/>
      <c r="D119" s="357"/>
      <c r="E119" s="357"/>
      <c r="F119" s="360" t="s">
        <v>561</v>
      </c>
      <c r="G119" s="357">
        <f>I119/$B$110</f>
        <v>0</v>
      </c>
      <c r="H119" s="357" t="s">
        <v>559</v>
      </c>
      <c r="I119" s="366"/>
      <c r="J119" s="357"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8"/>
      <c r="B120" s="369"/>
      <c r="C120" s="369"/>
      <c r="D120" s="369"/>
      <c r="E120" s="369"/>
      <c r="F120" s="370" t="s">
        <v>562</v>
      </c>
      <c r="G120" s="367">
        <f>G118</f>
        <v>0</v>
      </c>
      <c r="H120" s="357" t="s">
        <v>559</v>
      </c>
      <c r="I120" s="362">
        <f>I118</f>
        <v>0</v>
      </c>
      <c r="J120" s="357"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1" t="s">
        <v>563</v>
      </c>
      <c r="B122" s="372">
        <v>2.4674700000000001</v>
      </c>
      <c r="C122" s="245" t="s">
        <v>683</v>
      </c>
      <c r="D122" s="480" t="s">
        <v>340</v>
      </c>
      <c r="E122" s="321" t="s">
        <v>641</v>
      </c>
      <c r="F122" s="322">
        <v>35</v>
      </c>
      <c r="G122" s="481" t="s">
        <v>642</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1" t="s">
        <v>340</v>
      </c>
      <c r="B123" s="373">
        <v>30</v>
      </c>
      <c r="C123" s="245"/>
      <c r="D123" s="480"/>
      <c r="E123" s="321" t="s">
        <v>638</v>
      </c>
      <c r="F123" s="322">
        <v>30</v>
      </c>
      <c r="G123" s="481"/>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1" t="s">
        <v>564</v>
      </c>
      <c r="B124" s="373" t="s">
        <v>532</v>
      </c>
      <c r="C124" s="248" t="s">
        <v>565</v>
      </c>
      <c r="D124" s="480"/>
      <c r="E124" s="321" t="s">
        <v>643</v>
      </c>
      <c r="F124" s="322">
        <v>30</v>
      </c>
      <c r="G124" s="481"/>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80"/>
      <c r="E125" s="321" t="s">
        <v>644</v>
      </c>
      <c r="F125" s="322">
        <v>30</v>
      </c>
      <c r="G125" s="481"/>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1" t="s">
        <v>566</v>
      </c>
      <c r="B126" s="374">
        <f>$B$122*1000*1000</f>
        <v>2467470.0000000005</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1" t="s">
        <v>567</v>
      </c>
      <c r="B127" s="37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1" t="s">
        <v>568</v>
      </c>
      <c r="B129" s="37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645</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1" t="s">
        <v>569</v>
      </c>
      <c r="C134" s="250" t="s">
        <v>646</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570</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4" customFormat="1" ht="15" x14ac:dyDescent="0.2">
      <c r="A137" s="371" t="s">
        <v>571</v>
      </c>
      <c r="B137" s="327"/>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60" workbookViewId="0">
      <selection activeCell="J35" sqref="J35"/>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5" t="str">
        <f>'2. паспорт  ТП'!A4:S4</f>
        <v>Год раскрытия информации: 2023 год</v>
      </c>
      <c r="B5" s="415"/>
      <c r="C5" s="415"/>
      <c r="D5" s="415"/>
      <c r="E5" s="415"/>
      <c r="F5" s="415"/>
      <c r="G5" s="415"/>
      <c r="H5" s="415"/>
      <c r="I5" s="415"/>
      <c r="J5" s="415"/>
      <c r="K5" s="415"/>
      <c r="L5" s="41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8" t="s">
        <v>7</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row>
    <row r="10" spans="1:44" x14ac:dyDescent="0.25">
      <c r="A10" s="424" t="s">
        <v>6</v>
      </c>
      <c r="B10" s="424"/>
      <c r="C10" s="424"/>
      <c r="D10" s="424"/>
      <c r="E10" s="424"/>
      <c r="F10" s="424"/>
      <c r="G10" s="424"/>
      <c r="H10" s="424"/>
      <c r="I10" s="424"/>
      <c r="J10" s="424"/>
      <c r="K10" s="424"/>
      <c r="L10" s="424"/>
    </row>
    <row r="11" spans="1:44" ht="18.75" x14ac:dyDescent="0.25">
      <c r="A11" s="428"/>
      <c r="B11" s="428"/>
      <c r="C11" s="428"/>
      <c r="D11" s="428"/>
      <c r="E11" s="428"/>
      <c r="F11" s="428"/>
      <c r="G11" s="428"/>
      <c r="H11" s="428"/>
      <c r="I11" s="428"/>
      <c r="J11" s="428"/>
      <c r="K11" s="428"/>
      <c r="L11" s="428"/>
    </row>
    <row r="12" spans="1:44" x14ac:dyDescent="0.25">
      <c r="A12" s="422" t="str">
        <f>'1. паспорт местоположение'!A12:C12</f>
        <v>M_21-1789</v>
      </c>
      <c r="B12" s="422"/>
      <c r="C12" s="422"/>
      <c r="D12" s="422"/>
      <c r="E12" s="422"/>
      <c r="F12" s="422"/>
      <c r="G12" s="422"/>
      <c r="H12" s="422"/>
      <c r="I12" s="422"/>
      <c r="J12" s="422"/>
      <c r="K12" s="422"/>
      <c r="L12" s="422"/>
    </row>
    <row r="13" spans="1:44" x14ac:dyDescent="0.25">
      <c r="A13" s="424" t="s">
        <v>5</v>
      </c>
      <c r="B13" s="424"/>
      <c r="C13" s="424"/>
      <c r="D13" s="424"/>
      <c r="E13" s="424"/>
      <c r="F13" s="424"/>
      <c r="G13" s="424"/>
      <c r="H13" s="424"/>
      <c r="I13" s="424"/>
      <c r="J13" s="424"/>
      <c r="K13" s="424"/>
      <c r="L13" s="424"/>
    </row>
    <row r="14" spans="1:44" ht="18.75" x14ac:dyDescent="0.25">
      <c r="A14" s="429"/>
      <c r="B14" s="429"/>
      <c r="C14" s="429"/>
      <c r="D14" s="429"/>
      <c r="E14" s="429"/>
      <c r="F14" s="429"/>
      <c r="G14" s="429"/>
      <c r="H14" s="429"/>
      <c r="I14" s="429"/>
      <c r="J14" s="429"/>
      <c r="K14" s="429"/>
      <c r="L14" s="429"/>
    </row>
    <row r="15" spans="1:44" x14ac:dyDescent="0.25">
      <c r="A15" s="422" t="str">
        <f>'1. паспорт местоположение'!A15</f>
        <v>Переустройство ВЛ 15-180 (инв.511543602), ВЛ 0,4 кВ от ТП 180-01 (инв.511539903, 511539905) в п. Шоссейное, ул. Лесная Гурьевский ГО</v>
      </c>
      <c r="B15" s="422"/>
      <c r="C15" s="422"/>
      <c r="D15" s="422"/>
      <c r="E15" s="422"/>
      <c r="F15" s="422"/>
      <c r="G15" s="422"/>
      <c r="H15" s="422"/>
      <c r="I15" s="422"/>
      <c r="J15" s="422"/>
      <c r="K15" s="422"/>
      <c r="L15" s="422"/>
    </row>
    <row r="16" spans="1:44" x14ac:dyDescent="0.25">
      <c r="A16" s="424" t="s">
        <v>4</v>
      </c>
      <c r="B16" s="424"/>
      <c r="C16" s="424"/>
      <c r="D16" s="424"/>
      <c r="E16" s="424"/>
      <c r="F16" s="424"/>
      <c r="G16" s="424"/>
      <c r="H16" s="424"/>
      <c r="I16" s="424"/>
      <c r="J16" s="424"/>
      <c r="K16" s="424"/>
      <c r="L16" s="424"/>
    </row>
    <row r="17" spans="1:12" ht="15.75" customHeight="1" x14ac:dyDescent="0.25">
      <c r="L17" s="97"/>
    </row>
    <row r="18" spans="1:12" x14ac:dyDescent="0.25">
      <c r="K18" s="96"/>
    </row>
    <row r="19" spans="1:12" ht="15.75" customHeight="1" x14ac:dyDescent="0.25">
      <c r="A19" s="490" t="s">
        <v>495</v>
      </c>
      <c r="B19" s="490"/>
      <c r="C19" s="490"/>
      <c r="D19" s="490"/>
      <c r="E19" s="490"/>
      <c r="F19" s="490"/>
      <c r="G19" s="490"/>
      <c r="H19" s="490"/>
      <c r="I19" s="490"/>
      <c r="J19" s="490"/>
      <c r="K19" s="490"/>
      <c r="L19" s="490"/>
    </row>
    <row r="20" spans="1:12" x14ac:dyDescent="0.25">
      <c r="A20" s="65"/>
      <c r="B20" s="65"/>
      <c r="C20" s="95"/>
      <c r="D20" s="95"/>
      <c r="E20" s="95"/>
      <c r="F20" s="95"/>
      <c r="G20" s="95"/>
      <c r="H20" s="95"/>
      <c r="I20" s="95"/>
      <c r="J20" s="95"/>
      <c r="K20" s="95"/>
      <c r="L20" s="95"/>
    </row>
    <row r="21" spans="1:12" ht="28.5" customHeight="1" x14ac:dyDescent="0.25">
      <c r="A21" s="491" t="s">
        <v>218</v>
      </c>
      <c r="B21" s="491" t="s">
        <v>217</v>
      </c>
      <c r="C21" s="497" t="s">
        <v>427</v>
      </c>
      <c r="D21" s="497"/>
      <c r="E21" s="497"/>
      <c r="F21" s="497"/>
      <c r="G21" s="497"/>
      <c r="H21" s="497"/>
      <c r="I21" s="492" t="s">
        <v>216</v>
      </c>
      <c r="J21" s="494" t="s">
        <v>429</v>
      </c>
      <c r="K21" s="491" t="s">
        <v>215</v>
      </c>
      <c r="L21" s="493" t="s">
        <v>428</v>
      </c>
    </row>
    <row r="22" spans="1:12" ht="58.5" customHeight="1" x14ac:dyDescent="0.25">
      <c r="A22" s="491"/>
      <c r="B22" s="491"/>
      <c r="C22" s="498" t="s">
        <v>2</v>
      </c>
      <c r="D22" s="498"/>
      <c r="E22" s="499" t="s">
        <v>636</v>
      </c>
      <c r="F22" s="500"/>
      <c r="G22" s="499" t="s">
        <v>639</v>
      </c>
      <c r="H22" s="500"/>
      <c r="I22" s="492"/>
      <c r="J22" s="495"/>
      <c r="K22" s="491"/>
      <c r="L22" s="493"/>
    </row>
    <row r="23" spans="1:12" ht="31.5" x14ac:dyDescent="0.25">
      <c r="A23" s="491"/>
      <c r="B23" s="491"/>
      <c r="C23" s="94" t="s">
        <v>214</v>
      </c>
      <c r="D23" s="94" t="s">
        <v>213</v>
      </c>
      <c r="E23" s="94" t="s">
        <v>214</v>
      </c>
      <c r="F23" s="94" t="s">
        <v>213</v>
      </c>
      <c r="G23" s="94" t="s">
        <v>214</v>
      </c>
      <c r="H23" s="94" t="s">
        <v>213</v>
      </c>
      <c r="I23" s="492"/>
      <c r="J23" s="496"/>
      <c r="K23" s="491"/>
      <c r="L23" s="493"/>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637</v>
      </c>
      <c r="D26" s="305" t="s">
        <v>637</v>
      </c>
      <c r="E26" s="305" t="s">
        <v>531</v>
      </c>
      <c r="F26" s="305" t="s">
        <v>531</v>
      </c>
      <c r="G26" s="305" t="s">
        <v>531</v>
      </c>
      <c r="H26" s="305" t="s">
        <v>531</v>
      </c>
      <c r="I26" s="305"/>
      <c r="J26" s="305"/>
      <c r="K26" s="86"/>
      <c r="L26" s="86"/>
    </row>
    <row r="27" spans="1:12" s="68" customFormat="1" ht="39" customHeight="1" x14ac:dyDescent="0.25">
      <c r="A27" s="89" t="s">
        <v>210</v>
      </c>
      <c r="B27" s="93" t="s">
        <v>436</v>
      </c>
      <c r="C27" s="87" t="s">
        <v>637</v>
      </c>
      <c r="D27" s="305" t="s">
        <v>637</v>
      </c>
      <c r="E27" s="305" t="s">
        <v>531</v>
      </c>
      <c r="F27" s="305" t="s">
        <v>531</v>
      </c>
      <c r="G27" s="305" t="s">
        <v>531</v>
      </c>
      <c r="H27" s="305" t="s">
        <v>531</v>
      </c>
      <c r="I27" s="305"/>
      <c r="J27" s="305"/>
      <c r="K27" s="86"/>
      <c r="L27" s="86"/>
    </row>
    <row r="28" spans="1:12" s="68" customFormat="1" ht="70.5" customHeight="1" x14ac:dyDescent="0.25">
      <c r="A28" s="89" t="s">
        <v>435</v>
      </c>
      <c r="B28" s="93" t="s">
        <v>440</v>
      </c>
      <c r="C28" s="87" t="s">
        <v>637</v>
      </c>
      <c r="D28" s="305" t="s">
        <v>637</v>
      </c>
      <c r="E28" s="305" t="s">
        <v>531</v>
      </c>
      <c r="F28" s="305" t="s">
        <v>531</v>
      </c>
      <c r="G28" s="305" t="s">
        <v>531</v>
      </c>
      <c r="H28" s="305" t="s">
        <v>531</v>
      </c>
      <c r="I28" s="305"/>
      <c r="J28" s="305"/>
      <c r="K28" s="86"/>
      <c r="L28" s="86"/>
    </row>
    <row r="29" spans="1:12" s="68" customFormat="1" ht="54" customHeight="1" x14ac:dyDescent="0.25">
      <c r="A29" s="89" t="s">
        <v>209</v>
      </c>
      <c r="B29" s="93" t="s">
        <v>439</v>
      </c>
      <c r="C29" s="87" t="s">
        <v>637</v>
      </c>
      <c r="D29" s="305" t="s">
        <v>637</v>
      </c>
      <c r="E29" s="305" t="s">
        <v>531</v>
      </c>
      <c r="F29" s="305" t="s">
        <v>531</v>
      </c>
      <c r="G29" s="305" t="s">
        <v>531</v>
      </c>
      <c r="H29" s="305" t="s">
        <v>531</v>
      </c>
      <c r="I29" s="305"/>
      <c r="J29" s="305"/>
      <c r="K29" s="86"/>
      <c r="L29" s="86"/>
    </row>
    <row r="30" spans="1:12" s="68" customFormat="1" ht="42" customHeight="1" x14ac:dyDescent="0.25">
      <c r="A30" s="89" t="s">
        <v>208</v>
      </c>
      <c r="B30" s="93" t="s">
        <v>441</v>
      </c>
      <c r="C30" s="87" t="s">
        <v>637</v>
      </c>
      <c r="D30" s="305" t="s">
        <v>637</v>
      </c>
      <c r="E30" s="305" t="s">
        <v>531</v>
      </c>
      <c r="F30" s="305" t="s">
        <v>531</v>
      </c>
      <c r="G30" s="305" t="s">
        <v>531</v>
      </c>
      <c r="H30" s="305" t="s">
        <v>531</v>
      </c>
      <c r="I30" s="305"/>
      <c r="J30" s="305"/>
      <c r="K30" s="86"/>
      <c r="L30" s="86"/>
    </row>
    <row r="31" spans="1:12" s="68" customFormat="1" ht="37.5" customHeight="1" x14ac:dyDescent="0.25">
      <c r="A31" s="89" t="s">
        <v>207</v>
      </c>
      <c r="B31" s="88" t="s">
        <v>437</v>
      </c>
      <c r="C31" s="87" t="s">
        <v>637</v>
      </c>
      <c r="D31" s="305" t="s">
        <v>637</v>
      </c>
      <c r="E31" s="306">
        <v>44634</v>
      </c>
      <c r="F31" s="306">
        <v>44634</v>
      </c>
      <c r="G31" s="305" t="s">
        <v>531</v>
      </c>
      <c r="H31" s="305" t="s">
        <v>531</v>
      </c>
      <c r="I31" s="305">
        <v>100</v>
      </c>
      <c r="J31" s="305"/>
      <c r="K31" s="86"/>
      <c r="L31" s="86"/>
    </row>
    <row r="32" spans="1:12" s="68" customFormat="1" ht="31.5" x14ac:dyDescent="0.25">
      <c r="A32" s="89" t="s">
        <v>205</v>
      </c>
      <c r="B32" s="88" t="s">
        <v>442</v>
      </c>
      <c r="C32" s="87" t="s">
        <v>637</v>
      </c>
      <c r="D32" s="305" t="s">
        <v>637</v>
      </c>
      <c r="E32" s="306">
        <v>44914</v>
      </c>
      <c r="F32" s="306">
        <v>44914</v>
      </c>
      <c r="G32" s="306"/>
      <c r="H32" s="306"/>
      <c r="I32" s="305">
        <v>100</v>
      </c>
      <c r="J32" s="305"/>
      <c r="K32" s="86"/>
      <c r="L32" s="86"/>
    </row>
    <row r="33" spans="1:12" s="68" customFormat="1" ht="37.5" customHeight="1" x14ac:dyDescent="0.25">
      <c r="A33" s="89" t="s">
        <v>453</v>
      </c>
      <c r="B33" s="88" t="s">
        <v>369</v>
      </c>
      <c r="C33" s="87" t="s">
        <v>637</v>
      </c>
      <c r="D33" s="305" t="s">
        <v>637</v>
      </c>
      <c r="E33" s="305" t="s">
        <v>531</v>
      </c>
      <c r="F33" s="305" t="s">
        <v>531</v>
      </c>
      <c r="G33" s="305"/>
      <c r="H33" s="305"/>
      <c r="I33" s="305"/>
      <c r="J33" s="305"/>
      <c r="K33" s="86"/>
      <c r="L33" s="86"/>
    </row>
    <row r="34" spans="1:12" s="68" customFormat="1" ht="47.25" customHeight="1" x14ac:dyDescent="0.25">
      <c r="A34" s="89" t="s">
        <v>454</v>
      </c>
      <c r="B34" s="88" t="s">
        <v>446</v>
      </c>
      <c r="C34" s="87" t="s">
        <v>637</v>
      </c>
      <c r="D34" s="305" t="s">
        <v>637</v>
      </c>
      <c r="E34" s="305" t="s">
        <v>531</v>
      </c>
      <c r="F34" s="305" t="s">
        <v>531</v>
      </c>
      <c r="G34" s="305"/>
      <c r="H34" s="305"/>
      <c r="I34" s="305"/>
      <c r="J34" s="305"/>
      <c r="K34" s="91"/>
      <c r="L34" s="86"/>
    </row>
    <row r="35" spans="1:12" s="68" customFormat="1" ht="49.5" customHeight="1" x14ac:dyDescent="0.25">
      <c r="A35" s="89" t="s">
        <v>455</v>
      </c>
      <c r="B35" s="88" t="s">
        <v>206</v>
      </c>
      <c r="C35" s="87" t="s">
        <v>637</v>
      </c>
      <c r="D35" s="305" t="s">
        <v>637</v>
      </c>
      <c r="E35" s="306">
        <v>44936</v>
      </c>
      <c r="F35" s="306">
        <v>44936</v>
      </c>
      <c r="G35" s="306"/>
      <c r="H35" s="306"/>
      <c r="I35" s="305">
        <v>100</v>
      </c>
      <c r="J35" s="305">
        <v>100</v>
      </c>
      <c r="K35" s="91"/>
      <c r="L35" s="86"/>
    </row>
    <row r="36" spans="1:12" ht="37.5" customHeight="1" x14ac:dyDescent="0.25">
      <c r="A36" s="89" t="s">
        <v>456</v>
      </c>
      <c r="B36" s="88" t="s">
        <v>438</v>
      </c>
      <c r="C36" s="87" t="s">
        <v>637</v>
      </c>
      <c r="D36" s="307" t="s">
        <v>637</v>
      </c>
      <c r="E36" s="305" t="s">
        <v>531</v>
      </c>
      <c r="F36" s="305" t="s">
        <v>531</v>
      </c>
      <c r="G36" s="305"/>
      <c r="H36" s="305"/>
      <c r="I36" s="305"/>
      <c r="J36" s="305"/>
      <c r="K36" s="86"/>
      <c r="L36" s="86"/>
    </row>
    <row r="37" spans="1:12" x14ac:dyDescent="0.25">
      <c r="A37" s="89" t="s">
        <v>457</v>
      </c>
      <c r="B37" s="88" t="s">
        <v>204</v>
      </c>
      <c r="C37" s="87" t="s">
        <v>637</v>
      </c>
      <c r="D37" s="307" t="s">
        <v>637</v>
      </c>
      <c r="E37" s="306">
        <v>44914</v>
      </c>
      <c r="F37" s="306">
        <v>44914</v>
      </c>
      <c r="G37" s="306"/>
      <c r="H37" s="306"/>
      <c r="I37" s="305">
        <v>100</v>
      </c>
      <c r="J37" s="305"/>
      <c r="K37" s="86"/>
      <c r="L37" s="86"/>
    </row>
    <row r="38" spans="1:12" x14ac:dyDescent="0.25">
      <c r="A38" s="89" t="s">
        <v>458</v>
      </c>
      <c r="B38" s="90" t="s">
        <v>203</v>
      </c>
      <c r="C38" s="87" t="s">
        <v>637</v>
      </c>
      <c r="D38" s="307" t="s">
        <v>637</v>
      </c>
      <c r="E38" s="307"/>
      <c r="F38" s="307"/>
      <c r="G38" s="307"/>
      <c r="H38" s="307"/>
      <c r="I38" s="307"/>
      <c r="J38" s="307"/>
      <c r="K38" s="86"/>
      <c r="L38" s="86"/>
    </row>
    <row r="39" spans="1:12" ht="63" x14ac:dyDescent="0.25">
      <c r="A39" s="89">
        <v>2</v>
      </c>
      <c r="B39" s="88" t="s">
        <v>443</v>
      </c>
      <c r="C39" s="87" t="s">
        <v>637</v>
      </c>
      <c r="D39" s="307" t="s">
        <v>637</v>
      </c>
      <c r="E39" s="306"/>
      <c r="F39" s="306"/>
      <c r="G39" s="306"/>
      <c r="H39" s="306"/>
      <c r="I39" s="305"/>
      <c r="J39" s="307"/>
      <c r="K39" s="86"/>
      <c r="L39" s="86"/>
    </row>
    <row r="40" spans="1:12" ht="33.75" customHeight="1" x14ac:dyDescent="0.25">
      <c r="A40" s="89" t="s">
        <v>202</v>
      </c>
      <c r="B40" s="88" t="s">
        <v>445</v>
      </c>
      <c r="C40" s="87" t="s">
        <v>637</v>
      </c>
      <c r="D40" s="307" t="s">
        <v>637</v>
      </c>
      <c r="E40" s="305"/>
      <c r="F40" s="305"/>
      <c r="G40" s="306"/>
      <c r="H40" s="306"/>
      <c r="I40" s="305"/>
      <c r="J40" s="307"/>
      <c r="K40" s="86"/>
      <c r="L40" s="86"/>
    </row>
    <row r="41" spans="1:12" ht="63" customHeight="1" x14ac:dyDescent="0.25">
      <c r="A41" s="89" t="s">
        <v>201</v>
      </c>
      <c r="B41" s="90" t="s">
        <v>526</v>
      </c>
      <c r="C41" s="87" t="s">
        <v>637</v>
      </c>
      <c r="D41" s="307" t="s">
        <v>637</v>
      </c>
      <c r="E41" s="307"/>
      <c r="F41" s="307"/>
      <c r="G41" s="307"/>
      <c r="H41" s="307"/>
      <c r="I41" s="307"/>
      <c r="J41" s="307"/>
      <c r="K41" s="86"/>
      <c r="L41" s="86"/>
    </row>
    <row r="42" spans="1:12" ht="58.5" customHeight="1" x14ac:dyDescent="0.25">
      <c r="A42" s="89">
        <v>3</v>
      </c>
      <c r="B42" s="88" t="s">
        <v>444</v>
      </c>
      <c r="C42" s="87" t="s">
        <v>637</v>
      </c>
      <c r="D42" s="307" t="s">
        <v>637</v>
      </c>
      <c r="E42" s="305"/>
      <c r="F42" s="305"/>
      <c r="G42" s="306"/>
      <c r="H42" s="306"/>
      <c r="I42" s="305"/>
      <c r="J42" s="307"/>
      <c r="K42" s="86"/>
      <c r="L42" s="86"/>
    </row>
    <row r="43" spans="1:12" ht="34.5" customHeight="1" x14ac:dyDescent="0.25">
      <c r="A43" s="89" t="s">
        <v>200</v>
      </c>
      <c r="B43" s="88" t="s">
        <v>198</v>
      </c>
      <c r="C43" s="87" t="s">
        <v>637</v>
      </c>
      <c r="D43" s="307" t="s">
        <v>637</v>
      </c>
      <c r="E43" s="305"/>
      <c r="F43" s="305"/>
      <c r="G43" s="306"/>
      <c r="H43" s="308"/>
      <c r="I43" s="305"/>
      <c r="J43" s="307"/>
      <c r="K43" s="86"/>
      <c r="L43" s="86"/>
    </row>
    <row r="44" spans="1:12" ht="24.75" customHeight="1" x14ac:dyDescent="0.25">
      <c r="A44" s="89" t="s">
        <v>199</v>
      </c>
      <c r="B44" s="88" t="s">
        <v>196</v>
      </c>
      <c r="C44" s="87" t="s">
        <v>637</v>
      </c>
      <c r="D44" s="307" t="s">
        <v>637</v>
      </c>
      <c r="E44" s="306"/>
      <c r="F44" s="306"/>
      <c r="G44" s="308"/>
      <c r="H44" s="308"/>
      <c r="I44" s="305"/>
      <c r="J44" s="305"/>
      <c r="K44" s="86"/>
      <c r="L44" s="86"/>
    </row>
    <row r="45" spans="1:12" ht="90.75" customHeight="1" x14ac:dyDescent="0.25">
      <c r="A45" s="89" t="s">
        <v>197</v>
      </c>
      <c r="B45" s="88" t="s">
        <v>449</v>
      </c>
      <c r="C45" s="87" t="s">
        <v>637</v>
      </c>
      <c r="D45" s="307" t="s">
        <v>637</v>
      </c>
      <c r="E45" s="305"/>
      <c r="F45" s="305"/>
      <c r="G45" s="305"/>
      <c r="H45" s="305"/>
      <c r="I45" s="305"/>
      <c r="J45" s="305"/>
      <c r="K45" s="86"/>
      <c r="L45" s="86"/>
    </row>
    <row r="46" spans="1:12" ht="167.25" customHeight="1" x14ac:dyDescent="0.25">
      <c r="A46" s="89" t="s">
        <v>195</v>
      </c>
      <c r="B46" s="88" t="s">
        <v>447</v>
      </c>
      <c r="C46" s="87" t="s">
        <v>637</v>
      </c>
      <c r="D46" s="307" t="s">
        <v>637</v>
      </c>
      <c r="E46" s="305"/>
      <c r="F46" s="305"/>
      <c r="G46" s="305"/>
      <c r="H46" s="305"/>
      <c r="I46" s="305"/>
      <c r="J46" s="305"/>
      <c r="K46" s="86"/>
      <c r="L46" s="86"/>
    </row>
    <row r="47" spans="1:12" ht="30.75" customHeight="1" x14ac:dyDescent="0.25">
      <c r="A47" s="89" t="s">
        <v>193</v>
      </c>
      <c r="B47" s="88" t="s">
        <v>194</v>
      </c>
      <c r="C47" s="87" t="s">
        <v>637</v>
      </c>
      <c r="D47" s="307" t="s">
        <v>637</v>
      </c>
      <c r="E47" s="308"/>
      <c r="F47" s="308"/>
      <c r="G47" s="308"/>
      <c r="H47" s="308"/>
      <c r="I47" s="305"/>
      <c r="J47" s="305"/>
      <c r="K47" s="86"/>
      <c r="L47" s="86"/>
    </row>
    <row r="48" spans="1:12" ht="37.5" customHeight="1" x14ac:dyDescent="0.25">
      <c r="A48" s="89" t="s">
        <v>459</v>
      </c>
      <c r="B48" s="90" t="s">
        <v>192</v>
      </c>
      <c r="C48" s="87" t="s">
        <v>637</v>
      </c>
      <c r="D48" s="307" t="s">
        <v>637</v>
      </c>
      <c r="E48" s="307"/>
      <c r="F48" s="307"/>
      <c r="G48" s="307"/>
      <c r="H48" s="307"/>
      <c r="I48" s="307"/>
      <c r="J48" s="307"/>
      <c r="K48" s="86"/>
      <c r="L48" s="86"/>
    </row>
    <row r="49" spans="1:12" ht="35.25" customHeight="1" x14ac:dyDescent="0.25">
      <c r="A49" s="89">
        <v>4</v>
      </c>
      <c r="B49" s="88" t="s">
        <v>190</v>
      </c>
      <c r="C49" s="87" t="s">
        <v>637</v>
      </c>
      <c r="D49" s="307" t="s">
        <v>637</v>
      </c>
      <c r="E49" s="308"/>
      <c r="F49" s="308"/>
      <c r="G49" s="308"/>
      <c r="H49" s="308"/>
      <c r="I49" s="305"/>
      <c r="J49" s="305"/>
      <c r="K49" s="86"/>
      <c r="L49" s="86"/>
    </row>
    <row r="50" spans="1:12" ht="86.25" customHeight="1" x14ac:dyDescent="0.25">
      <c r="A50" s="89" t="s">
        <v>191</v>
      </c>
      <c r="B50" s="88" t="s">
        <v>448</v>
      </c>
      <c r="C50" s="87" t="s">
        <v>637</v>
      </c>
      <c r="D50" s="307" t="s">
        <v>637</v>
      </c>
      <c r="E50" s="306"/>
      <c r="F50" s="306"/>
      <c r="G50" s="308"/>
      <c r="H50" s="308"/>
      <c r="I50" s="305"/>
      <c r="J50" s="305"/>
      <c r="K50" s="86"/>
      <c r="L50" s="86"/>
    </row>
    <row r="51" spans="1:12" ht="77.25" customHeight="1" x14ac:dyDescent="0.25">
      <c r="A51" s="89" t="s">
        <v>189</v>
      </c>
      <c r="B51" s="88" t="s">
        <v>450</v>
      </c>
      <c r="C51" s="87" t="s">
        <v>637</v>
      </c>
      <c r="D51" s="307" t="s">
        <v>637</v>
      </c>
      <c r="E51" s="305"/>
      <c r="F51" s="305"/>
      <c r="G51" s="308"/>
      <c r="H51" s="308"/>
      <c r="I51" s="307"/>
      <c r="J51" s="307"/>
      <c r="K51" s="86"/>
      <c r="L51" s="86"/>
    </row>
    <row r="52" spans="1:12" ht="71.25" customHeight="1" x14ac:dyDescent="0.25">
      <c r="A52" s="89" t="s">
        <v>187</v>
      </c>
      <c r="B52" s="88" t="s">
        <v>188</v>
      </c>
      <c r="C52" s="87" t="s">
        <v>637</v>
      </c>
      <c r="D52" s="307" t="s">
        <v>637</v>
      </c>
      <c r="E52" s="305"/>
      <c r="F52" s="305"/>
      <c r="G52" s="308"/>
      <c r="H52" s="308"/>
      <c r="I52" s="307"/>
      <c r="J52" s="307"/>
      <c r="K52" s="86"/>
      <c r="L52" s="86"/>
    </row>
    <row r="53" spans="1:12" ht="48" customHeight="1" x14ac:dyDescent="0.25">
      <c r="A53" s="89" t="s">
        <v>185</v>
      </c>
      <c r="B53" s="150" t="s">
        <v>451</v>
      </c>
      <c r="C53" s="87" t="s">
        <v>637</v>
      </c>
      <c r="D53" s="307" t="s">
        <v>637</v>
      </c>
      <c r="E53" s="306"/>
      <c r="F53" s="306"/>
      <c r="G53" s="308"/>
      <c r="H53" s="308"/>
      <c r="I53" s="305"/>
      <c r="J53" s="305"/>
      <c r="K53" s="86"/>
      <c r="L53" s="86"/>
    </row>
    <row r="54" spans="1:12" ht="46.5" customHeight="1" x14ac:dyDescent="0.25">
      <c r="A54" s="89" t="s">
        <v>452</v>
      </c>
      <c r="B54" s="88" t="s">
        <v>186</v>
      </c>
      <c r="C54" s="87" t="s">
        <v>637</v>
      </c>
      <c r="D54" s="307" t="s">
        <v>637</v>
      </c>
      <c r="E54" s="305"/>
      <c r="F54" s="305"/>
      <c r="G54" s="308"/>
      <c r="H54" s="308"/>
      <c r="I54" s="307"/>
      <c r="J54" s="307"/>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2023-05-02T12:16:41Z</dcterms:modified>
</cp:coreProperties>
</file>