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435" tabRatio="856"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workbook>
</file>

<file path=xl/calcChain.xml><?xml version="1.0" encoding="utf-8"?>
<calcChain xmlns="http://schemas.openxmlformats.org/spreadsheetml/2006/main">
  <c r="R26" i="5" l="1"/>
  <c r="AD26" i="5" l="1"/>
  <c r="AE26" i="5" s="1"/>
  <c r="AB26" i="5"/>
  <c r="AD30" i="5" l="1"/>
  <c r="B29" i="53" s="1"/>
  <c r="I26" i="5" l="1"/>
  <c r="C23" i="6" l="1"/>
  <c r="K26" i="5"/>
  <c r="Q26" i="14" l="1"/>
  <c r="B92" i="53" l="1"/>
  <c r="U52" i="15"/>
  <c r="W52" i="15" s="1"/>
  <c r="K30" i="15"/>
  <c r="L30" i="15"/>
  <c r="M30" i="15"/>
  <c r="N30" i="15"/>
  <c r="O30" i="15"/>
  <c r="P30" i="15"/>
  <c r="A15" i="56"/>
  <c r="A12" i="56"/>
  <c r="A9" i="56"/>
  <c r="A5" i="56"/>
  <c r="E141" i="56"/>
  <c r="D141" i="56"/>
  <c r="C141" i="56"/>
  <c r="B141" i="56"/>
  <c r="E140" i="56"/>
  <c r="D139" i="56"/>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E135" i="56"/>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D135" i="56" s="1"/>
  <c r="G119" i="56"/>
  <c r="G118" i="56"/>
  <c r="D118" i="56"/>
  <c r="B118" i="56"/>
  <c r="B112" i="56"/>
  <c r="O107" i="56"/>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H107" i="56" s="1"/>
  <c r="I107" i="56" s="1"/>
  <c r="J107" i="56" s="1"/>
  <c r="K107" i="56" s="1"/>
  <c r="L107" i="56" s="1"/>
  <c r="M107" i="56" s="1"/>
  <c r="N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6" i="56" s="1"/>
  <c r="B44" i="56"/>
  <c r="B27" i="56"/>
  <c r="B49" i="56" l="1"/>
  <c r="C49" i="56"/>
  <c r="D49" i="56"/>
  <c r="C74" i="56"/>
  <c r="D58" i="56"/>
  <c r="C52" i="56"/>
  <c r="L137" i="56"/>
  <c r="I118" i="56"/>
  <c r="I120" i="56" s="1"/>
  <c r="C109" i="56" s="1"/>
  <c r="G120" i="56"/>
  <c r="F141" i="56"/>
  <c r="F140" i="56"/>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U63" i="15" l="1"/>
  <c r="S24" i="15"/>
  <c r="R24" i="15"/>
  <c r="Q24" i="15"/>
  <c r="P24" i="15"/>
  <c r="O24" i="15"/>
  <c r="N24" i="15"/>
  <c r="M24" i="15"/>
  <c r="L24" i="15"/>
  <c r="K24" i="15"/>
  <c r="J24" i="15"/>
  <c r="U24" i="15" s="1"/>
  <c r="W24" i="15" s="1"/>
  <c r="B126" i="56" s="1"/>
  <c r="B25" i="56" s="1"/>
  <c r="I24" i="15"/>
  <c r="H24" i="15"/>
  <c r="T24" i="15" s="1"/>
  <c r="S30" i="15"/>
  <c r="R30" i="15"/>
  <c r="Q30" i="15"/>
  <c r="J30" i="15"/>
  <c r="I30" i="15"/>
  <c r="H30" i="15"/>
  <c r="T30" i="15" s="1"/>
  <c r="C67" i="56" l="1"/>
  <c r="B54" i="56"/>
  <c r="B50" i="56"/>
  <c r="B59" i="56" s="1"/>
  <c r="B81" i="56"/>
  <c r="B29" i="56"/>
  <c r="U30" i="15"/>
  <c r="W30" i="15" s="1"/>
  <c r="B22" i="53"/>
  <c r="B55" i="56" l="1"/>
  <c r="B56" i="56" s="1"/>
  <c r="B69" i="56" s="1"/>
  <c r="B77" i="56" s="1"/>
  <c r="B82" i="56"/>
  <c r="C53" i="56"/>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79" i="53" l="1"/>
  <c r="B34" i="53"/>
  <c r="C79" i="56"/>
  <c r="D79" i="56" s="1"/>
  <c r="E79" i="56" s="1"/>
  <c r="F79" i="56" s="1"/>
  <c r="C55" i="56"/>
  <c r="C82" i="56" s="1"/>
  <c r="E67" i="56"/>
  <c r="E68" i="56" s="1"/>
  <c r="E75" i="56" s="1"/>
  <c r="D76" i="56"/>
  <c r="B86" i="53"/>
  <c r="B60" i="53"/>
  <c r="B82" i="53"/>
  <c r="B64" i="53"/>
  <c r="B68" i="53"/>
  <c r="D68" i="56"/>
  <c r="D75" i="56" s="1"/>
  <c r="B75" i="56"/>
  <c r="B70" i="56"/>
  <c r="C60" i="56"/>
  <c r="C66" i="56" s="1"/>
  <c r="C68" i="56" s="1"/>
  <c r="S26" i="14"/>
  <c r="C40" i="7" s="1"/>
  <c r="C56" i="56" l="1"/>
  <c r="C69" i="56" s="1"/>
  <c r="C77" i="56" s="1"/>
  <c r="D53" i="56"/>
  <c r="B24" i="53"/>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C70" i="56"/>
  <c r="C71" i="56" s="1"/>
  <c r="C72" i="56" s="1"/>
  <c r="S24" i="12"/>
  <c r="J24" i="12"/>
  <c r="I24" i="12"/>
  <c r="H24" i="12"/>
  <c r="D55" i="56" l="1"/>
  <c r="E53" i="56" s="1"/>
  <c r="G76" i="56"/>
  <c r="H67" i="56"/>
  <c r="G68" i="56"/>
  <c r="G75" i="56" s="1"/>
  <c r="B72" i="56"/>
  <c r="C78" i="56"/>
  <c r="C83" i="56" s="1"/>
  <c r="C86" i="56" s="1"/>
  <c r="B84" i="56"/>
  <c r="B89" i="56" s="1"/>
  <c r="B88" i="56"/>
  <c r="B86" i="56"/>
  <c r="B87" i="56" s="1"/>
  <c r="B90" i="56" s="1"/>
  <c r="C49" i="7"/>
  <c r="D24" i="15"/>
  <c r="E24" i="15"/>
  <c r="F24" i="15"/>
  <c r="C24" i="15"/>
  <c r="A5" i="53"/>
  <c r="E55" i="56" l="1"/>
  <c r="F53" i="56" s="1"/>
  <c r="F55" i="56" s="1"/>
  <c r="F56" i="56" s="1"/>
  <c r="F69" i="56" s="1"/>
  <c r="D56" i="56"/>
  <c r="D69" i="56" s="1"/>
  <c r="D82" i="56"/>
  <c r="C84" i="56"/>
  <c r="C89" i="56" s="1"/>
  <c r="H76" i="56"/>
  <c r="I67" i="56"/>
  <c r="H68" i="56"/>
  <c r="H75" i="56" s="1"/>
  <c r="C88" i="56"/>
  <c r="C87" i="56"/>
  <c r="C90"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G72" i="56"/>
  <c r="A8" i="17"/>
  <c r="E9" i="14"/>
  <c r="F78" i="56" l="1"/>
  <c r="F83" i="56" s="1"/>
  <c r="F86" i="56" s="1"/>
  <c r="G78" i="56"/>
  <c r="G83" i="56" s="1"/>
  <c r="G86" i="56" s="1"/>
  <c r="I53" i="56"/>
  <c r="I55" i="56" s="1"/>
  <c r="I56" i="56" s="1"/>
  <c r="I69" i="56" s="1"/>
  <c r="E86" i="56"/>
  <c r="E84" i="56"/>
  <c r="E89" i="56" s="1"/>
  <c r="F84" i="56"/>
  <c r="F88" i="56"/>
  <c r="E88" i="56"/>
  <c r="M68" i="56"/>
  <c r="M75" i="56" s="1"/>
  <c r="N67" i="56"/>
  <c r="M76" i="56"/>
  <c r="G84" i="56"/>
  <c r="G89" i="56" s="1"/>
  <c r="G88"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9" i="56" l="1"/>
  <c r="E87" i="56"/>
  <c r="E90" i="56" s="1"/>
  <c r="F87" i="56"/>
  <c r="O67" i="56"/>
  <c r="N68" i="56"/>
  <c r="N75" i="56" s="1"/>
  <c r="N76" i="56"/>
  <c r="I77" i="56"/>
  <c r="I70" i="56"/>
  <c r="J53" i="56"/>
  <c r="I82" i="56"/>
  <c r="H77" i="56"/>
  <c r="H70" i="56"/>
  <c r="H71" i="56" s="1"/>
  <c r="G87"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Q68" i="56"/>
  <c r="Q75" i="56" s="1"/>
  <c r="R67" i="56"/>
  <c r="Q76" i="56"/>
  <c r="I89" i="56"/>
  <c r="K55" i="56"/>
  <c r="K56" i="56" s="1"/>
  <c r="K69" i="56" s="1"/>
  <c r="H87" i="56"/>
  <c r="H90" i="56" s="1"/>
  <c r="I87" i="56"/>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T86" i="56"/>
  <c r="T87" i="56" s="1"/>
  <c r="T90" i="56" s="1"/>
  <c r="T88" i="56"/>
  <c r="T84" i="56"/>
  <c r="T89" i="56" s="1"/>
  <c r="V77" i="56"/>
  <c r="V70" i="56"/>
  <c r="W53" i="56"/>
  <c r="T72" i="56"/>
  <c r="U71" i="56"/>
  <c r="U78" i="56" s="1"/>
  <c r="U83" i="56" l="1"/>
  <c r="U86" i="56" s="1"/>
  <c r="U87" i="56" s="1"/>
  <c r="U90" i="56" s="1"/>
  <c r="AM68" i="56"/>
  <c r="AM75" i="56" s="1"/>
  <c r="AM76" i="56"/>
  <c r="AN67" i="56"/>
  <c r="U72" i="56"/>
  <c r="W55" i="56"/>
  <c r="W56" i="56" s="1"/>
  <c r="W69" i="56" s="1"/>
  <c r="U84" i="56"/>
  <c r="U89" i="56" s="1"/>
  <c r="V71" i="56"/>
  <c r="V78" i="56" s="1"/>
  <c r="V83" i="56" s="1"/>
  <c r="U88" i="56" l="1"/>
  <c r="AO67" i="56"/>
  <c r="AN76" i="56"/>
  <c r="AN68" i="56"/>
  <c r="AN75" i="56" s="1"/>
  <c r="V86" i="56"/>
  <c r="V87" i="56" s="1"/>
  <c r="V90" i="56" s="1"/>
  <c r="V88" i="56"/>
  <c r="V84" i="56"/>
  <c r="V89" i="56" s="1"/>
  <c r="W77" i="56"/>
  <c r="W70" i="56"/>
  <c r="V72" i="56"/>
  <c r="X53" i="56"/>
  <c r="W82" i="56"/>
  <c r="AO76" i="56" l="1"/>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Y83" i="56" s="1"/>
  <c r="X84" i="56"/>
  <c r="X89" i="56" s="1"/>
  <c r="X88" i="56"/>
  <c r="Y72" i="56" l="1"/>
  <c r="Y86" i="56"/>
  <c r="Y87" i="56" s="1"/>
  <c r="Y90" i="56" s="1"/>
  <c r="Y84" i="56"/>
  <c r="Y89" i="56" s="1"/>
  <c r="Y88" i="56"/>
  <c r="Z77" i="56"/>
  <c r="Z70" i="56"/>
  <c r="AA55" i="56"/>
  <c r="AA56" i="56" s="1"/>
  <c r="AA69" i="56" s="1"/>
  <c r="AB53" i="56" l="1"/>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<sst xmlns="http://schemas.openxmlformats.org/spreadsheetml/2006/main" count="1152" uniqueCount="701">
  <si>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</si>
  <si>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</si>
  <si>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</si>
  <si>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</si>
  <si>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</si>
  <si>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</si>
  <si>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</si>
  <si>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</si>
  <si>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</si>
  <si>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</si>
  <si>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</si>
  <si>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</si>
  <si>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</si>
  <si>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</si>
  <si>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</si>
  <si>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</si>
  <si>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</si>
  <si>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</si>
  <si>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</si>
  <si>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</si>
  <si>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</si>
  <si>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</si>
  <si>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</si>
  <si>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</si>
  <si>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</si>
  <si>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</si>
  <si>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</si>
  <si>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</si>
  <si>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</si>
  <si>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</si>
  <si>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</si>
  <si>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</si>
  <si>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</si>
  <si>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</si>
  <si>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</si>
  <si>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</si>
  <si>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</si>
  <si>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</si>
  <si>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</si>
  <si>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</si>
  <si>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</si>
  <si>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</si>
  <si>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</si>
  <si>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</si>
  <si>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</si>
  <si>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</si>
  <si>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</si>
  <si>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</si>
  <si>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</si>
  <si>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</si>
  <si>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</si>
  <si>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</si>
  <si>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</si>
  <si>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</si>
  <si>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</si>
  <si>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</si>
  <si>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</si>
  <si>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</si>
  <si>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</si>
  <si>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</si>
  <si>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</si>
  <si>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</si>
  <si>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</si>
  <si>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</si>
  <si>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</si>
  <si>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</si>
  <si>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</si>
  <si>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</si>
  <si>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</si>
  <si>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</si>
  <si>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</si>
  <si>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</si>
  <si>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</si>
  <si>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</si>
  <si>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</si>
  <si>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</si>
  <si>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</si>
  <si>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</si>
  <si>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</si>
  <si>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</si>
  <si>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</si>
  <si>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</si>
  <si>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</si>
  <si>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</si>
  <si>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</si>
  <si>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</si>
  <si>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</si>
  <si>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</si>
  <si>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</si>
  <si>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</si>
  <si>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</si>
  <si>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</si>
  <si>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</si>
  <si>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</si>
  <si>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</si>
  <si>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</si>
  <si>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</si>
  <si>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</si>
  <si>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</si>
  <si>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</si>
  <si>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</si>
  <si>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</si>
  <si>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</si>
  <si>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</si>
  <si>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</si>
  <si>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</si>
  <si>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</si>
  <si>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</si>
  <si>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</si>
  <si>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</si>
  <si>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</si>
  <si>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</si>
  <si>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</si>
  <si>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</si>
  <si>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</si>
  <si>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</si>
  <si>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</si>
  <si>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</si>
  <si>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</si>
  <si>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</si>
  <si>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</si>
  <si>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</si>
  <si>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</si>
  <si>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</si>
  <si>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</si>
  <si>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</si>
  <si>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</si>
  <si>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</si>
  <si>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</si>
  <si>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</si>
  <si>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</si>
  <si>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</si>
  <si>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</si>
  <si>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</si>
  <si>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</si>
  <si>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</si>
  <si>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</si>
  <si>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</si>
  <si>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</si>
  <si>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</si>
  <si>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</si>
  <si>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</si>
  <si>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</si>
  <si>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</si>
  <si>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</si>
  <si>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</si>
  <si>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</si>
  <si>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</si>
  <si>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</si>
  <si>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</si>
  <si>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</si>
  <si>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</si>
  <si>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</si>
  <si>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</si>
  <si>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</si>
  <si>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</si>
  <si>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</si>
  <si>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</si>
  <si>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</si>
  <si>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</si>
  <si>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</si>
  <si>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</si>
  <si>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</si>
  <si>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</si>
  <si>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</si>
  <si>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</si>
  <si>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</si>
  <si>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</si>
  <si>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</si>
  <si>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</si>
  <si>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</si>
  <si>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</si>
  <si>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</si>
  <si>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</si>
  <si>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</si>
  <si>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</si>
  <si>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</si>
  <si>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</si>
  <si>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</si>
  <si>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</si>
  <si>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</si>
  <si>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</si>
  <si>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</si>
  <si>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</si>
  <si>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</si>
  <si>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</si>
  <si>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</si>
  <si>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</si>
  <si>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</si>
  <si>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</si>
  <si>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</si>
  <si>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</si>
  <si>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</si>
  <si>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</si>
  <si>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</si>
  <si>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</si>
  <si>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</si>
  <si>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</si>
  <si>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</si>
  <si>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</si>
  <si>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</si>
  <si>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</si>
  <si>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</si>
  <si>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</si>
  <si>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</si>
  <si>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</si>
  <si>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</si>
  <si>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</si>
  <si>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</si>
  <si>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</si>
  <si>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</si>
  <si>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</si>
  <si>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</si>
  <si>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</si>
  <si>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</si>
  <si>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</si>
  <si>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</si>
  <si>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</si>
  <si>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</si>
  <si>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</si>
  <si>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</si>
  <si>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</si>
  <si>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</si>
  <si>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</si>
  <si>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</si>
  <si>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</si>
  <si>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</si>
  <si>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</si>
  <si>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</si>
  <si>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</si>
  <si>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</si>
  <si>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</si>
  <si>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</si>
  <si>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</si>
  <si>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</si>
  <si>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</si>
  <si>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</si>
  <si>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</si>
  <si>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</si>
  <si>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</si>
  <si>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</si>
  <si>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</si>
  <si>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</si>
  <si>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</si>
  <si>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</si>
  <si>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</si>
  <si>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</si>
  <si>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</si>
  <si>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</si>
  <si>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</si>
  <si>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</si>
  <si>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</si>
  <si>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</si>
  <si>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</si>
  <si>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</si>
  <si>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</si>
  <si>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</si>
  <si>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</si>
  <si>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</si>
  <si>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</si>
  <si>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</si>
  <si>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</si>
  <si>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</si>
  <si>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</si>
  <si>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</si>
  <si>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</si>
  <si>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</si>
  <si>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</si>
  <si>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</si>
  <si>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</si>
  <si>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</si>
  <si>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</si>
  <si>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</si>
  <si>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</si>
  <si>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</si>
  <si>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</si>
  <si>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</si>
  <si>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</si>
  <si>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</si>
  <si>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</si>
  <si>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</si>
  <si>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</si>
  <si>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</si>
  <si>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</si>
  <si>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</si>
  <si>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</si>
  <si>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</si>
  <si>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</si>
  <si>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</si>
  <si>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</si>
  <si>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</si>
  <si>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</si>
  <si>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</si>
  <si>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</si>
  <si>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</si>
  <si>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</si>
  <si>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</si>
  <si>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</si>
  <si>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</si>
  <si>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</si>
  <si>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</si>
  <si>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</si>
  <si>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</si>
  <si>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</si>
  <si>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</si>
  <si>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</si>
  <si>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</si>
  <si>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</si>
  <si>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</si>
  <si>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</si>
  <si>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</si>
  <si>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</si>
  <si>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</si>
  <si>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</si>
  <si>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</si>
  <si>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</si>
  <si>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</si>
  <si>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</si>
  <si>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</si>
  <si>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</si>
  <si>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</si>
  <si>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</si>
  <si>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</si>
  <si>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</si>
  <si>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</si>
  <si>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</si>
  <si>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</si>
  <si>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</si>
  <si>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</si>
  <si>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</si>
  <si>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</si>
  <si>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</si>
  <si>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</si>
  <si>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</si>
  <si>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</si>
  <si>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</si>
  <si>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</si>
  <si>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</si>
  <si>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</si>
  <si>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</si>
  <si>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</si>
  <si>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</si>
  <si>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</si>
  <si>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</si>
  <si>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</si>
  <si>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</si>
  <si>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</si>
  <si>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</si>
  <si>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</si>
  <si>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</si>
  <si>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</si>
  <si>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</si>
  <si>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</si>
  <si>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</si>
  <si>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</si>
  <si>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</si>
  <si>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</si>
  <si>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</si>
  <si>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</si>
  <si>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</si>
  <si>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</si>
  <si>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</si>
  <si>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</si>
  <si>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</si>
  <si>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</si>
  <si>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</si>
  <si>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</si>
  <si>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</si>
  <si>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</si>
  <si>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</si>
  <si>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</si>
  <si>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</si>
  <si>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</si>
  <si>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</si>
  <si>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</si>
  <si>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</si>
  <si>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</si>
  <si>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</si>
  <si>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</si>
  <si>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</si>
  <si>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</si>
  <si>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</si>
  <si>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</si>
  <si>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</si>
  <si>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</si>
  <si>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</si>
  <si>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</si>
  <si>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</si>
  <si>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</si>
  <si>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</si>
  <si>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</si>
  <si>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</si>
  <si>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</si>
  <si>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</si>
  <si>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</si>
  <si>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</si>
  <si>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</si>
  <si>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</si>
  <si>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</si>
  <si>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</si>
  <si>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</si>
  <si>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</si>
  <si>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</si>
  <si>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</si>
  <si>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</si>
  <si>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</si>
  <si>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</si>
  <si>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</si>
  <si>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</si>
  <si>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</si>
  <si>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</si>
  <si>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</si>
  <si>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</si>
  <si>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</si>
  <si>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</si>
  <si>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</si>
  <si>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</si>
  <si>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</si>
  <si>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</si>
  <si>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</si>
  <si>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</si>
  <si>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</si>
  <si>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</si>
  <si>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</si>
  <si>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</si>
  <si>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</si>
  <si>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</si>
  <si>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</si>
  <si>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</si>
  <si>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</si>
  <si>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</si>
  <si>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</si>
  <si>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</si>
  <si>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</si>
  <si>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</si>
  <si>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</si>
  <si>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</si>
  <si>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</si>
  <si>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</si>
  <si>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</si>
  <si>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</si>
  <si>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</si>
  <si>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</si>
  <si>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</si>
  <si>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</si>
  <si>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</si>
  <si>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</si>
  <si>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</si>
  <si>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</si>
  <si>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</si>
  <si>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</si>
  <si>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</si>
  <si>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</si>
  <si>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</si>
  <si>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</si>
  <si>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</si>
  <si>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</si>
  <si>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</si>
  <si>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</si>
  <si>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</si>
  <si>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</si>
  <si>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</si>
  <si>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</si>
  <si>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</si>
  <si>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</si>
  <si>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</si>
  <si>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</si>
  <si>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</si>
  <si>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</si>
  <si>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</si>
  <si>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</si>
  <si>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</si>
  <si>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</si>
  <si>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</si>
  <si>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</si>
  <si>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</si>
  <si>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</si>
  <si>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</si>
  <si>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</si>
  <si>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</si>
  <si>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</si>
  <si>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</si>
  <si>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</si>
  <si>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</si>
  <si>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</si>
  <si>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</si>
  <si>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</si>
  <si>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</si>
  <si>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</si>
  <si>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</si>
  <si>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</si>
  <si>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</si>
  <si>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</si>
  <si>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</si>
  <si>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</si>
  <si>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</si>
  <si>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</si>
  <si>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</si>
  <si>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</si>
  <si>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</si>
  <si>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</si>
  <si>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</si>
  <si>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</si>
  <si>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</si>
  <si>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</si>
  <si>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</si>
  <si>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</si>
  <si>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</si>
  <si>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</si>
  <si>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</si>
  <si>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</si>
  <si>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</si>
  <si>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</si>
  <si>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</si>
  <si>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</si>
  <si>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</si>
  <si>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</si>
  <si>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</si>
  <si>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</si>
  <si>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</si>
  <si>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</si>
  <si>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</si>
  <si>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</si>
  <si>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</si>
  <si>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</si>
  <si>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</si>
  <si>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</si>
  <si>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</si>
  <si>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</si>
  <si>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</si>
  <si>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</si>
  <si>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</si>
  <si>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</si>
  <si>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</si>
  <si>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</si>
  <si>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</si>
  <si>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</si>
  <si>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</si>
  <si>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</si>
  <si>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</si>
  <si>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</si>
  <si>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</si>
  <si>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</si>
  <si>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</si>
  <si>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</si>
  <si>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</si>
  <si>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</si>
  <si>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</si>
  <si>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</si>
  <si>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</si>
  <si>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</si>
  <si>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</si>
  <si>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</si>
  <si>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</si>
  <si>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</si>
  <si>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</si>
  <si>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</si>
  <si>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</si>
  <si>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</si>
  <si>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</si>
  <si>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</si>
  <si>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</si>
  <si>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</si>
  <si>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</si>
  <si>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</si>
  <si>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</si>
  <si>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</si>
  <si>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</si>
  <si>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</si>
  <si>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</si>
  <si>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</si>
  <si>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</si>
  <si>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</si>
  <si>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</si>
  <si>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</si>
  <si>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</si>
  <si>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</si>
  <si>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</si>
  <si>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</si>
  <si>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</si>
  <si>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</si>
  <si>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</si>
  <si>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</si>
  <si>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</si>
  <si>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</si>
  <si>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</si>
  <si>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</si>
  <si>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</si>
  <si>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</si>
  <si>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</si>
  <si>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</si>
  <si>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</si>
  <si>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</si>
  <si>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</si>
  <si>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</si>
  <si>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</si>
  <si>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</si>
  <si>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</si>
  <si>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</si>
  <si>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</si>
  <si>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</si>
  <si>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</si>
  <si>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</si>
  <si>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</si>
  <si>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</si>
  <si>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</si>
  <si>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</si>
  <si>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</si>
  <si>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</si>
  <si>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</si>
  <si>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</si>
  <si>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</si>
  <si>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</si>
  <si>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</si>
  <si>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</si>
  <si>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</si>
  <si>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</si>
  <si>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</si>
  <si>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</si>
  <si>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</si>
  <si>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</si>
  <si>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</si>
  <si>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</si>
  <si>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</si>
  <si>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</si>
  <si>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</si>
  <si>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</si>
  <si>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</si>
  <si>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</si>
  <si>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</si>
  <si>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</si>
  <si>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</si>
  <si>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</si>
  <si>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</si>
  <si>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</si>
  <si>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</si>
  <si>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</si>
  <si>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</si>
  <si>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</si>
  <si>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</si>
  <si>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</si>
  <si>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</si>
  <si>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</si>
  <si>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</si>
  <si>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</si>
  <si>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</si>
  <si>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</si>
  <si>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</si>
  <si>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</si>
  <si>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</si>
  <si>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</si>
  <si>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</si>
  <si>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</si>
  <si>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</si>
  <si>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</si>
  <si>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</si>
  <si>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</si>
  <si>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</si>
  <si>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</si>
  <si>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</si>
  <si>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</si>
  <si>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</si>
  <si>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</si>
  <si>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</si>
  <si>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</si>
  <si>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</si>
  <si>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</si>
  <si>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факт 2020 года </t>
  </si>
  <si>
    <t>2021 год</t>
  </si>
  <si>
    <t>2022 год</t>
  </si>
  <si>
    <t>2023 год</t>
  </si>
  <si>
    <t xml:space="preserve"> - незаконтрактованные затраты</t>
  </si>
  <si>
    <t>2022</t>
  </si>
  <si>
    <t>Развитие электрической сети/усиление существующей электрической сети, не связанное с подключением новых потребителей</t>
  </si>
  <si>
    <t>Акционерное общество "Россети Янтарь"</t>
  </si>
  <si>
    <t>Сметная стоимость проекта в ценах 2022 года с НДС, млн. руб.</t>
  </si>
  <si>
    <t>ВЗ</t>
  </si>
  <si>
    <t>ПИР</t>
  </si>
  <si>
    <t>АО "Россети Янтарь"</t>
  </si>
  <si>
    <t>СЦ</t>
  </si>
  <si>
    <t>ООО "Аппатит"</t>
  </si>
  <si>
    <t>ООО "СБ Строй"</t>
  </si>
  <si>
    <t>ИП Веселов Р.В,</t>
  </si>
  <si>
    <t>НДС не предусмотрен</t>
  </si>
  <si>
    <t>M_21-1785</t>
  </si>
  <si>
    <t>Переустройство ВЛ 0,4 кВ от ТП 47-04 (инв.511502706) в п. Малое Исаково, пер. Калининградский Гурьевский ГО</t>
  </si>
  <si>
    <t>Вынос (переустройство) участков ВЛ 0,4 кВ с участка застройки</t>
  </si>
  <si>
    <t>ВЛ 0,4 кВ от ТП 47-04</t>
  </si>
  <si>
    <t>оп.3-3-оп.3-3-1</t>
  </si>
  <si>
    <t>Переустройство ВЛ 0,4 кВ от ТП 47-04 (инв.511502706) демнтаж 0,031 км в п. Малое Исаково, пер. Калининградский Гурьевский ГО</t>
  </si>
  <si>
    <t>С</t>
  </si>
  <si>
    <t>Соглашение о компенсации расходов, связанных с переустройством объектов № 98/115/21 от 30.09.2021</t>
  </si>
  <si>
    <t>ПСД</t>
  </si>
  <si>
    <t>ПИР ООО "Аппатит" договор № 21/06-1 от 21.06.2022 в ценах 2022 года без НДС, млн. руб.</t>
  </si>
  <si>
    <t>Разработка рабочей документации по объектам: "Выноса (переустройства)  ВЛ, КЛ 0,4-15 кВ согласно приложению ПИР 3.6н"</t>
  </si>
  <si>
    <t xml:space="preserve">ПИР ООО "Аппатит" договор № 21/06-1 от 21.06.2022 </t>
  </si>
  <si>
    <t>Год раскрытия информации: 2023 год</t>
  </si>
  <si>
    <t>не требуется, хоз.способ</t>
  </si>
  <si>
    <t>Работы, выполненные хоз.способом в ценах 2023 года с НДС, млн. руб.</t>
  </si>
  <si>
    <t>хоз. способ</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</si>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</sst>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566672656"/>
        <c:axId val="578259968"/>
      </c:lineChart>
      <c:catAx>
        <c:axId val="5666726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8259968"/>
        <c:crosses val="autoZero"/>
        <c:auto val="1"/>
        <c:lblAlgn val="ctr"/>
        <c:lblOffset val="100"/>
        <c:noMultiLvlLbl val="0"/>
      </c:catAx>
      <c:valAx>
        <c:axId val="578259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66726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578257224"/>
        <c:axId val="282203688"/>
      </c:lineChart>
      <c:catAx>
        <c:axId val="578257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2203688"/>
        <c:crosses val="autoZero"/>
        <c:auto val="1"/>
        <c:lblAlgn val="ctr"/>
        <c:lblOffset val="100"/>
        <c:noMultiLvlLbl val="0"/>
      </c:catAx>
      <c:valAx>
        <c:axId val="282203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8257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613264712"/>
        <c:axId val="613265104"/>
      </c:lineChart>
      <c:catAx>
        <c:axId val="613264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3265104"/>
        <c:crosses val="autoZero"/>
        <c:auto val="1"/>
        <c:lblAlgn val="ctr"/>
        <c:lblOffset val="100"/>
        <c:noMultiLvlLbl val="0"/>
      </c:catAx>
      <c:valAx>
        <c:axId val="6132651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32647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613265888"/>
        <c:axId val="613266280"/>
      </c:lineChart>
      <c:catAx>
        <c:axId val="613265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3266280"/>
        <c:crosses val="autoZero"/>
        <c:auto val="1"/>
        <c:lblAlgn val="ctr"/>
        <c:lblOffset val="100"/>
        <c:noMultiLvlLbl val="0"/>
      </c:catAx>
      <c:valAx>
        <c:axId val="613266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3265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613267064"/>
        <c:axId val="613267456"/>
      </c:lineChart>
      <c:catAx>
        <c:axId val="613267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3267456"/>
        <c:crosses val="autoZero"/>
        <c:auto val="1"/>
        <c:lblAlgn val="ctr"/>
        <c:lblOffset val="100"/>
        <c:noMultiLvlLbl val="0"/>
      </c:catAx>
      <c:valAx>
        <c:axId val="613267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3267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613268240"/>
        <c:axId val="613268632"/>
      </c:lineChart>
      <c:catAx>
        <c:axId val="613268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3268632"/>
        <c:crosses val="autoZero"/>
        <c:auto val="1"/>
        <c:lblAlgn val="ctr"/>
        <c:lblOffset val="100"/>
        <c:noMultiLvlLbl val="0"/>
      </c:catAx>
      <c:valAx>
        <c:axId val="613268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32682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90" zoomScaleSheetLayoutView="90" workbookViewId="0">
      <selection activeCell="C23" sqref="C23"/>
    </sheetView>
  </sheetViews>
  <sheetFormatPr defaultColWidth="9.140625" defaultRowHeight="15" x14ac:dyDescent="0.25"/>
  <cols>
    <col min="1" max="1" width="6.140625" style="300" customWidth="1"/>
    <col min="2" max="2" width="53.5703125" style="300" customWidth="1"/>
    <col min="3" max="3" width="91.42578125" style="300" customWidth="1"/>
    <col min="4" max="4" width="12" style="300"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6" customFormat="1" ht="18.75" customHeight="1" x14ac:dyDescent="0.2">
      <c r="A1" s="281"/>
      <c r="C1" s="282" t="s">
        <v>66</v>
      </c>
    </row>
    <row r="2" spans="1:22" s="16" customFormat="1" ht="18.75" customHeight="1" x14ac:dyDescent="0.3">
      <c r="A2" s="281"/>
      <c r="C2" s="283" t="s">
        <v>8</v>
      </c>
    </row>
    <row r="3" spans="1:22" s="16" customFormat="1" ht="18.75" x14ac:dyDescent="0.3">
      <c r="A3" s="284"/>
      <c r="C3" s="283" t="s">
        <v>65</v>
      </c>
    </row>
    <row r="4" spans="1:22" s="16" customFormat="1" ht="18.75" x14ac:dyDescent="0.3">
      <c r="A4" s="284"/>
      <c r="H4" s="283"/>
    </row>
    <row r="5" spans="1:22" s="16" customFormat="1" ht="15.75" x14ac:dyDescent="0.25">
      <c r="A5" s="414" t="s">
        <v>696</v>
      </c>
      <c r="B5" s="414"/>
      <c r="C5" s="414"/>
      <c r="D5" s="161"/>
      <c r="E5" s="161"/>
      <c r="F5" s="161"/>
      <c r="G5" s="161"/>
      <c r="H5" s="161"/>
      <c r="I5" s="161"/>
      <c r="J5" s="161"/>
    </row>
    <row r="6" spans="1:22" s="16" customFormat="1" ht="18.75" x14ac:dyDescent="0.3">
      <c r="A6" s="284"/>
      <c r="H6" s="283"/>
    </row>
    <row r="7" spans="1:22" s="16" customFormat="1" ht="18.75" x14ac:dyDescent="0.2">
      <c r="A7" s="418" t="s">
        <v>7</v>
      </c>
      <c r="B7" s="418"/>
      <c r="C7" s="418"/>
      <c r="D7" s="285"/>
      <c r="E7" s="285"/>
      <c r="F7" s="285"/>
      <c r="G7" s="285"/>
      <c r="H7" s="285"/>
      <c r="I7" s="285"/>
      <c r="J7" s="285"/>
      <c r="K7" s="285"/>
      <c r="L7" s="285"/>
      <c r="M7" s="285"/>
      <c r="N7" s="285"/>
      <c r="O7" s="285"/>
      <c r="P7" s="285"/>
      <c r="Q7" s="285"/>
      <c r="R7" s="285"/>
      <c r="S7" s="285"/>
      <c r="T7" s="285"/>
      <c r="U7" s="285"/>
      <c r="V7" s="285"/>
    </row>
    <row r="8" spans="1:22" s="16"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6" customFormat="1" ht="18.75" x14ac:dyDescent="0.2">
      <c r="A9" s="419" t="s">
        <v>674</v>
      </c>
      <c r="B9" s="419"/>
      <c r="C9" s="419"/>
      <c r="D9" s="287"/>
      <c r="E9" s="287"/>
      <c r="F9" s="287"/>
      <c r="G9" s="287"/>
      <c r="H9" s="287"/>
      <c r="I9" s="285"/>
      <c r="J9" s="285"/>
      <c r="K9" s="285"/>
      <c r="L9" s="285"/>
      <c r="M9" s="285"/>
      <c r="N9" s="285"/>
      <c r="O9" s="285"/>
      <c r="P9" s="285"/>
      <c r="Q9" s="285"/>
      <c r="R9" s="285"/>
      <c r="S9" s="285"/>
      <c r="T9" s="285"/>
      <c r="U9" s="285"/>
      <c r="V9" s="285"/>
    </row>
    <row r="10" spans="1:22" s="16" customFormat="1" ht="18.75" x14ac:dyDescent="0.2">
      <c r="A10" s="415" t="s">
        <v>6</v>
      </c>
      <c r="B10" s="415"/>
      <c r="C10" s="415"/>
      <c r="D10" s="288"/>
      <c r="E10" s="288"/>
      <c r="F10" s="288"/>
      <c r="G10" s="288"/>
      <c r="H10" s="288"/>
      <c r="I10" s="285"/>
      <c r="J10" s="285"/>
      <c r="K10" s="285"/>
      <c r="L10" s="285"/>
      <c r="M10" s="285"/>
      <c r="N10" s="285"/>
      <c r="O10" s="285"/>
      <c r="P10" s="285"/>
      <c r="Q10" s="285"/>
      <c r="R10" s="285"/>
      <c r="S10" s="285"/>
      <c r="T10" s="285"/>
      <c r="U10" s="285"/>
      <c r="V10" s="285"/>
    </row>
    <row r="11" spans="1:22" s="16"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6" customFormat="1" ht="18.75" x14ac:dyDescent="0.2">
      <c r="A12" s="417" t="s">
        <v>684</v>
      </c>
      <c r="B12" s="417"/>
      <c r="C12" s="417"/>
      <c r="D12" s="287"/>
      <c r="E12" s="287"/>
      <c r="F12" s="287"/>
      <c r="G12" s="287"/>
      <c r="H12" s="287"/>
      <c r="I12" s="285"/>
      <c r="J12" s="285"/>
      <c r="K12" s="285"/>
      <c r="L12" s="285"/>
      <c r="M12" s="285"/>
      <c r="N12" s="285"/>
      <c r="O12" s="285"/>
      <c r="P12" s="285"/>
      <c r="Q12" s="285"/>
      <c r="R12" s="285"/>
      <c r="S12" s="285"/>
      <c r="T12" s="285"/>
      <c r="U12" s="285"/>
      <c r="V12" s="285"/>
    </row>
    <row r="13" spans="1:22" s="16" customFormat="1" ht="18.75" x14ac:dyDescent="0.2">
      <c r="A13" s="415" t="s">
        <v>5</v>
      </c>
      <c r="B13" s="415"/>
      <c r="C13" s="415"/>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50.25" customHeight="1" x14ac:dyDescent="0.2">
      <c r="A15" s="420" t="s">
        <v>685</v>
      </c>
      <c r="B15" s="420"/>
      <c r="C15" s="420"/>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15" t="s">
        <v>4</v>
      </c>
      <c r="B16" s="415"/>
      <c r="C16" s="415"/>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16" t="s">
        <v>511</v>
      </c>
      <c r="B18" s="417"/>
      <c r="C18" s="417"/>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5"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8" t="s">
        <v>62</v>
      </c>
      <c r="B22" s="297" t="s">
        <v>347</v>
      </c>
      <c r="C22" s="158" t="s">
        <v>601</v>
      </c>
      <c r="D22" s="295"/>
      <c r="E22" s="295"/>
      <c r="F22" s="295"/>
      <c r="G22" s="295"/>
      <c r="H22" s="295"/>
      <c r="I22" s="279"/>
      <c r="J22" s="279"/>
      <c r="K22" s="279"/>
      <c r="L22" s="279"/>
      <c r="M22" s="279"/>
      <c r="N22" s="279"/>
      <c r="O22" s="279"/>
      <c r="P22" s="279"/>
      <c r="Q22" s="279"/>
      <c r="R22" s="279"/>
      <c r="S22" s="279"/>
      <c r="T22" s="296"/>
      <c r="U22" s="296"/>
      <c r="V22" s="296"/>
    </row>
    <row r="23" spans="1:22" s="290" customFormat="1" ht="31.5" x14ac:dyDescent="0.2">
      <c r="A23" s="28" t="s">
        <v>61</v>
      </c>
      <c r="B23" s="36" t="s">
        <v>621</v>
      </c>
      <c r="C23" s="158" t="s">
        <v>673</v>
      </c>
      <c r="D23" s="295"/>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11"/>
      <c r="B24" s="412"/>
      <c r="C24" s="413"/>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8" t="s">
        <v>60</v>
      </c>
      <c r="B25" s="158" t="s">
        <v>460</v>
      </c>
      <c r="C25" s="35" t="s">
        <v>637</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8" t="s">
        <v>59</v>
      </c>
      <c r="B26" s="158" t="s">
        <v>72</v>
      </c>
      <c r="C26" s="35"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8" t="s">
        <v>57</v>
      </c>
      <c r="B27" s="158" t="s">
        <v>71</v>
      </c>
      <c r="C27" s="298" t="s">
        <v>654</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8" t="s">
        <v>56</v>
      </c>
      <c r="B28" s="158" t="s">
        <v>461</v>
      </c>
      <c r="C28" s="35" t="s">
        <v>531</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8" t="s">
        <v>54</v>
      </c>
      <c r="B29" s="158" t="s">
        <v>462</v>
      </c>
      <c r="C29" s="35" t="s">
        <v>531</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8" t="s">
        <v>52</v>
      </c>
      <c r="B30" s="158" t="s">
        <v>463</v>
      </c>
      <c r="C30" s="35" t="s">
        <v>531</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8" t="s">
        <v>70</v>
      </c>
      <c r="B31" s="158" t="s">
        <v>464</v>
      </c>
      <c r="C31" s="35" t="s">
        <v>531</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8" t="s">
        <v>68</v>
      </c>
      <c r="B32" s="158" t="s">
        <v>465</v>
      </c>
      <c r="C32" s="35" t="s">
        <v>531</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8" t="s">
        <v>67</v>
      </c>
      <c r="B33" s="158" t="s">
        <v>466</v>
      </c>
      <c r="C33" s="341" t="s">
        <v>648</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8" t="s">
        <v>480</v>
      </c>
      <c r="B34" s="158" t="s">
        <v>467</v>
      </c>
      <c r="C34" s="342" t="s">
        <v>531</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8" t="s">
        <v>470</v>
      </c>
      <c r="B35" s="158" t="s">
        <v>69</v>
      </c>
      <c r="C35" s="35" t="s">
        <v>628</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8" t="s">
        <v>481</v>
      </c>
      <c r="B36" s="158" t="s">
        <v>468</v>
      </c>
      <c r="C36" s="35" t="s">
        <v>531</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8" t="s">
        <v>471</v>
      </c>
      <c r="B37" s="158" t="s">
        <v>469</v>
      </c>
      <c r="C37" s="35" t="s">
        <v>532</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8" t="s">
        <v>482</v>
      </c>
      <c r="B38" s="158" t="s">
        <v>228</v>
      </c>
      <c r="C38" s="35" t="s">
        <v>628</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11"/>
      <c r="B39" s="412"/>
      <c r="C39" s="413"/>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8" t="s">
        <v>472</v>
      </c>
      <c r="B40" s="158" t="s">
        <v>524</v>
      </c>
      <c r="C40" s="301" t="str">
        <f>CONCATENATE("∆L0,4_лэп=",'3.2 паспорт Техсостояние ЛЭП'!S26," км")</f>
        <v>∆L0,4_лэп=-0,031 км</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8" t="s">
        <v>483</v>
      </c>
      <c r="B41" s="158" t="s">
        <v>506</v>
      </c>
      <c r="C41" s="301" t="s">
        <v>629</v>
      </c>
      <c r="D41" s="299"/>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8" t="s">
        <v>473</v>
      </c>
      <c r="B42" s="158" t="s">
        <v>521</v>
      </c>
      <c r="C42" s="301" t="s">
        <v>629</v>
      </c>
      <c r="D42" s="299"/>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8" t="s">
        <v>486</v>
      </c>
      <c r="B43" s="158" t="s">
        <v>487</v>
      </c>
      <c r="C43" s="301" t="s">
        <v>637</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8" t="s">
        <v>474</v>
      </c>
      <c r="B44" s="158" t="s">
        <v>512</v>
      </c>
      <c r="C44" s="301" t="s">
        <v>637</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8" t="s">
        <v>507</v>
      </c>
      <c r="B45" s="158" t="s">
        <v>513</v>
      </c>
      <c r="C45" s="301" t="s">
        <v>637</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8" t="s">
        <v>475</v>
      </c>
      <c r="B46" s="158" t="s">
        <v>514</v>
      </c>
      <c r="C46" s="301" t="s">
        <v>637</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11"/>
      <c r="B47" s="412"/>
      <c r="C47" s="413"/>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8" t="s">
        <v>508</v>
      </c>
      <c r="B48" s="158" t="s">
        <v>522</v>
      </c>
      <c r="C48" s="302" t="str">
        <f>CONCATENATE(ROUND('6.2. Паспорт фин осв ввод'!U24,2)," млн.руб.")</f>
        <v>0,04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8" t="s">
        <v>476</v>
      </c>
      <c r="B49" s="158" t="s">
        <v>523</v>
      </c>
      <c r="C49" s="302" t="str">
        <f>CONCATENATE(ROUND('6.2. Паспорт фин осв ввод'!U30,2)," млн.руб.")</f>
        <v>0,04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29" sqref="R29"/>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42578125" style="61" customWidth="1"/>
    <col min="12" max="19" width="9.42578125" style="60" customWidth="1"/>
    <col min="20" max="20" width="13.140625" style="60" customWidth="1"/>
    <col min="21" max="21" width="24.85546875" style="60" customWidth="1"/>
    <col min="22" max="22" width="9.140625" style="60"/>
    <col min="23" max="23" width="11" style="60" bestFit="1" customWidth="1"/>
    <col min="24" max="16384" width="9.140625" style="60"/>
  </cols>
  <sheetData>
    <row r="1" spans="1:21" ht="18.75" x14ac:dyDescent="0.25">
      <c r="A1" s="61"/>
      <c r="B1" s="61"/>
      <c r="C1" s="61"/>
      <c r="D1" s="61"/>
      <c r="E1" s="61"/>
      <c r="F1" s="61"/>
      <c r="L1" s="61"/>
      <c r="M1" s="61"/>
      <c r="U1" s="39" t="s">
        <v>66</v>
      </c>
    </row>
    <row r="2" spans="1:21" ht="18.75" x14ac:dyDescent="0.3">
      <c r="A2" s="61"/>
      <c r="B2" s="61"/>
      <c r="C2" s="61"/>
      <c r="D2" s="61"/>
      <c r="E2" s="61"/>
      <c r="F2" s="61"/>
      <c r="L2" s="61"/>
      <c r="M2" s="61"/>
      <c r="U2" s="15" t="s">
        <v>8</v>
      </c>
    </row>
    <row r="3" spans="1:21" ht="18.75" x14ac:dyDescent="0.3">
      <c r="A3" s="61"/>
      <c r="B3" s="61"/>
      <c r="C3" s="61"/>
      <c r="D3" s="61"/>
      <c r="E3" s="61"/>
      <c r="F3" s="61"/>
      <c r="L3" s="61"/>
      <c r="M3" s="61"/>
      <c r="U3" s="15" t="s">
        <v>65</v>
      </c>
    </row>
    <row r="4" spans="1:21" ht="18.75" customHeight="1" x14ac:dyDescent="0.25">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row>
    <row r="5" spans="1:21" ht="18.75" x14ac:dyDescent="0.3">
      <c r="A5" s="61"/>
      <c r="B5" s="61"/>
      <c r="C5" s="61"/>
      <c r="D5" s="61"/>
      <c r="E5" s="61"/>
      <c r="F5" s="61"/>
      <c r="L5" s="61"/>
      <c r="M5" s="61"/>
      <c r="U5" s="15"/>
    </row>
    <row r="6" spans="1:21" ht="18.75" x14ac:dyDescent="0.25">
      <c r="A6" s="427" t="s">
        <v>7</v>
      </c>
      <c r="B6" s="427"/>
      <c r="C6" s="427"/>
      <c r="D6" s="427"/>
      <c r="E6" s="427"/>
      <c r="F6" s="427"/>
      <c r="G6" s="427"/>
      <c r="H6" s="427"/>
      <c r="I6" s="427"/>
      <c r="J6" s="427"/>
      <c r="K6" s="427"/>
      <c r="L6" s="427"/>
      <c r="M6" s="427"/>
      <c r="N6" s="427"/>
      <c r="O6" s="427"/>
      <c r="P6" s="427"/>
      <c r="Q6" s="427"/>
      <c r="R6" s="427"/>
      <c r="S6" s="427"/>
      <c r="T6" s="427"/>
      <c r="U6" s="427"/>
    </row>
    <row r="7" spans="1:21" ht="18.75" x14ac:dyDescent="0.25">
      <c r="A7" s="13"/>
      <c r="B7" s="13"/>
      <c r="C7" s="13"/>
      <c r="D7" s="13"/>
      <c r="E7" s="13"/>
      <c r="F7" s="13"/>
      <c r="G7" s="13"/>
      <c r="H7" s="13"/>
      <c r="I7" s="13"/>
      <c r="J7" s="84"/>
      <c r="K7" s="84"/>
      <c r="L7" s="84"/>
      <c r="M7" s="84"/>
      <c r="N7" s="84"/>
      <c r="O7" s="84"/>
      <c r="P7" s="84"/>
      <c r="Q7" s="84"/>
      <c r="R7" s="84"/>
      <c r="S7" s="84"/>
      <c r="T7" s="84"/>
      <c r="U7" s="84"/>
    </row>
    <row r="8" spans="1:21" x14ac:dyDescent="0.25">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row>
    <row r="9" spans="1:21"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row>
    <row r="10" spans="1:21" ht="18.75" x14ac:dyDescent="0.25">
      <c r="A10" s="13"/>
      <c r="B10" s="13"/>
      <c r="C10" s="13"/>
      <c r="D10" s="13"/>
      <c r="E10" s="13"/>
      <c r="F10" s="13"/>
      <c r="G10" s="13"/>
      <c r="H10" s="13"/>
      <c r="I10" s="13"/>
      <c r="J10" s="84"/>
      <c r="K10" s="84"/>
      <c r="L10" s="84"/>
      <c r="M10" s="84"/>
      <c r="N10" s="84"/>
      <c r="O10" s="84"/>
      <c r="P10" s="84"/>
      <c r="Q10" s="84"/>
      <c r="R10" s="84"/>
      <c r="S10" s="84"/>
      <c r="T10" s="84"/>
      <c r="U10" s="84"/>
    </row>
    <row r="11" spans="1:21" x14ac:dyDescent="0.25">
      <c r="A11" s="421" t="str">
        <f>'1. паспорт местоположение'!A12:C12</f>
        <v>M_21-1785</v>
      </c>
      <c r="B11" s="421"/>
      <c r="C11" s="421"/>
      <c r="D11" s="421"/>
      <c r="E11" s="421"/>
      <c r="F11" s="421"/>
      <c r="G11" s="421"/>
      <c r="H11" s="421"/>
      <c r="I11" s="421"/>
      <c r="J11" s="421"/>
      <c r="K11" s="421"/>
      <c r="L11" s="421"/>
      <c r="M11" s="421"/>
      <c r="N11" s="421"/>
      <c r="O11" s="421"/>
      <c r="P11" s="421"/>
      <c r="Q11" s="421"/>
      <c r="R11" s="421"/>
      <c r="S11" s="421"/>
      <c r="T11" s="421"/>
      <c r="U11" s="421"/>
    </row>
    <row r="12" spans="1:21"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row>
    <row r="13" spans="1:21" ht="16.5" customHeight="1" x14ac:dyDescent="0.3">
      <c r="A13" s="11"/>
      <c r="B13" s="11"/>
      <c r="C13" s="11"/>
      <c r="D13" s="11"/>
      <c r="E13" s="11"/>
      <c r="F13" s="11"/>
      <c r="G13" s="11"/>
      <c r="H13" s="11"/>
      <c r="I13" s="11"/>
      <c r="J13" s="83"/>
      <c r="K13" s="83"/>
      <c r="L13" s="83"/>
      <c r="M13" s="83"/>
      <c r="N13" s="83"/>
      <c r="O13" s="83"/>
      <c r="P13" s="83"/>
      <c r="Q13" s="83"/>
      <c r="R13" s="83"/>
      <c r="S13" s="83"/>
      <c r="T13" s="83"/>
      <c r="U13" s="83"/>
    </row>
    <row r="14" spans="1:21" x14ac:dyDescent="0.25">
      <c r="A14" s="421" t="str">
        <f>'1. паспорт местоположение'!A15</f>
        <v>Переустройство ВЛ 0,4 кВ от ТП 47-04 (инв.511502706) в п. Малое Исаково, пер. Калининградский Гурьевский ГО</v>
      </c>
      <c r="B14" s="421"/>
      <c r="C14" s="421"/>
      <c r="D14" s="421"/>
      <c r="E14" s="421"/>
      <c r="F14" s="421"/>
      <c r="G14" s="421"/>
      <c r="H14" s="421"/>
      <c r="I14" s="421"/>
      <c r="J14" s="421"/>
      <c r="K14" s="421"/>
      <c r="L14" s="421"/>
      <c r="M14" s="421"/>
      <c r="N14" s="421"/>
      <c r="O14" s="421"/>
      <c r="P14" s="421"/>
      <c r="Q14" s="421"/>
      <c r="R14" s="421"/>
      <c r="S14" s="421"/>
      <c r="T14" s="421"/>
      <c r="U14" s="421"/>
    </row>
    <row r="15" spans="1:21"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61"/>
      <c r="L17" s="61"/>
      <c r="M17" s="61"/>
      <c r="N17" s="61"/>
      <c r="O17" s="61"/>
      <c r="P17" s="61"/>
      <c r="Q17" s="61"/>
      <c r="R17" s="61"/>
      <c r="S17" s="61"/>
      <c r="T17" s="61"/>
    </row>
    <row r="18" spans="1:24" x14ac:dyDescent="0.25">
      <c r="A18" s="500" t="s">
        <v>496</v>
      </c>
      <c r="B18" s="500"/>
      <c r="C18" s="500"/>
      <c r="D18" s="500"/>
      <c r="E18" s="500"/>
      <c r="F18" s="500"/>
      <c r="G18" s="500"/>
      <c r="H18" s="500"/>
      <c r="I18" s="500"/>
      <c r="J18" s="500"/>
      <c r="K18" s="500"/>
      <c r="L18" s="500"/>
      <c r="M18" s="500"/>
      <c r="N18" s="500"/>
      <c r="O18" s="500"/>
      <c r="P18" s="500"/>
      <c r="Q18" s="500"/>
      <c r="R18" s="500"/>
      <c r="S18" s="500"/>
      <c r="T18" s="500"/>
      <c r="U18" s="500"/>
    </row>
    <row r="19" spans="1:24" x14ac:dyDescent="0.25">
      <c r="A19" s="61"/>
      <c r="B19" s="61"/>
      <c r="C19" s="61"/>
      <c r="D19" s="61"/>
      <c r="E19" s="61"/>
      <c r="F19" s="61"/>
      <c r="L19" s="61"/>
      <c r="M19" s="61"/>
      <c r="N19" s="61"/>
      <c r="O19" s="61"/>
      <c r="P19" s="61"/>
      <c r="Q19" s="61"/>
      <c r="R19" s="61"/>
      <c r="S19" s="61"/>
      <c r="T19" s="61"/>
    </row>
    <row r="20" spans="1:24" ht="33" customHeight="1" x14ac:dyDescent="0.25">
      <c r="A20" s="497" t="s">
        <v>184</v>
      </c>
      <c r="B20" s="497" t="s">
        <v>183</v>
      </c>
      <c r="C20" s="486" t="s">
        <v>182</v>
      </c>
      <c r="D20" s="486"/>
      <c r="E20" s="499" t="s">
        <v>181</v>
      </c>
      <c r="F20" s="499"/>
      <c r="G20" s="497" t="s">
        <v>667</v>
      </c>
      <c r="H20" s="505" t="s">
        <v>668</v>
      </c>
      <c r="I20" s="506"/>
      <c r="J20" s="506"/>
      <c r="K20" s="506"/>
      <c r="L20" s="505" t="s">
        <v>669</v>
      </c>
      <c r="M20" s="506"/>
      <c r="N20" s="506"/>
      <c r="O20" s="506"/>
      <c r="P20" s="505" t="s">
        <v>670</v>
      </c>
      <c r="Q20" s="506"/>
      <c r="R20" s="506"/>
      <c r="S20" s="506"/>
      <c r="T20" s="501" t="s">
        <v>180</v>
      </c>
      <c r="U20" s="502"/>
      <c r="V20" s="82"/>
      <c r="W20" s="82"/>
      <c r="X20" s="82"/>
    </row>
    <row r="21" spans="1:24" ht="99.75" customHeight="1" x14ac:dyDescent="0.25">
      <c r="A21" s="498"/>
      <c r="B21" s="498"/>
      <c r="C21" s="486"/>
      <c r="D21" s="486"/>
      <c r="E21" s="499"/>
      <c r="F21" s="499"/>
      <c r="G21" s="498"/>
      <c r="H21" s="486" t="s">
        <v>2</v>
      </c>
      <c r="I21" s="486"/>
      <c r="J21" s="486" t="s">
        <v>636</v>
      </c>
      <c r="K21" s="486"/>
      <c r="L21" s="486" t="s">
        <v>2</v>
      </c>
      <c r="M21" s="486"/>
      <c r="N21" s="486" t="s">
        <v>636</v>
      </c>
      <c r="O21" s="486"/>
      <c r="P21" s="486" t="s">
        <v>2</v>
      </c>
      <c r="Q21" s="486"/>
      <c r="R21" s="486" t="s">
        <v>636</v>
      </c>
      <c r="S21" s="486"/>
      <c r="T21" s="503"/>
      <c r="U21" s="504"/>
    </row>
    <row r="22" spans="1:24" ht="89.25" customHeight="1" x14ac:dyDescent="0.25">
      <c r="A22" s="493"/>
      <c r="B22" s="493"/>
      <c r="C22" s="79" t="s">
        <v>2</v>
      </c>
      <c r="D22" s="79" t="s">
        <v>179</v>
      </c>
      <c r="E22" s="81" t="s">
        <v>649</v>
      </c>
      <c r="F22" s="81" t="s">
        <v>700</v>
      </c>
      <c r="G22" s="493"/>
      <c r="H22" s="80" t="s">
        <v>477</v>
      </c>
      <c r="I22" s="80" t="s">
        <v>478</v>
      </c>
      <c r="J22" s="80" t="s">
        <v>477</v>
      </c>
      <c r="K22" s="80" t="s">
        <v>478</v>
      </c>
      <c r="L22" s="80" t="s">
        <v>477</v>
      </c>
      <c r="M22" s="80" t="s">
        <v>478</v>
      </c>
      <c r="N22" s="80" t="s">
        <v>477</v>
      </c>
      <c r="O22" s="80" t="s">
        <v>478</v>
      </c>
      <c r="P22" s="80" t="s">
        <v>477</v>
      </c>
      <c r="Q22" s="80" t="s">
        <v>478</v>
      </c>
      <c r="R22" s="80" t="s">
        <v>477</v>
      </c>
      <c r="S22" s="80" t="s">
        <v>478</v>
      </c>
      <c r="T22" s="79" t="s">
        <v>2</v>
      </c>
      <c r="U22" s="270" t="s">
        <v>9</v>
      </c>
    </row>
    <row r="23" spans="1:24" ht="19.5" customHeight="1" x14ac:dyDescent="0.25">
      <c r="A23" s="72">
        <v>1</v>
      </c>
      <c r="B23" s="72">
        <v>2</v>
      </c>
      <c r="C23" s="72">
        <v>3</v>
      </c>
      <c r="D23" s="72">
        <v>4</v>
      </c>
      <c r="E23" s="72">
        <v>5</v>
      </c>
      <c r="F23" s="72">
        <v>6</v>
      </c>
      <c r="G23" s="153">
        <v>7</v>
      </c>
      <c r="H23" s="153">
        <v>8</v>
      </c>
      <c r="I23" s="153">
        <v>9</v>
      </c>
      <c r="J23" s="153">
        <v>10</v>
      </c>
      <c r="K23" s="153">
        <v>11</v>
      </c>
      <c r="L23" s="153">
        <v>12</v>
      </c>
      <c r="M23" s="153">
        <v>13</v>
      </c>
      <c r="N23" s="153">
        <v>14</v>
      </c>
      <c r="O23" s="153">
        <v>15</v>
      </c>
      <c r="P23" s="153">
        <v>16</v>
      </c>
      <c r="Q23" s="153">
        <v>17</v>
      </c>
      <c r="R23" s="153">
        <v>18</v>
      </c>
      <c r="S23" s="153">
        <v>19</v>
      </c>
      <c r="T23" s="387">
        <v>20</v>
      </c>
      <c r="U23" s="387">
        <v>21</v>
      </c>
    </row>
    <row r="24" spans="1:24" ht="47.25" customHeight="1" x14ac:dyDescent="0.25">
      <c r="A24" s="77">
        <v>1</v>
      </c>
      <c r="B24" s="76" t="s">
        <v>178</v>
      </c>
      <c r="C24" s="271">
        <f>SUM(C25:C29)</f>
        <v>0</v>
      </c>
      <c r="D24" s="271">
        <f t="shared" ref="D24:S24" si="0">SUM(D25:D29)</f>
        <v>0</v>
      </c>
      <c r="E24" s="271">
        <f t="shared" si="0"/>
        <v>0</v>
      </c>
      <c r="F24" s="271">
        <f t="shared" si="0"/>
        <v>0</v>
      </c>
      <c r="G24" s="271">
        <f t="shared" ref="G24" si="1">SUM(G25:G29)</f>
        <v>0</v>
      </c>
      <c r="H24" s="271">
        <f t="shared" si="0"/>
        <v>0</v>
      </c>
      <c r="I24" s="271">
        <f t="shared" si="0"/>
        <v>0</v>
      </c>
      <c r="J24" s="271">
        <f t="shared" si="0"/>
        <v>0</v>
      </c>
      <c r="K24" s="271">
        <f t="shared" si="0"/>
        <v>0</v>
      </c>
      <c r="L24" s="271">
        <f t="shared" si="0"/>
        <v>0</v>
      </c>
      <c r="M24" s="271">
        <f t="shared" si="0"/>
        <v>0</v>
      </c>
      <c r="N24" s="271">
        <f t="shared" si="0"/>
        <v>3.0516000000000001E-2</v>
      </c>
      <c r="O24" s="271">
        <f t="shared" si="0"/>
        <v>0</v>
      </c>
      <c r="P24" s="271">
        <f t="shared" si="0"/>
        <v>0</v>
      </c>
      <c r="Q24" s="271">
        <f t="shared" si="0"/>
        <v>0</v>
      </c>
      <c r="R24" s="271">
        <f t="shared" si="0"/>
        <v>7.2272299999999994E-3</v>
      </c>
      <c r="S24" s="271">
        <f t="shared" si="0"/>
        <v>7.2272299999999994E-3</v>
      </c>
      <c r="T24" s="271">
        <f>H24+L24+P24</f>
        <v>0</v>
      </c>
      <c r="U24" s="277">
        <f>J24+N24+R24</f>
        <v>3.7743230000000003E-2</v>
      </c>
      <c r="W24" s="388">
        <f>G24+U24</f>
        <v>3.7743230000000003E-2</v>
      </c>
    </row>
    <row r="25" spans="1:24" ht="24" customHeight="1" x14ac:dyDescent="0.25">
      <c r="A25" s="74" t="s">
        <v>177</v>
      </c>
      <c r="B25" s="48"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1">
        <f t="shared" ref="T25:T64" si="2">H25+L25+P25</f>
        <v>0</v>
      </c>
      <c r="U25" s="277">
        <f t="shared" ref="U25:U64" si="3">J25+N25+R25</f>
        <v>0</v>
      </c>
    </row>
    <row r="26" spans="1:24" x14ac:dyDescent="0.25">
      <c r="A26" s="74" t="s">
        <v>175</v>
      </c>
      <c r="B26" s="48"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1">
        <f t="shared" si="2"/>
        <v>0</v>
      </c>
      <c r="U26" s="277">
        <f t="shared" si="3"/>
        <v>0</v>
      </c>
    </row>
    <row r="27" spans="1:24" ht="31.5" x14ac:dyDescent="0.25">
      <c r="A27" s="74" t="s">
        <v>173</v>
      </c>
      <c r="B27" s="48" t="s">
        <v>433</v>
      </c>
      <c r="C27" s="271">
        <v>0</v>
      </c>
      <c r="D27" s="271">
        <v>0</v>
      </c>
      <c r="E27" s="272">
        <v>0</v>
      </c>
      <c r="F27" s="272">
        <v>0</v>
      </c>
      <c r="G27" s="272">
        <v>0</v>
      </c>
      <c r="H27" s="272">
        <v>0</v>
      </c>
      <c r="I27" s="272">
        <v>0</v>
      </c>
      <c r="J27" s="272">
        <v>0</v>
      </c>
      <c r="K27" s="272">
        <v>0</v>
      </c>
      <c r="L27" s="272">
        <v>0</v>
      </c>
      <c r="M27" s="272">
        <v>0</v>
      </c>
      <c r="N27" s="272">
        <v>0</v>
      </c>
      <c r="O27" s="272">
        <v>0</v>
      </c>
      <c r="P27" s="272">
        <v>0</v>
      </c>
      <c r="Q27" s="272">
        <v>0</v>
      </c>
      <c r="R27" s="272">
        <v>0</v>
      </c>
      <c r="S27" s="272">
        <v>0</v>
      </c>
      <c r="T27" s="271">
        <f t="shared" si="2"/>
        <v>0</v>
      </c>
      <c r="U27" s="277">
        <f t="shared" si="3"/>
        <v>0</v>
      </c>
    </row>
    <row r="28" spans="1:24" x14ac:dyDescent="0.25">
      <c r="A28" s="74" t="s">
        <v>172</v>
      </c>
      <c r="B28" s="48" t="s">
        <v>171</v>
      </c>
      <c r="C28" s="271">
        <v>0</v>
      </c>
      <c r="D28" s="271">
        <v>0</v>
      </c>
      <c r="E28" s="272">
        <v>0</v>
      </c>
      <c r="F28" s="272">
        <v>0</v>
      </c>
      <c r="G28" s="272">
        <v>0</v>
      </c>
      <c r="H28" s="272">
        <v>0</v>
      </c>
      <c r="I28" s="272">
        <v>0</v>
      </c>
      <c r="J28" s="272">
        <v>0</v>
      </c>
      <c r="K28" s="272">
        <v>0</v>
      </c>
      <c r="L28" s="272">
        <v>0</v>
      </c>
      <c r="M28" s="272">
        <v>0</v>
      </c>
      <c r="N28" s="272">
        <v>0</v>
      </c>
      <c r="O28" s="272">
        <v>0</v>
      </c>
      <c r="P28" s="272">
        <v>0</v>
      </c>
      <c r="Q28" s="272">
        <v>0</v>
      </c>
      <c r="R28" s="272">
        <v>0</v>
      </c>
      <c r="S28" s="272">
        <v>0</v>
      </c>
      <c r="T28" s="271">
        <f t="shared" si="2"/>
        <v>0</v>
      </c>
      <c r="U28" s="277">
        <f t="shared" si="3"/>
        <v>0</v>
      </c>
    </row>
    <row r="29" spans="1:24" x14ac:dyDescent="0.25">
      <c r="A29" s="74" t="s">
        <v>170</v>
      </c>
      <c r="B29" s="78" t="s">
        <v>169</v>
      </c>
      <c r="C29" s="271">
        <v>0</v>
      </c>
      <c r="D29" s="271">
        <v>0</v>
      </c>
      <c r="E29" s="272">
        <v>0</v>
      </c>
      <c r="F29" s="272">
        <v>0</v>
      </c>
      <c r="G29" s="272">
        <v>0</v>
      </c>
      <c r="H29" s="272">
        <v>0</v>
      </c>
      <c r="I29" s="272">
        <v>0</v>
      </c>
      <c r="J29" s="272">
        <v>0</v>
      </c>
      <c r="K29" s="272">
        <v>0</v>
      </c>
      <c r="L29" s="272">
        <v>0</v>
      </c>
      <c r="M29" s="272">
        <v>0</v>
      </c>
      <c r="N29" s="272">
        <v>3.0516000000000001E-2</v>
      </c>
      <c r="O29" s="272">
        <v>0</v>
      </c>
      <c r="P29" s="272">
        <v>0</v>
      </c>
      <c r="Q29" s="272">
        <v>0</v>
      </c>
      <c r="R29" s="272">
        <v>7.2272299999999994E-3</v>
      </c>
      <c r="S29" s="272">
        <v>7.2272299999999994E-3</v>
      </c>
      <c r="T29" s="271">
        <f t="shared" si="2"/>
        <v>0</v>
      </c>
      <c r="U29" s="277">
        <f t="shared" si="3"/>
        <v>3.7743230000000003E-2</v>
      </c>
    </row>
    <row r="30" spans="1:24" ht="47.25" x14ac:dyDescent="0.25">
      <c r="A30" s="77" t="s">
        <v>61</v>
      </c>
      <c r="B30" s="76" t="s">
        <v>168</v>
      </c>
      <c r="C30" s="271">
        <v>0</v>
      </c>
      <c r="D30" s="271">
        <v>0</v>
      </c>
      <c r="E30" s="274">
        <v>0</v>
      </c>
      <c r="F30" s="274">
        <v>0</v>
      </c>
      <c r="G30" s="271">
        <f t="shared" ref="G30" si="4">SUM(G31:G34)</f>
        <v>0</v>
      </c>
      <c r="H30" s="271">
        <f t="shared" ref="H30:S30" si="5">SUM(H31:H34)</f>
        <v>0</v>
      </c>
      <c r="I30" s="271">
        <f t="shared" si="5"/>
        <v>0</v>
      </c>
      <c r="J30" s="271">
        <f t="shared" si="5"/>
        <v>0</v>
      </c>
      <c r="K30" s="271">
        <f t="shared" si="5"/>
        <v>0</v>
      </c>
      <c r="L30" s="271">
        <f t="shared" si="5"/>
        <v>0</v>
      </c>
      <c r="M30" s="271">
        <f t="shared" si="5"/>
        <v>0</v>
      </c>
      <c r="N30" s="271">
        <f t="shared" si="5"/>
        <v>3.051678E-2</v>
      </c>
      <c r="O30" s="271">
        <f t="shared" si="5"/>
        <v>0</v>
      </c>
      <c r="P30" s="271">
        <f t="shared" si="5"/>
        <v>0</v>
      </c>
      <c r="Q30" s="271">
        <f t="shared" si="5"/>
        <v>0</v>
      </c>
      <c r="R30" s="271">
        <f t="shared" si="5"/>
        <v>6.0226899999999998E-3</v>
      </c>
      <c r="S30" s="271">
        <f t="shared" si="5"/>
        <v>6.0226899999999998E-3</v>
      </c>
      <c r="T30" s="271">
        <f t="shared" si="2"/>
        <v>0</v>
      </c>
      <c r="U30" s="277">
        <f t="shared" si="3"/>
        <v>3.6539469999999998E-2</v>
      </c>
      <c r="W30" s="388">
        <f>G30+U30</f>
        <v>3.6539469999999998E-2</v>
      </c>
    </row>
    <row r="31" spans="1:24" x14ac:dyDescent="0.25">
      <c r="A31" s="77" t="s">
        <v>167</v>
      </c>
      <c r="B31" s="48" t="s">
        <v>166</v>
      </c>
      <c r="C31" s="271">
        <v>0</v>
      </c>
      <c r="D31" s="271">
        <v>0</v>
      </c>
      <c r="E31" s="272">
        <v>0</v>
      </c>
      <c r="F31" s="272">
        <v>0</v>
      </c>
      <c r="G31" s="272">
        <v>0</v>
      </c>
      <c r="H31" s="272">
        <v>0</v>
      </c>
      <c r="I31" s="272">
        <v>0</v>
      </c>
      <c r="J31" s="272">
        <v>0</v>
      </c>
      <c r="K31" s="272">
        <v>0</v>
      </c>
      <c r="L31" s="272">
        <v>0</v>
      </c>
      <c r="M31" s="272">
        <v>0</v>
      </c>
      <c r="N31" s="272">
        <v>3.051678E-2</v>
      </c>
      <c r="O31" s="272">
        <v>0</v>
      </c>
      <c r="P31" s="272">
        <v>0</v>
      </c>
      <c r="Q31" s="272">
        <v>0</v>
      </c>
      <c r="R31" s="272">
        <v>0</v>
      </c>
      <c r="S31" s="272">
        <v>0</v>
      </c>
      <c r="T31" s="271">
        <f t="shared" si="2"/>
        <v>0</v>
      </c>
      <c r="U31" s="277">
        <f t="shared" si="3"/>
        <v>3.051678E-2</v>
      </c>
    </row>
    <row r="32" spans="1:24" ht="31.5" x14ac:dyDescent="0.25">
      <c r="A32" s="77" t="s">
        <v>165</v>
      </c>
      <c r="B32" s="48" t="s">
        <v>164</v>
      </c>
      <c r="C32" s="271">
        <v>0</v>
      </c>
      <c r="D32" s="271">
        <v>0</v>
      </c>
      <c r="E32" s="272">
        <v>0</v>
      </c>
      <c r="F32" s="272">
        <v>0</v>
      </c>
      <c r="G32" s="272">
        <v>0</v>
      </c>
      <c r="H32" s="272">
        <v>0</v>
      </c>
      <c r="I32" s="272">
        <v>0</v>
      </c>
      <c r="J32" s="272">
        <v>0</v>
      </c>
      <c r="K32" s="272">
        <v>0</v>
      </c>
      <c r="L32" s="272">
        <v>0</v>
      </c>
      <c r="M32" s="272">
        <v>0</v>
      </c>
      <c r="N32" s="272">
        <v>0</v>
      </c>
      <c r="O32" s="272">
        <v>0</v>
      </c>
      <c r="P32" s="272">
        <v>0</v>
      </c>
      <c r="Q32" s="272">
        <v>0</v>
      </c>
      <c r="R32" s="272">
        <v>6.0226899999999998E-3</v>
      </c>
      <c r="S32" s="272">
        <v>6.0226899999999998E-3</v>
      </c>
      <c r="T32" s="271">
        <f t="shared" si="2"/>
        <v>0</v>
      </c>
      <c r="U32" s="277">
        <f t="shared" si="3"/>
        <v>6.0226899999999998E-3</v>
      </c>
    </row>
    <row r="33" spans="1:21" x14ac:dyDescent="0.25">
      <c r="A33" s="77" t="s">
        <v>163</v>
      </c>
      <c r="B33" s="48" t="s">
        <v>162</v>
      </c>
      <c r="C33" s="271">
        <v>0</v>
      </c>
      <c r="D33" s="271">
        <v>0</v>
      </c>
      <c r="E33" s="272">
        <v>0</v>
      </c>
      <c r="F33" s="272">
        <v>0</v>
      </c>
      <c r="G33" s="272">
        <v>0</v>
      </c>
      <c r="H33" s="272">
        <v>0</v>
      </c>
      <c r="I33" s="272">
        <v>0</v>
      </c>
      <c r="J33" s="272">
        <v>0</v>
      </c>
      <c r="K33" s="272">
        <v>0</v>
      </c>
      <c r="L33" s="272">
        <v>0</v>
      </c>
      <c r="M33" s="272">
        <v>0</v>
      </c>
      <c r="N33" s="272">
        <v>0</v>
      </c>
      <c r="O33" s="272">
        <v>0</v>
      </c>
      <c r="P33" s="272">
        <v>0</v>
      </c>
      <c r="Q33" s="272">
        <v>0</v>
      </c>
      <c r="R33" s="272">
        <v>0</v>
      </c>
      <c r="S33" s="272">
        <v>0</v>
      </c>
      <c r="T33" s="271">
        <f t="shared" si="2"/>
        <v>0</v>
      </c>
      <c r="U33" s="277">
        <f t="shared" si="3"/>
        <v>0</v>
      </c>
    </row>
    <row r="34" spans="1:21" x14ac:dyDescent="0.25">
      <c r="A34" s="77" t="s">
        <v>161</v>
      </c>
      <c r="B34" s="48" t="s">
        <v>160</v>
      </c>
      <c r="C34" s="271">
        <v>0</v>
      </c>
      <c r="D34" s="271">
        <v>0</v>
      </c>
      <c r="E34" s="272">
        <v>0</v>
      </c>
      <c r="F34" s="272">
        <v>0</v>
      </c>
      <c r="G34" s="272">
        <v>0</v>
      </c>
      <c r="H34" s="272">
        <v>0</v>
      </c>
      <c r="I34" s="272">
        <v>0</v>
      </c>
      <c r="J34" s="272">
        <v>0</v>
      </c>
      <c r="K34" s="272">
        <v>0</v>
      </c>
      <c r="L34" s="272">
        <v>0</v>
      </c>
      <c r="M34" s="272">
        <v>0</v>
      </c>
      <c r="N34" s="272">
        <v>0</v>
      </c>
      <c r="O34" s="272">
        <v>0</v>
      </c>
      <c r="P34" s="272">
        <v>0</v>
      </c>
      <c r="Q34" s="272">
        <v>0</v>
      </c>
      <c r="R34" s="272">
        <v>0</v>
      </c>
      <c r="S34" s="272">
        <v>0</v>
      </c>
      <c r="T34" s="271">
        <f t="shared" si="2"/>
        <v>0</v>
      </c>
      <c r="U34" s="277">
        <f t="shared" si="3"/>
        <v>0</v>
      </c>
    </row>
    <row r="35" spans="1:21" ht="31.5" x14ac:dyDescent="0.25">
      <c r="A35" s="77" t="s">
        <v>60</v>
      </c>
      <c r="B35" s="76"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f t="shared" si="2"/>
        <v>0</v>
      </c>
      <c r="U35" s="277">
        <f t="shared" si="3"/>
        <v>0</v>
      </c>
    </row>
    <row r="36" spans="1:21" ht="31.5" x14ac:dyDescent="0.25">
      <c r="A36" s="74" t="s">
        <v>158</v>
      </c>
      <c r="B36" s="73"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1">
        <f t="shared" si="2"/>
        <v>0</v>
      </c>
      <c r="U36" s="277">
        <f t="shared" si="3"/>
        <v>0</v>
      </c>
    </row>
    <row r="37" spans="1:21" x14ac:dyDescent="0.25">
      <c r="A37" s="74" t="s">
        <v>156</v>
      </c>
      <c r="B37" s="73"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1">
        <f t="shared" si="2"/>
        <v>0</v>
      </c>
      <c r="U37" s="277">
        <f t="shared" si="3"/>
        <v>0</v>
      </c>
    </row>
    <row r="38" spans="1:21" x14ac:dyDescent="0.25">
      <c r="A38" s="74" t="s">
        <v>155</v>
      </c>
      <c r="B38" s="73"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1">
        <f t="shared" si="2"/>
        <v>0</v>
      </c>
      <c r="U38" s="277">
        <f t="shared" si="3"/>
        <v>0</v>
      </c>
    </row>
    <row r="39" spans="1:21" ht="31.5" x14ac:dyDescent="0.25">
      <c r="A39" s="74" t="s">
        <v>154</v>
      </c>
      <c r="B39" s="48"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1">
        <f t="shared" si="2"/>
        <v>0</v>
      </c>
      <c r="U39" s="277">
        <f t="shared" si="3"/>
        <v>0</v>
      </c>
    </row>
    <row r="40" spans="1:21" ht="31.5" x14ac:dyDescent="0.25">
      <c r="A40" s="74" t="s">
        <v>153</v>
      </c>
      <c r="B40" s="48"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1">
        <f t="shared" si="2"/>
        <v>0</v>
      </c>
      <c r="U40" s="277">
        <f t="shared" si="3"/>
        <v>0</v>
      </c>
    </row>
    <row r="41" spans="1:21" x14ac:dyDescent="0.25">
      <c r="A41" s="74" t="s">
        <v>152</v>
      </c>
      <c r="B41" s="48"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1">
        <f t="shared" si="2"/>
        <v>0</v>
      </c>
      <c r="U41" s="277">
        <f t="shared" si="3"/>
        <v>0</v>
      </c>
    </row>
    <row r="42" spans="1:21" ht="18.75" x14ac:dyDescent="0.25">
      <c r="A42" s="74" t="s">
        <v>151</v>
      </c>
      <c r="B42" s="73"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1">
        <f t="shared" si="2"/>
        <v>0</v>
      </c>
      <c r="U42" s="277">
        <f t="shared" si="3"/>
        <v>0</v>
      </c>
    </row>
    <row r="43" spans="1:21" x14ac:dyDescent="0.25">
      <c r="A43" s="77" t="s">
        <v>59</v>
      </c>
      <c r="B43" s="76"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f t="shared" si="2"/>
        <v>0</v>
      </c>
      <c r="U43" s="277">
        <f t="shared" si="3"/>
        <v>0</v>
      </c>
    </row>
    <row r="44" spans="1:21" x14ac:dyDescent="0.25">
      <c r="A44" s="74" t="s">
        <v>149</v>
      </c>
      <c r="B44" s="48"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1">
        <f t="shared" si="2"/>
        <v>0</v>
      </c>
      <c r="U44" s="277">
        <f t="shared" si="3"/>
        <v>0</v>
      </c>
    </row>
    <row r="45" spans="1:21" x14ac:dyDescent="0.25">
      <c r="A45" s="74" t="s">
        <v>147</v>
      </c>
      <c r="B45" s="48"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1">
        <f t="shared" si="2"/>
        <v>0</v>
      </c>
      <c r="U45" s="277">
        <f t="shared" si="3"/>
        <v>0</v>
      </c>
    </row>
    <row r="46" spans="1:21" x14ac:dyDescent="0.25">
      <c r="A46" s="74" t="s">
        <v>145</v>
      </c>
      <c r="B46" s="48"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1">
        <f t="shared" si="2"/>
        <v>0</v>
      </c>
      <c r="U46" s="277">
        <f t="shared" si="3"/>
        <v>0</v>
      </c>
    </row>
    <row r="47" spans="1:21" ht="31.5" x14ac:dyDescent="0.25">
      <c r="A47" s="74" t="s">
        <v>143</v>
      </c>
      <c r="B47" s="48"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1">
        <f t="shared" si="2"/>
        <v>0</v>
      </c>
      <c r="U47" s="277">
        <f t="shared" si="3"/>
        <v>0</v>
      </c>
    </row>
    <row r="48" spans="1:21" ht="31.5" x14ac:dyDescent="0.25">
      <c r="A48" s="74" t="s">
        <v>141</v>
      </c>
      <c r="B48" s="48"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1">
        <f t="shared" si="2"/>
        <v>0</v>
      </c>
      <c r="U48" s="277">
        <f t="shared" si="3"/>
        <v>0</v>
      </c>
    </row>
    <row r="49" spans="1:23" x14ac:dyDescent="0.25">
      <c r="A49" s="74" t="s">
        <v>139</v>
      </c>
      <c r="B49" s="48"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1">
        <f t="shared" si="2"/>
        <v>0</v>
      </c>
      <c r="U49" s="277">
        <f t="shared" si="3"/>
        <v>0</v>
      </c>
    </row>
    <row r="50" spans="1:23" ht="18.75" x14ac:dyDescent="0.25">
      <c r="A50" s="74" t="s">
        <v>137</v>
      </c>
      <c r="B50" s="73"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1">
        <f t="shared" si="2"/>
        <v>0</v>
      </c>
      <c r="U50" s="277">
        <f t="shared" si="3"/>
        <v>0</v>
      </c>
    </row>
    <row r="51" spans="1:23" ht="35.25" customHeight="1" x14ac:dyDescent="0.25">
      <c r="A51" s="77" t="s">
        <v>57</v>
      </c>
      <c r="B51" s="76"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f t="shared" si="2"/>
        <v>0</v>
      </c>
      <c r="U51" s="277">
        <f t="shared" si="3"/>
        <v>0</v>
      </c>
    </row>
    <row r="52" spans="1:23" x14ac:dyDescent="0.25">
      <c r="A52" s="74" t="s">
        <v>134</v>
      </c>
      <c r="B52" s="48"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1">
        <f t="shared" si="2"/>
        <v>0</v>
      </c>
      <c r="U52" s="277">
        <f t="shared" si="3"/>
        <v>0</v>
      </c>
      <c r="W52" s="388">
        <f>G52+U52</f>
        <v>0</v>
      </c>
    </row>
    <row r="53" spans="1:23" x14ac:dyDescent="0.25">
      <c r="A53" s="74" t="s">
        <v>132</v>
      </c>
      <c r="B53" s="48"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1">
        <f t="shared" si="2"/>
        <v>0</v>
      </c>
      <c r="U53" s="277">
        <f t="shared" si="3"/>
        <v>0</v>
      </c>
    </row>
    <row r="54" spans="1:23" x14ac:dyDescent="0.25">
      <c r="A54" s="74" t="s">
        <v>131</v>
      </c>
      <c r="B54" s="73"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1">
        <f t="shared" si="2"/>
        <v>0</v>
      </c>
      <c r="U54" s="277">
        <f t="shared" si="3"/>
        <v>0</v>
      </c>
    </row>
    <row r="55" spans="1:23" x14ac:dyDescent="0.25">
      <c r="A55" s="74" t="s">
        <v>130</v>
      </c>
      <c r="B55" s="73"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1">
        <f t="shared" si="2"/>
        <v>0</v>
      </c>
      <c r="U55" s="277">
        <f t="shared" si="3"/>
        <v>0</v>
      </c>
    </row>
    <row r="56" spans="1:23" x14ac:dyDescent="0.25">
      <c r="A56" s="74" t="s">
        <v>129</v>
      </c>
      <c r="B56" s="73"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1">
        <f t="shared" si="2"/>
        <v>0</v>
      </c>
      <c r="U56" s="277">
        <f t="shared" si="3"/>
        <v>0</v>
      </c>
    </row>
    <row r="57" spans="1:23" ht="18.75" x14ac:dyDescent="0.25">
      <c r="A57" s="74" t="s">
        <v>128</v>
      </c>
      <c r="B57" s="73"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1">
        <f t="shared" si="2"/>
        <v>0</v>
      </c>
      <c r="U57" s="277">
        <f t="shared" si="3"/>
        <v>0</v>
      </c>
    </row>
    <row r="58" spans="1:23" ht="36.75" customHeight="1" x14ac:dyDescent="0.25">
      <c r="A58" s="77" t="s">
        <v>56</v>
      </c>
      <c r="B58" s="98"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f t="shared" si="2"/>
        <v>0</v>
      </c>
      <c r="U58" s="277">
        <f t="shared" si="3"/>
        <v>0</v>
      </c>
    </row>
    <row r="59" spans="1:23" x14ac:dyDescent="0.25">
      <c r="A59" s="77" t="s">
        <v>54</v>
      </c>
      <c r="B59" s="76"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f t="shared" si="2"/>
        <v>0</v>
      </c>
      <c r="U59" s="277">
        <f t="shared" si="3"/>
        <v>0</v>
      </c>
    </row>
    <row r="60" spans="1:23" x14ac:dyDescent="0.25">
      <c r="A60" s="74" t="s">
        <v>220</v>
      </c>
      <c r="B60" s="75"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1">
        <f t="shared" si="2"/>
        <v>0</v>
      </c>
      <c r="U60" s="277">
        <f t="shared" si="3"/>
        <v>0</v>
      </c>
    </row>
    <row r="61" spans="1:23" x14ac:dyDescent="0.25">
      <c r="A61" s="74" t="s">
        <v>221</v>
      </c>
      <c r="B61" s="75"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1">
        <f t="shared" si="2"/>
        <v>0</v>
      </c>
      <c r="U61" s="277">
        <f t="shared" si="3"/>
        <v>0</v>
      </c>
    </row>
    <row r="62" spans="1:23" x14ac:dyDescent="0.25">
      <c r="A62" s="74" t="s">
        <v>222</v>
      </c>
      <c r="B62" s="75"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1">
        <f t="shared" si="2"/>
        <v>0</v>
      </c>
      <c r="U62" s="277">
        <f t="shared" si="3"/>
        <v>0</v>
      </c>
    </row>
    <row r="63" spans="1:23" x14ac:dyDescent="0.25">
      <c r="A63" s="74" t="s">
        <v>223</v>
      </c>
      <c r="B63" s="75"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1">
        <f t="shared" si="2"/>
        <v>0</v>
      </c>
      <c r="U63" s="277">
        <f t="shared" si="3"/>
        <v>0</v>
      </c>
    </row>
    <row r="64" spans="1:23" ht="18.75" x14ac:dyDescent="0.25">
      <c r="A64" s="74" t="s">
        <v>224</v>
      </c>
      <c r="B64" s="73"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1">
        <f t="shared" si="2"/>
        <v>0</v>
      </c>
      <c r="U64" s="277">
        <f t="shared" si="3"/>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509"/>
      <c r="C66" s="509"/>
      <c r="D66" s="509"/>
      <c r="E66" s="509"/>
      <c r="F66" s="509"/>
      <c r="G66" s="509"/>
      <c r="H66" s="509"/>
      <c r="I66" s="509"/>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510"/>
      <c r="C68" s="510"/>
      <c r="D68" s="510"/>
      <c r="E68" s="510"/>
      <c r="F68" s="510"/>
      <c r="G68" s="510"/>
      <c r="H68" s="510"/>
      <c r="I68" s="510"/>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509"/>
      <c r="C70" s="509"/>
      <c r="D70" s="509"/>
      <c r="E70" s="509"/>
      <c r="F70" s="509"/>
      <c r="G70" s="509"/>
      <c r="H70" s="509"/>
      <c r="I70" s="509"/>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509"/>
      <c r="C72" s="509"/>
      <c r="D72" s="509"/>
      <c r="E72" s="509"/>
      <c r="F72" s="509"/>
      <c r="G72" s="509"/>
      <c r="H72" s="509"/>
      <c r="I72" s="509"/>
      <c r="J72" s="65"/>
      <c r="K72" s="65"/>
      <c r="L72" s="61"/>
      <c r="M72" s="61"/>
      <c r="N72" s="67"/>
      <c r="O72" s="61"/>
      <c r="P72" s="61"/>
      <c r="Q72" s="61"/>
      <c r="R72" s="61"/>
      <c r="S72" s="61"/>
      <c r="T72" s="61"/>
    </row>
    <row r="73" spans="1:20" ht="32.25" customHeight="1" x14ac:dyDescent="0.25">
      <c r="A73" s="61"/>
      <c r="B73" s="510"/>
      <c r="C73" s="510"/>
      <c r="D73" s="510"/>
      <c r="E73" s="510"/>
      <c r="F73" s="510"/>
      <c r="G73" s="510"/>
      <c r="H73" s="510"/>
      <c r="I73" s="510"/>
      <c r="J73" s="66"/>
      <c r="K73" s="66"/>
      <c r="L73" s="61"/>
      <c r="M73" s="61"/>
      <c r="N73" s="61"/>
      <c r="O73" s="61"/>
      <c r="P73" s="61"/>
      <c r="Q73" s="61"/>
      <c r="R73" s="61"/>
      <c r="S73" s="61"/>
      <c r="T73" s="61"/>
    </row>
    <row r="74" spans="1:20" ht="51.75" customHeight="1" x14ac:dyDescent="0.25">
      <c r="A74" s="61"/>
      <c r="B74" s="509"/>
      <c r="C74" s="509"/>
      <c r="D74" s="509"/>
      <c r="E74" s="509"/>
      <c r="F74" s="509"/>
      <c r="G74" s="509"/>
      <c r="H74" s="509"/>
      <c r="I74" s="509"/>
      <c r="J74" s="65"/>
      <c r="K74" s="65"/>
      <c r="L74" s="61"/>
      <c r="M74" s="61"/>
      <c r="N74" s="61"/>
      <c r="O74" s="61"/>
      <c r="P74" s="61"/>
      <c r="Q74" s="61"/>
      <c r="R74" s="61"/>
      <c r="S74" s="61"/>
      <c r="T74" s="61"/>
    </row>
    <row r="75" spans="1:20" ht="21.75" customHeight="1" x14ac:dyDescent="0.25">
      <c r="A75" s="61"/>
      <c r="B75" s="507"/>
      <c r="C75" s="507"/>
      <c r="D75" s="507"/>
      <c r="E75" s="507"/>
      <c r="F75" s="507"/>
      <c r="G75" s="507"/>
      <c r="H75" s="507"/>
      <c r="I75" s="507"/>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508"/>
      <c r="C77" s="508"/>
      <c r="D77" s="508"/>
      <c r="E77" s="508"/>
      <c r="F77" s="508"/>
      <c r="G77" s="508"/>
      <c r="H77" s="508"/>
      <c r="I77" s="508"/>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1" zoomScale="85" zoomScaleSheetLayoutView="85" workbookViewId="0">
      <selection activeCell="M26" sqref="M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5"/>
    </row>
    <row r="7" spans="1:48" ht="18.75" x14ac:dyDescent="0.25">
      <c r="A7" s="427" t="s">
        <v>7</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c r="AS7" s="427"/>
      <c r="AT7" s="427"/>
      <c r="AU7" s="427"/>
      <c r="AV7" s="427"/>
    </row>
    <row r="8" spans="1:48"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c r="AT8" s="427"/>
      <c r="AU8" s="427"/>
      <c r="AV8" s="427"/>
    </row>
    <row r="9" spans="1:48" x14ac:dyDescent="0.25">
      <c r="A9" s="421" t="str">
        <f>'1. паспорт местоположение'!A9:C9</f>
        <v>Акционерное общество "Россети Янтарь"</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427"/>
    </row>
    <row r="12" spans="1:48" x14ac:dyDescent="0.25">
      <c r="A12" s="421" t="str">
        <f>'1. паспорт местоположение'!A12:C12</f>
        <v>M_21-1785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x14ac:dyDescent="0.25">
      <c r="A15" s="421" t="str">
        <f>'1. паспорт местоположение'!A15</f>
        <v>Переустройство ВЛ 0,4 кВ от ТП 47-04 (инв.511502706) в п. Малое Исаково, пер. Калининградский Гурьевский ГО</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6" customFormat="1"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458"/>
      <c r="AB20" s="458"/>
      <c r="AC20" s="458"/>
      <c r="AD20" s="458"/>
      <c r="AE20" s="458"/>
      <c r="AF20" s="458"/>
      <c r="AG20" s="458"/>
      <c r="AH20" s="458"/>
      <c r="AI20" s="458"/>
      <c r="AJ20" s="458"/>
      <c r="AK20" s="458"/>
      <c r="AL20" s="458"/>
      <c r="AM20" s="458"/>
      <c r="AN20" s="458"/>
      <c r="AO20" s="458"/>
      <c r="AP20" s="458"/>
      <c r="AQ20" s="458"/>
      <c r="AR20" s="458"/>
      <c r="AS20" s="458"/>
      <c r="AT20" s="458"/>
      <c r="AU20" s="458"/>
      <c r="AV20" s="458"/>
    </row>
    <row r="21" spans="1:48" s="26" customFormat="1" x14ac:dyDescent="0.25">
      <c r="A21" s="511" t="s">
        <v>509</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6" customFormat="1" ht="58.5" customHeight="1" x14ac:dyDescent="0.25">
      <c r="A22" s="512" t="s">
        <v>50</v>
      </c>
      <c r="B22" s="515" t="s">
        <v>22</v>
      </c>
      <c r="C22" s="512" t="s">
        <v>49</v>
      </c>
      <c r="D22" s="512" t="s">
        <v>48</v>
      </c>
      <c r="E22" s="518" t="s">
        <v>520</v>
      </c>
      <c r="F22" s="519"/>
      <c r="G22" s="519"/>
      <c r="H22" s="519"/>
      <c r="I22" s="519"/>
      <c r="J22" s="519"/>
      <c r="K22" s="519"/>
      <c r="L22" s="520"/>
      <c r="M22" s="512" t="s">
        <v>47</v>
      </c>
      <c r="N22" s="512" t="s">
        <v>46</v>
      </c>
      <c r="O22" s="512" t="s">
        <v>45</v>
      </c>
      <c r="P22" s="521" t="s">
        <v>255</v>
      </c>
      <c r="Q22" s="521" t="s">
        <v>44</v>
      </c>
      <c r="R22" s="521" t="s">
        <v>43</v>
      </c>
      <c r="S22" s="521" t="s">
        <v>42</v>
      </c>
      <c r="T22" s="521"/>
      <c r="U22" s="522" t="s">
        <v>41</v>
      </c>
      <c r="V22" s="522" t="s">
        <v>40</v>
      </c>
      <c r="W22" s="521" t="s">
        <v>39</v>
      </c>
      <c r="X22" s="521" t="s">
        <v>38</v>
      </c>
      <c r="Y22" s="521" t="s">
        <v>37</v>
      </c>
      <c r="Z22" s="535"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5" t="s">
        <v>23</v>
      </c>
    </row>
    <row r="23" spans="1:48" s="26" customFormat="1" ht="64.5" customHeight="1" x14ac:dyDescent="0.25">
      <c r="A23" s="513"/>
      <c r="B23" s="516"/>
      <c r="C23" s="513"/>
      <c r="D23" s="513"/>
      <c r="E23" s="527" t="s">
        <v>21</v>
      </c>
      <c r="F23" s="529" t="s">
        <v>126</v>
      </c>
      <c r="G23" s="529" t="s">
        <v>125</v>
      </c>
      <c r="H23" s="529" t="s">
        <v>124</v>
      </c>
      <c r="I23" s="533" t="s">
        <v>430</v>
      </c>
      <c r="J23" s="533" t="s">
        <v>431</v>
      </c>
      <c r="K23" s="533" t="s">
        <v>432</v>
      </c>
      <c r="L23" s="529" t="s">
        <v>74</v>
      </c>
      <c r="M23" s="513"/>
      <c r="N23" s="513"/>
      <c r="O23" s="513"/>
      <c r="P23" s="521"/>
      <c r="Q23" s="521"/>
      <c r="R23" s="521"/>
      <c r="S23" s="531" t="s">
        <v>2</v>
      </c>
      <c r="T23" s="531" t="s">
        <v>9</v>
      </c>
      <c r="U23" s="522"/>
      <c r="V23" s="522"/>
      <c r="W23" s="521"/>
      <c r="X23" s="521"/>
      <c r="Y23" s="521"/>
      <c r="Z23" s="521"/>
      <c r="AA23" s="521"/>
      <c r="AB23" s="521"/>
      <c r="AC23" s="521"/>
      <c r="AD23" s="521"/>
      <c r="AE23" s="521"/>
      <c r="AF23" s="521" t="s">
        <v>20</v>
      </c>
      <c r="AG23" s="521"/>
      <c r="AH23" s="521" t="s">
        <v>19</v>
      </c>
      <c r="AI23" s="521"/>
      <c r="AJ23" s="512" t="s">
        <v>18</v>
      </c>
      <c r="AK23" s="512" t="s">
        <v>17</v>
      </c>
      <c r="AL23" s="512" t="s">
        <v>16</v>
      </c>
      <c r="AM23" s="512" t="s">
        <v>15</v>
      </c>
      <c r="AN23" s="512" t="s">
        <v>14</v>
      </c>
      <c r="AO23" s="512" t="s">
        <v>13</v>
      </c>
      <c r="AP23" s="512" t="s">
        <v>12</v>
      </c>
      <c r="AQ23" s="523" t="s">
        <v>9</v>
      </c>
      <c r="AR23" s="521"/>
      <c r="AS23" s="521"/>
      <c r="AT23" s="521"/>
      <c r="AU23" s="521"/>
      <c r="AV23" s="526"/>
    </row>
    <row r="24" spans="1:48" s="26"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48" t="s">
        <v>11</v>
      </c>
      <c r="AG24" s="148" t="s">
        <v>10</v>
      </c>
      <c r="AH24" s="149" t="s">
        <v>2</v>
      </c>
      <c r="AI24" s="149" t="s">
        <v>9</v>
      </c>
      <c r="AJ24" s="514"/>
      <c r="AK24" s="514"/>
      <c r="AL24" s="514"/>
      <c r="AM24" s="514"/>
      <c r="AN24" s="514"/>
      <c r="AO24" s="514"/>
      <c r="AP24" s="514"/>
      <c r="AQ24" s="524"/>
      <c r="AR24" s="521"/>
      <c r="AS24" s="521"/>
      <c r="AT24" s="521"/>
      <c r="AU24" s="521"/>
      <c r="AV24" s="52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11" t="s">
        <v>678</v>
      </c>
      <c r="C26" s="21" t="s">
        <v>61</v>
      </c>
      <c r="D26" s="22" t="s">
        <v>637</v>
      </c>
      <c r="E26" s="310"/>
      <c r="F26" s="310"/>
      <c r="G26" s="310"/>
      <c r="H26" s="310"/>
      <c r="I26" s="310">
        <f>'3.2 паспорт Техсостояние ЛЭП'!R28</f>
        <v>0</v>
      </c>
      <c r="J26" s="310"/>
      <c r="K26" s="310">
        <f>'3.2 паспорт Техсостояние ЛЭП'!R27</f>
        <v>0</v>
      </c>
      <c r="L26" s="332"/>
      <c r="M26" s="333" t="s">
        <v>677</v>
      </c>
      <c r="N26" s="311" t="s">
        <v>694</v>
      </c>
      <c r="O26" s="311" t="s">
        <v>678</v>
      </c>
      <c r="P26" s="24">
        <v>322.76967000000002</v>
      </c>
      <c r="Q26" s="21"/>
      <c r="R26" s="24">
        <f>P26</f>
        <v>322.76967000000002</v>
      </c>
      <c r="S26" s="21" t="s">
        <v>676</v>
      </c>
      <c r="T26" s="21" t="s">
        <v>679</v>
      </c>
      <c r="U26" s="23">
        <v>3</v>
      </c>
      <c r="V26" s="23">
        <v>3</v>
      </c>
      <c r="W26" s="333" t="s">
        <v>680</v>
      </c>
      <c r="X26" s="334"/>
      <c r="Y26" s="333"/>
      <c r="Z26" s="22"/>
      <c r="AA26" s="24"/>
      <c r="AB26" s="334">
        <f>X26</f>
        <v>0</v>
      </c>
      <c r="AC26" s="333" t="s">
        <v>680</v>
      </c>
      <c r="AD26" s="24">
        <f>'8. Общие сведения'!B59*1000</f>
        <v>45.935370000000006</v>
      </c>
      <c r="AE26" s="24">
        <f>AD26</f>
        <v>45.935370000000006</v>
      </c>
      <c r="AF26" s="23"/>
      <c r="AG26" s="333"/>
      <c r="AH26" s="22"/>
      <c r="AI26" s="22"/>
      <c r="AJ26" s="22"/>
      <c r="AK26" s="22"/>
      <c r="AL26" s="21"/>
      <c r="AM26" s="21"/>
      <c r="AN26" s="22"/>
      <c r="AO26" s="21"/>
      <c r="AP26" s="22">
        <v>44698</v>
      </c>
      <c r="AQ26" s="22">
        <v>44698</v>
      </c>
      <c r="AR26" s="22">
        <v>44698</v>
      </c>
      <c r="AS26" s="22">
        <v>44698</v>
      </c>
      <c r="AT26" s="22">
        <v>44759</v>
      </c>
      <c r="AU26" s="21"/>
      <c r="AV26" s="21" t="s">
        <v>683</v>
      </c>
    </row>
    <row r="27" spans="1:48" s="20" customFormat="1" ht="11.25" x14ac:dyDescent="0.2">
      <c r="A27" s="402"/>
      <c r="B27" s="403"/>
      <c r="C27" s="404"/>
      <c r="D27" s="405"/>
      <c r="E27" s="406"/>
      <c r="F27" s="406"/>
      <c r="G27" s="406"/>
      <c r="H27" s="406"/>
      <c r="I27" s="406"/>
      <c r="J27" s="406"/>
      <c r="K27" s="406"/>
      <c r="L27" s="407"/>
      <c r="M27" s="408"/>
      <c r="N27" s="403"/>
      <c r="O27" s="403"/>
      <c r="P27" s="409"/>
      <c r="Q27" s="404"/>
      <c r="R27" s="404"/>
      <c r="S27" s="404"/>
      <c r="T27" s="404"/>
      <c r="U27" s="402"/>
      <c r="V27" s="402"/>
      <c r="W27" s="408" t="s">
        <v>681</v>
      </c>
      <c r="X27" s="410"/>
      <c r="Y27" s="408"/>
      <c r="Z27" s="405"/>
      <c r="AA27" s="409"/>
      <c r="AB27" s="410"/>
      <c r="AC27" s="410"/>
      <c r="AD27" s="409"/>
      <c r="AE27" s="409"/>
      <c r="AF27" s="402"/>
      <c r="AG27" s="408"/>
      <c r="AH27" s="405"/>
      <c r="AI27" s="405"/>
      <c r="AJ27" s="405"/>
      <c r="AK27" s="405"/>
      <c r="AL27" s="404"/>
      <c r="AM27" s="404"/>
      <c r="AN27" s="405"/>
      <c r="AO27" s="404"/>
      <c r="AP27" s="405"/>
      <c r="AQ27" s="405"/>
      <c r="AR27" s="405"/>
      <c r="AS27" s="405"/>
      <c r="AT27" s="405"/>
      <c r="AU27" s="404"/>
      <c r="AV27" s="404"/>
    </row>
    <row r="28" spans="1:48" s="20" customFormat="1" ht="11.25" x14ac:dyDescent="0.2">
      <c r="A28" s="402"/>
      <c r="B28" s="403"/>
      <c r="C28" s="404"/>
      <c r="D28" s="405"/>
      <c r="E28" s="406"/>
      <c r="F28" s="406"/>
      <c r="G28" s="406"/>
      <c r="H28" s="406"/>
      <c r="I28" s="406"/>
      <c r="J28" s="406"/>
      <c r="K28" s="406"/>
      <c r="L28" s="407"/>
      <c r="M28" s="408"/>
      <c r="N28" s="403"/>
      <c r="O28" s="403"/>
      <c r="P28" s="409"/>
      <c r="Q28" s="404"/>
      <c r="R28" s="404"/>
      <c r="S28" s="404"/>
      <c r="T28" s="404"/>
      <c r="U28" s="402"/>
      <c r="V28" s="402"/>
      <c r="W28" s="408" t="s">
        <v>682</v>
      </c>
      <c r="X28" s="410"/>
      <c r="Y28" s="408"/>
      <c r="Z28" s="405"/>
      <c r="AA28" s="409"/>
      <c r="AB28" s="410"/>
      <c r="AC28" s="410"/>
      <c r="AD28" s="409"/>
      <c r="AE28" s="409"/>
      <c r="AF28" s="402"/>
      <c r="AG28" s="408"/>
      <c r="AH28" s="405"/>
      <c r="AI28" s="405"/>
      <c r="AJ28" s="405"/>
      <c r="AK28" s="405"/>
      <c r="AL28" s="404"/>
      <c r="AM28" s="404"/>
      <c r="AN28" s="405"/>
      <c r="AO28" s="404"/>
      <c r="AP28" s="405"/>
      <c r="AQ28" s="405"/>
      <c r="AR28" s="405"/>
      <c r="AS28" s="405"/>
      <c r="AT28" s="405"/>
      <c r="AU28" s="404"/>
      <c r="AV28" s="404"/>
    </row>
    <row r="29" spans="1:48" s="20" customFormat="1" ht="11.25" x14ac:dyDescent="0.2">
      <c r="A29" s="23"/>
      <c r="B29" s="311"/>
      <c r="C29" s="21"/>
      <c r="D29" s="22"/>
      <c r="E29" s="310"/>
      <c r="F29" s="310"/>
      <c r="G29" s="310"/>
      <c r="H29" s="310"/>
      <c r="I29" s="310"/>
      <c r="J29" s="310"/>
      <c r="K29" s="310"/>
      <c r="L29" s="332"/>
      <c r="M29" s="333"/>
      <c r="N29" s="333"/>
      <c r="O29" s="311"/>
      <c r="P29" s="24"/>
      <c r="Q29" s="21"/>
      <c r="R29" s="21"/>
      <c r="S29" s="21"/>
      <c r="T29" s="21"/>
      <c r="U29" s="23"/>
      <c r="V29" s="23"/>
      <c r="W29" s="333"/>
      <c r="X29" s="334"/>
      <c r="Y29" s="333"/>
      <c r="Z29" s="22"/>
      <c r="AA29" s="24"/>
      <c r="AB29" s="24"/>
      <c r="AC29" s="334"/>
      <c r="AD29" s="24"/>
      <c r="AE29" s="24"/>
      <c r="AF29" s="23"/>
      <c r="AG29" s="21"/>
      <c r="AH29" s="22"/>
      <c r="AI29" s="22"/>
      <c r="AJ29" s="22"/>
      <c r="AK29" s="22"/>
      <c r="AL29" s="21"/>
      <c r="AM29" s="21"/>
      <c r="AN29" s="22"/>
      <c r="AO29" s="21"/>
      <c r="AP29" s="22"/>
      <c r="AQ29" s="22"/>
      <c r="AR29" s="22"/>
      <c r="AS29" s="22"/>
      <c r="AT29" s="22"/>
      <c r="AU29" s="21"/>
      <c r="AV29" s="21"/>
    </row>
    <row r="30" spans="1:48" x14ac:dyDescent="0.25">
      <c r="AD30" s="398">
        <f>SUM(AD26:AD29)</f>
        <v>45.935370000000006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topLeftCell="A16" zoomScale="90" zoomScaleNormal="90" zoomScaleSheetLayoutView="90" workbookViewId="0">
      <selection activeCell="B29" sqref="B29"/>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6" t="str">
        <f>'1. паспорт местоположение'!A5:C5</f>
        <v>Год раскрытия информации: 2023 год</v>
      </c>
      <c r="B5" s="536"/>
      <c r="C5" s="85"/>
      <c r="D5" s="85"/>
      <c r="E5" s="85"/>
      <c r="F5" s="85"/>
      <c r="G5" s="85"/>
      <c r="H5" s="85"/>
    </row>
    <row r="6" spans="1:8" ht="18.75" x14ac:dyDescent="0.3">
      <c r="A6" s="262"/>
      <c r="B6" s="262"/>
      <c r="C6" s="262"/>
      <c r="D6" s="262"/>
      <c r="E6" s="262"/>
      <c r="F6" s="262"/>
      <c r="G6" s="262"/>
      <c r="H6" s="262"/>
    </row>
    <row r="7" spans="1:8" ht="18.75" x14ac:dyDescent="0.25">
      <c r="A7" s="427" t="s">
        <v>7</v>
      </c>
      <c r="B7" s="427"/>
      <c r="C7" s="154"/>
      <c r="D7" s="154"/>
      <c r="E7" s="154"/>
      <c r="F7" s="154"/>
      <c r="G7" s="154"/>
      <c r="H7" s="154"/>
    </row>
    <row r="8" spans="1:8" ht="18.75" x14ac:dyDescent="0.25">
      <c r="A8" s="154"/>
      <c r="B8" s="154"/>
      <c r="C8" s="154"/>
      <c r="D8" s="154"/>
      <c r="E8" s="154"/>
      <c r="F8" s="154"/>
      <c r="G8" s="154"/>
      <c r="H8" s="154"/>
    </row>
    <row r="9" spans="1:8" x14ac:dyDescent="0.25">
      <c r="A9" s="421" t="str">
        <f>'1. паспорт местоположение'!A9:C9</f>
        <v>Акционерное общество "Россети Янтарь"</v>
      </c>
      <c r="B9" s="421"/>
      <c r="C9" s="168"/>
      <c r="D9" s="168"/>
      <c r="E9" s="168"/>
      <c r="F9" s="168"/>
      <c r="G9" s="168"/>
      <c r="H9" s="168"/>
    </row>
    <row r="10" spans="1:8" x14ac:dyDescent="0.25">
      <c r="A10" s="423" t="s">
        <v>6</v>
      </c>
      <c r="B10" s="423"/>
      <c r="C10" s="156"/>
      <c r="D10" s="156"/>
      <c r="E10" s="156"/>
      <c r="F10" s="156"/>
      <c r="G10" s="156"/>
      <c r="H10" s="156"/>
    </row>
    <row r="11" spans="1:8" ht="18.75" x14ac:dyDescent="0.25">
      <c r="A11" s="154"/>
      <c r="B11" s="154"/>
      <c r="C11" s="154"/>
      <c r="D11" s="154"/>
      <c r="E11" s="154"/>
      <c r="F11" s="154"/>
      <c r="G11" s="154"/>
      <c r="H11" s="154"/>
    </row>
    <row r="12" spans="1:8" x14ac:dyDescent="0.25">
      <c r="A12" s="421" t="str">
        <f>'1. паспорт местоположение'!A12:C12</f>
        <v>M_21-1785</v>
      </c>
      <c r="B12" s="421"/>
      <c r="C12" s="168"/>
      <c r="D12" s="168"/>
      <c r="E12" s="168"/>
      <c r="F12" s="168"/>
      <c r="G12" s="168"/>
      <c r="H12" s="168"/>
    </row>
    <row r="13" spans="1:8" x14ac:dyDescent="0.25">
      <c r="A13" s="423" t="s">
        <v>5</v>
      </c>
      <c r="B13" s="423"/>
      <c r="C13" s="156"/>
      <c r="D13" s="156"/>
      <c r="E13" s="156"/>
      <c r="F13" s="156"/>
      <c r="G13" s="156"/>
      <c r="H13" s="156"/>
    </row>
    <row r="14" spans="1:8" ht="18.75" x14ac:dyDescent="0.25">
      <c r="A14" s="11"/>
      <c r="B14" s="11"/>
      <c r="C14" s="11"/>
      <c r="D14" s="11"/>
      <c r="E14" s="11"/>
      <c r="F14" s="11"/>
      <c r="G14" s="11"/>
      <c r="H14" s="11"/>
    </row>
    <row r="15" spans="1:8" ht="35.25" customHeight="1" x14ac:dyDescent="0.25">
      <c r="A15" s="537" t="str">
        <f>'1. паспорт местоположение'!A15:C15</f>
        <v>Переустройство ВЛ 0,4 кВ от ТП 47-04 (инв.511502706) в п. Малое Исаково, пер. Калининградский Гурьевский ГО</v>
      </c>
      <c r="B15" s="537"/>
      <c r="C15" s="168"/>
      <c r="D15" s="168"/>
      <c r="E15" s="168"/>
      <c r="F15" s="168"/>
      <c r="G15" s="168"/>
      <c r="H15" s="168"/>
    </row>
    <row r="16" spans="1:8" x14ac:dyDescent="0.25">
      <c r="A16" s="423" t="s">
        <v>4</v>
      </c>
      <c r="B16" s="423"/>
      <c r="C16" s="156"/>
      <c r="D16" s="156"/>
      <c r="E16" s="156"/>
      <c r="F16" s="156"/>
      <c r="G16" s="156"/>
      <c r="H16" s="156"/>
    </row>
    <row r="17" spans="1:2" x14ac:dyDescent="0.25">
      <c r="B17" s="123"/>
    </row>
    <row r="18" spans="1:2" x14ac:dyDescent="0.25">
      <c r="A18" s="538" t="s">
        <v>510</v>
      </c>
      <c r="B18" s="539"/>
    </row>
    <row r="19" spans="1:2" x14ac:dyDescent="0.25">
      <c r="B19" s="43"/>
    </row>
    <row r="20" spans="1:2" ht="16.5" thickBot="1" x14ac:dyDescent="0.3">
      <c r="B20" s="124"/>
    </row>
    <row r="21" spans="1:2" ht="30.75" thickBot="1" x14ac:dyDescent="0.3">
      <c r="A21" s="125" t="s">
        <v>380</v>
      </c>
      <c r="B21" s="399" t="str">
        <f>A15</f>
        <v>Переустройство ВЛ 0,4 кВ от ТП 47-04 (инв.511502706) в п. Малое Исаково, пер. Калининградский Гурьевский ГО</v>
      </c>
    </row>
    <row r="22" spans="1:2" ht="16.5" thickBot="1" x14ac:dyDescent="0.3">
      <c r="A22" s="125" t="s">
        <v>381</v>
      </c>
      <c r="B22" s="12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5" t="s">
        <v>346</v>
      </c>
      <c r="B23" s="127" t="s">
        <v>647</v>
      </c>
    </row>
    <row r="24" spans="1:2" ht="16.5" thickBot="1" x14ac:dyDescent="0.3">
      <c r="A24" s="125" t="s">
        <v>382</v>
      </c>
      <c r="B24" s="127" t="str">
        <f>CONCATENATE('3.2 паспорт Техсостояние ЛЭП'!R26," (",ROUND('3.2 паспорт Техсостояние ЛЭП'!S26,2),") км")</f>
        <v>0 (-0,03) км</v>
      </c>
    </row>
    <row r="25" spans="1:2" ht="16.5" thickBot="1" x14ac:dyDescent="0.3">
      <c r="A25" s="128" t="s">
        <v>383</v>
      </c>
      <c r="B25" s="126" t="s">
        <v>637</v>
      </c>
    </row>
    <row r="26" spans="1:2" ht="16.5" thickBot="1" x14ac:dyDescent="0.3">
      <c r="A26" s="129" t="s">
        <v>384</v>
      </c>
      <c r="B26" s="127" t="s">
        <v>690</v>
      </c>
    </row>
    <row r="27" spans="1:2" ht="29.25" thickBot="1" x14ac:dyDescent="0.3">
      <c r="A27" s="136" t="s">
        <v>675</v>
      </c>
      <c r="B27" s="261">
        <f>'5. анализ эконом эфф'!B122</f>
        <v>6.8650000000000003E-2</v>
      </c>
    </row>
    <row r="28" spans="1:2" ht="16.5" thickBot="1" x14ac:dyDescent="0.3">
      <c r="A28" s="131" t="s">
        <v>385</v>
      </c>
      <c r="B28" s="131" t="s">
        <v>692</v>
      </c>
    </row>
    <row r="29" spans="1:2" ht="29.25" thickBot="1" x14ac:dyDescent="0.3">
      <c r="A29" s="137" t="s">
        <v>386</v>
      </c>
      <c r="B29" s="344">
        <f>'7. Паспорт отчет о закупке'!AD30/1000</f>
        <v>4.5935370000000003E-2</v>
      </c>
    </row>
    <row r="30" spans="1:2" ht="29.25" thickBot="1" x14ac:dyDescent="0.3">
      <c r="A30" s="137" t="s">
        <v>387</v>
      </c>
      <c r="B30" s="344">
        <f>B32+B41+B58</f>
        <v>4.5935370000000003E-2</v>
      </c>
    </row>
    <row r="31" spans="1:2" ht="16.5" thickBot="1" x14ac:dyDescent="0.3">
      <c r="A31" s="131" t="s">
        <v>388</v>
      </c>
      <c r="B31" s="344"/>
    </row>
    <row r="32" spans="1:2" ht="29.25" thickBot="1" x14ac:dyDescent="0.3">
      <c r="A32" s="137" t="s">
        <v>389</v>
      </c>
      <c r="B32" s="344">
        <f>B33+B37</f>
        <v>0</v>
      </c>
    </row>
    <row r="33" spans="1:3" s="267" customFormat="1" ht="16.5" thickBot="1" x14ac:dyDescent="0.3">
      <c r="A33" s="278" t="s">
        <v>390</v>
      </c>
      <c r="B33" s="345">
        <v>0</v>
      </c>
    </row>
    <row r="34" spans="1:3" ht="16.5" thickBot="1" x14ac:dyDescent="0.3">
      <c r="A34" s="131" t="s">
        <v>391</v>
      </c>
      <c r="B34" s="268">
        <f>B33/$B$27</f>
        <v>0</v>
      </c>
    </row>
    <row r="35" spans="1:3" ht="16.5" thickBot="1" x14ac:dyDescent="0.3">
      <c r="A35" s="131" t="s">
        <v>392</v>
      </c>
      <c r="B35" s="344">
        <v>0</v>
      </c>
      <c r="C35" s="122">
        <v>1</v>
      </c>
    </row>
    <row r="36" spans="1:3" ht="16.5" thickBot="1" x14ac:dyDescent="0.3">
      <c r="A36" s="131" t="s">
        <v>393</v>
      </c>
      <c r="B36" s="344">
        <v>0</v>
      </c>
      <c r="C36" s="122">
        <v>2</v>
      </c>
    </row>
    <row r="37" spans="1:3" s="267" customFormat="1" ht="16.5" thickBot="1" x14ac:dyDescent="0.3">
      <c r="A37" s="278" t="s">
        <v>390</v>
      </c>
      <c r="B37" s="345">
        <v>0</v>
      </c>
    </row>
    <row r="38" spans="1:3" ht="16.5" thickBot="1" x14ac:dyDescent="0.3">
      <c r="A38" s="131" t="s">
        <v>391</v>
      </c>
      <c r="B38" s="268">
        <f>B37/$B$27</f>
        <v>0</v>
      </c>
    </row>
    <row r="39" spans="1:3" ht="16.5" thickBot="1" x14ac:dyDescent="0.3">
      <c r="A39" s="131" t="s">
        <v>392</v>
      </c>
      <c r="B39" s="344">
        <v>0</v>
      </c>
      <c r="C39" s="122">
        <v>1</v>
      </c>
    </row>
    <row r="40" spans="1:3" ht="16.5" thickBot="1" x14ac:dyDescent="0.3">
      <c r="A40" s="131" t="s">
        <v>393</v>
      </c>
      <c r="B40" s="344">
        <v>0</v>
      </c>
      <c r="C40" s="122">
        <v>2</v>
      </c>
    </row>
    <row r="41" spans="1:3" ht="29.25" thickBot="1" x14ac:dyDescent="0.3">
      <c r="A41" s="137" t="s">
        <v>394</v>
      </c>
      <c r="B41" s="344">
        <f>B42+B46+B50+B54</f>
        <v>0</v>
      </c>
    </row>
    <row r="42" spans="1:3" s="267" customFormat="1" ht="16.5" thickBot="1" x14ac:dyDescent="0.3">
      <c r="A42" s="278" t="s">
        <v>390</v>
      </c>
      <c r="B42" s="345">
        <v>0</v>
      </c>
    </row>
    <row r="43" spans="1:3" ht="16.5" thickBot="1" x14ac:dyDescent="0.3">
      <c r="A43" s="131" t="s">
        <v>391</v>
      </c>
      <c r="B43" s="268">
        <f>B42/$B$27</f>
        <v>0</v>
      </c>
    </row>
    <row r="44" spans="1:3" ht="16.5" thickBot="1" x14ac:dyDescent="0.3">
      <c r="A44" s="131" t="s">
        <v>392</v>
      </c>
      <c r="B44" s="344">
        <v>0</v>
      </c>
      <c r="C44" s="122">
        <v>1</v>
      </c>
    </row>
    <row r="45" spans="1:3" ht="16.5" thickBot="1" x14ac:dyDescent="0.3">
      <c r="A45" s="131" t="s">
        <v>393</v>
      </c>
      <c r="B45" s="344">
        <v>0</v>
      </c>
      <c r="C45" s="122">
        <v>2</v>
      </c>
    </row>
    <row r="46" spans="1:3" s="267" customFormat="1" ht="16.5" thickBot="1" x14ac:dyDescent="0.3">
      <c r="A46" s="266" t="s">
        <v>390</v>
      </c>
      <c r="B46" s="345">
        <v>0</v>
      </c>
    </row>
    <row r="47" spans="1:3" ht="16.5" thickBot="1" x14ac:dyDescent="0.3">
      <c r="A47" s="131" t="s">
        <v>391</v>
      </c>
      <c r="B47" s="268">
        <f>B46/$B$27</f>
        <v>0</v>
      </c>
    </row>
    <row r="48" spans="1:3" ht="16.5" thickBot="1" x14ac:dyDescent="0.3">
      <c r="A48" s="131" t="s">
        <v>392</v>
      </c>
      <c r="B48" s="344">
        <v>0</v>
      </c>
      <c r="C48" s="122">
        <v>1</v>
      </c>
    </row>
    <row r="49" spans="1:3" ht="16.5" thickBot="1" x14ac:dyDescent="0.3">
      <c r="A49" s="131" t="s">
        <v>393</v>
      </c>
      <c r="B49" s="344">
        <v>0</v>
      </c>
      <c r="C49" s="122">
        <v>2</v>
      </c>
    </row>
    <row r="50" spans="1:3" s="267" customFormat="1" ht="16.5" thickBot="1" x14ac:dyDescent="0.3">
      <c r="A50" s="266" t="s">
        <v>390</v>
      </c>
      <c r="B50" s="345">
        <v>0</v>
      </c>
    </row>
    <row r="51" spans="1:3" ht="16.5" thickBot="1" x14ac:dyDescent="0.3">
      <c r="A51" s="131" t="s">
        <v>391</v>
      </c>
      <c r="B51" s="268">
        <f>B50/$B$27</f>
        <v>0</v>
      </c>
    </row>
    <row r="52" spans="1:3" ht="16.5" thickBot="1" x14ac:dyDescent="0.3">
      <c r="A52" s="131" t="s">
        <v>392</v>
      </c>
      <c r="B52" s="344">
        <v>0</v>
      </c>
      <c r="C52" s="122">
        <v>1</v>
      </c>
    </row>
    <row r="53" spans="1:3" ht="16.5" thickBot="1" x14ac:dyDescent="0.3">
      <c r="A53" s="131" t="s">
        <v>393</v>
      </c>
      <c r="B53" s="344">
        <v>0</v>
      </c>
      <c r="C53" s="122">
        <v>2</v>
      </c>
    </row>
    <row r="54" spans="1:3" s="267" customFormat="1" ht="16.5" thickBot="1" x14ac:dyDescent="0.3">
      <c r="A54" s="266" t="s">
        <v>390</v>
      </c>
      <c r="B54" s="345">
        <v>0</v>
      </c>
    </row>
    <row r="55" spans="1:3" ht="16.5" thickBot="1" x14ac:dyDescent="0.3">
      <c r="A55" s="131" t="s">
        <v>391</v>
      </c>
      <c r="B55" s="268">
        <f>B54/$B$27</f>
        <v>0</v>
      </c>
    </row>
    <row r="56" spans="1:3" ht="16.5" thickBot="1" x14ac:dyDescent="0.3">
      <c r="A56" s="131" t="s">
        <v>392</v>
      </c>
      <c r="B56" s="344">
        <v>0</v>
      </c>
      <c r="C56" s="122">
        <v>1</v>
      </c>
    </row>
    <row r="57" spans="1:3" ht="16.5" thickBot="1" x14ac:dyDescent="0.3">
      <c r="A57" s="131" t="s">
        <v>393</v>
      </c>
      <c r="B57" s="344">
        <v>0</v>
      </c>
      <c r="C57" s="122">
        <v>2</v>
      </c>
    </row>
    <row r="58" spans="1:3" ht="29.25" thickBot="1" x14ac:dyDescent="0.3">
      <c r="A58" s="137" t="s">
        <v>395</v>
      </c>
      <c r="B58" s="344">
        <f>B59+B63+B67+B71</f>
        <v>4.5935370000000003E-2</v>
      </c>
    </row>
    <row r="59" spans="1:3" s="267" customFormat="1" ht="30.75" thickBot="1" x14ac:dyDescent="0.3">
      <c r="A59" s="400" t="s">
        <v>693</v>
      </c>
      <c r="B59" s="401">
        <v>4.5935370000000003E-2</v>
      </c>
    </row>
    <row r="60" spans="1:3" ht="16.5" thickBot="1" x14ac:dyDescent="0.3">
      <c r="A60" s="131" t="s">
        <v>391</v>
      </c>
      <c r="B60" s="268">
        <f t="shared" ref="B60" si="0">B59/$B$27</f>
        <v>0.66912410779315368</v>
      </c>
    </row>
    <row r="61" spans="1:3" ht="16.5" thickBot="1" x14ac:dyDescent="0.3">
      <c r="A61" s="131" t="s">
        <v>392</v>
      </c>
      <c r="B61" s="344">
        <v>3.051678E-2</v>
      </c>
      <c r="C61" s="122">
        <v>1</v>
      </c>
    </row>
    <row r="62" spans="1:3" ht="16.5" thickBot="1" x14ac:dyDescent="0.3">
      <c r="A62" s="131" t="s">
        <v>393</v>
      </c>
      <c r="B62" s="344">
        <v>3.051678E-2</v>
      </c>
      <c r="C62" s="122">
        <v>2</v>
      </c>
    </row>
    <row r="63" spans="1:3" s="267" customFormat="1" ht="16.5" thickBot="1" x14ac:dyDescent="0.3">
      <c r="A63" s="278" t="s">
        <v>390</v>
      </c>
      <c r="B63" s="345">
        <v>0</v>
      </c>
    </row>
    <row r="64" spans="1:3" ht="16.5" thickBot="1" x14ac:dyDescent="0.3">
      <c r="A64" s="131" t="s">
        <v>391</v>
      </c>
      <c r="B64" s="268">
        <f t="shared" ref="B64" si="1">B63/$B$27</f>
        <v>0</v>
      </c>
    </row>
    <row r="65" spans="1:4" ht="16.5" thickBot="1" x14ac:dyDescent="0.3">
      <c r="A65" s="131" t="s">
        <v>392</v>
      </c>
      <c r="B65" s="344">
        <v>0</v>
      </c>
      <c r="C65" s="122">
        <v>1</v>
      </c>
    </row>
    <row r="66" spans="1:4" ht="16.5" thickBot="1" x14ac:dyDescent="0.3">
      <c r="A66" s="131" t="s">
        <v>393</v>
      </c>
      <c r="B66" s="344">
        <v>0</v>
      </c>
      <c r="C66" s="122">
        <v>2</v>
      </c>
    </row>
    <row r="67" spans="1:4" s="267" customFormat="1" ht="16.5" thickBot="1" x14ac:dyDescent="0.3">
      <c r="A67" s="278" t="s">
        <v>390</v>
      </c>
      <c r="B67" s="345">
        <v>0</v>
      </c>
    </row>
    <row r="68" spans="1:4" ht="16.5" thickBot="1" x14ac:dyDescent="0.3">
      <c r="A68" s="131" t="s">
        <v>391</v>
      </c>
      <c r="B68" s="268">
        <f t="shared" ref="B68" si="2">B67/$B$27</f>
        <v>0</v>
      </c>
    </row>
    <row r="69" spans="1:4" ht="16.5" thickBot="1" x14ac:dyDescent="0.3">
      <c r="A69" s="131" t="s">
        <v>392</v>
      </c>
      <c r="B69" s="344">
        <v>0</v>
      </c>
      <c r="C69" s="122">
        <v>1</v>
      </c>
    </row>
    <row r="70" spans="1:4" ht="16.5" thickBot="1" x14ac:dyDescent="0.3">
      <c r="A70" s="131" t="s">
        <v>393</v>
      </c>
      <c r="B70" s="344">
        <v>0</v>
      </c>
      <c r="C70" s="122">
        <v>2</v>
      </c>
    </row>
    <row r="71" spans="1:4" s="267" customFormat="1" ht="16.5" thickBot="1" x14ac:dyDescent="0.3">
      <c r="A71" s="266" t="s">
        <v>390</v>
      </c>
      <c r="B71" s="345">
        <v>0</v>
      </c>
    </row>
    <row r="72" spans="1:4" ht="16.5" thickBot="1" x14ac:dyDescent="0.3">
      <c r="A72" s="131" t="s">
        <v>391</v>
      </c>
      <c r="B72" s="268">
        <f>B71/$B$27</f>
        <v>0</v>
      </c>
    </row>
    <row r="73" spans="1:4" ht="16.5" thickBot="1" x14ac:dyDescent="0.3">
      <c r="A73" s="131" t="s">
        <v>392</v>
      </c>
      <c r="B73" s="344">
        <v>0</v>
      </c>
      <c r="C73" s="122">
        <v>1</v>
      </c>
    </row>
    <row r="74" spans="1:4" ht="16.5" thickBot="1" x14ac:dyDescent="0.3">
      <c r="A74" s="131" t="s">
        <v>393</v>
      </c>
      <c r="B74" s="344">
        <v>0</v>
      </c>
      <c r="C74" s="122">
        <v>2</v>
      </c>
    </row>
    <row r="75" spans="1:4" ht="29.25" thickBot="1" x14ac:dyDescent="0.3">
      <c r="A75" s="130" t="s">
        <v>396</v>
      </c>
      <c r="B75" s="268">
        <f>B30/B27</f>
        <v>0.66912410779315368</v>
      </c>
    </row>
    <row r="76" spans="1:4" ht="16.5" thickBot="1" x14ac:dyDescent="0.3">
      <c r="A76" s="132" t="s">
        <v>388</v>
      </c>
      <c r="B76" s="268"/>
    </row>
    <row r="77" spans="1:4" ht="16.5" thickBot="1" x14ac:dyDescent="0.3">
      <c r="A77" s="132" t="s">
        <v>397</v>
      </c>
      <c r="B77" s="268"/>
    </row>
    <row r="78" spans="1:4" ht="16.5" thickBot="1" x14ac:dyDescent="0.3">
      <c r="A78" s="132" t="s">
        <v>398</v>
      </c>
      <c r="B78" s="268"/>
    </row>
    <row r="79" spans="1:4" ht="16.5" thickBot="1" x14ac:dyDescent="0.3">
      <c r="A79" s="132" t="s">
        <v>399</v>
      </c>
      <c r="B79" s="268">
        <f>B59/B27</f>
        <v>0.66912410779315368</v>
      </c>
    </row>
    <row r="80" spans="1:4" s="61" customFormat="1" ht="16.5" thickBot="1" x14ac:dyDescent="0.3">
      <c r="A80" s="394" t="s">
        <v>671</v>
      </c>
      <c r="B80" s="395">
        <f xml:space="preserve"> SUMIF(C81:C88, 40,B81:B88)</f>
        <v>7.2272299999999994E-3</v>
      </c>
      <c r="C80" s="396"/>
      <c r="D80" s="397"/>
    </row>
    <row r="81" spans="1:4" s="61" customFormat="1" ht="30.75" thickBot="1" x14ac:dyDescent="0.3">
      <c r="A81" s="400" t="s">
        <v>698</v>
      </c>
      <c r="B81" s="401">
        <v>7.2272299999999994E-3</v>
      </c>
      <c r="C81" s="122">
        <v>40</v>
      </c>
      <c r="D81" s="122"/>
    </row>
    <row r="82" spans="1:4" s="61" customFormat="1" ht="16.5" thickBot="1" x14ac:dyDescent="0.3">
      <c r="A82" s="131" t="s">
        <v>391</v>
      </c>
      <c r="B82" s="268">
        <f t="shared" ref="B82" si="3">B81/$B$27</f>
        <v>0.10527647487254187</v>
      </c>
      <c r="C82" s="122"/>
      <c r="D82" s="122"/>
    </row>
    <row r="83" spans="1:4" s="61" customFormat="1" ht="16.5" thickBot="1" x14ac:dyDescent="0.3">
      <c r="A83" s="131" t="s">
        <v>392</v>
      </c>
      <c r="B83" s="344">
        <v>7.2272299999999994E-3</v>
      </c>
      <c r="C83" s="122">
        <v>1</v>
      </c>
      <c r="D83" s="122"/>
    </row>
    <row r="84" spans="1:4" s="61" customFormat="1" ht="16.5" thickBot="1" x14ac:dyDescent="0.3">
      <c r="A84" s="131" t="s">
        <v>393</v>
      </c>
      <c r="B84" s="344">
        <v>7.2272299999999994E-3</v>
      </c>
      <c r="C84" s="122">
        <v>2</v>
      </c>
      <c r="D84" s="122"/>
    </row>
    <row r="85" spans="1:4" s="61" customFormat="1" ht="16.5" thickBot="1" x14ac:dyDescent="0.3">
      <c r="A85" s="278" t="s">
        <v>390</v>
      </c>
      <c r="B85" s="345">
        <v>0</v>
      </c>
      <c r="C85" s="122">
        <v>40</v>
      </c>
      <c r="D85" s="122"/>
    </row>
    <row r="86" spans="1:4" s="61" customFormat="1" ht="16.5" thickBot="1" x14ac:dyDescent="0.3">
      <c r="A86" s="131" t="s">
        <v>391</v>
      </c>
      <c r="B86" s="268">
        <f t="shared" ref="B86" si="4">B85/$B$27</f>
        <v>0</v>
      </c>
      <c r="C86" s="122"/>
      <c r="D86" s="122"/>
    </row>
    <row r="87" spans="1:4" s="61" customFormat="1" ht="16.5" thickBot="1" x14ac:dyDescent="0.3">
      <c r="A87" s="131" t="s">
        <v>392</v>
      </c>
      <c r="B87" s="344">
        <v>0</v>
      </c>
      <c r="C87" s="122">
        <v>1</v>
      </c>
      <c r="D87" s="122"/>
    </row>
    <row r="88" spans="1:4" s="61" customFormat="1" ht="16.5" thickBot="1" x14ac:dyDescent="0.3">
      <c r="A88" s="131" t="s">
        <v>393</v>
      </c>
      <c r="B88" s="344">
        <v>0</v>
      </c>
      <c r="C88" s="122">
        <v>2</v>
      </c>
      <c r="D88" s="122"/>
    </row>
    <row r="89" spans="1:4" ht="16.5" thickBot="1" x14ac:dyDescent="0.3">
      <c r="A89" s="128" t="s">
        <v>400</v>
      </c>
      <c r="B89" s="269">
        <f>B90/$B$27</f>
        <v>0.54980349599417333</v>
      </c>
    </row>
    <row r="90" spans="1:4" ht="16.5" thickBot="1" x14ac:dyDescent="0.3">
      <c r="A90" s="128" t="s">
        <v>401</v>
      </c>
      <c r="B90" s="393">
        <f xml:space="preserve"> SUMIF(C33:C88, 1,B33:B88)</f>
        <v>3.7744010000000001E-2</v>
      </c>
    </row>
    <row r="91" spans="1:4" ht="16.5" thickBot="1" x14ac:dyDescent="0.3">
      <c r="A91" s="128" t="s">
        <v>402</v>
      </c>
      <c r="B91" s="269">
        <f>B92/$B$27</f>
        <v>0.54980349599417333</v>
      </c>
    </row>
    <row r="92" spans="1:4" ht="16.5" thickBot="1" x14ac:dyDescent="0.3">
      <c r="A92" s="129" t="s">
        <v>403</v>
      </c>
      <c r="B92" s="393">
        <f xml:space="preserve"> SUMIF(C33:C88, 2,B33:B88)</f>
        <v>3.7744010000000001E-2</v>
      </c>
    </row>
    <row r="93" spans="1:4" ht="15.6" customHeight="1" x14ac:dyDescent="0.25">
      <c r="A93" s="130" t="s">
        <v>404</v>
      </c>
      <c r="B93" s="132" t="s">
        <v>405</v>
      </c>
    </row>
    <row r="94" spans="1:4" x14ac:dyDescent="0.25">
      <c r="A94" s="134" t="s">
        <v>406</v>
      </c>
      <c r="B94" s="134" t="s">
        <v>530</v>
      </c>
    </row>
    <row r="95" spans="1:4" x14ac:dyDescent="0.25">
      <c r="A95" s="134" t="s">
        <v>407</v>
      </c>
      <c r="B95" s="134" t="s">
        <v>695</v>
      </c>
    </row>
    <row r="96" spans="1:4" x14ac:dyDescent="0.25">
      <c r="A96" s="134" t="s">
        <v>408</v>
      </c>
      <c r="B96" s="134"/>
    </row>
    <row r="97" spans="1:2" x14ac:dyDescent="0.25">
      <c r="A97" s="134" t="s">
        <v>409</v>
      </c>
      <c r="B97" s="134" t="s">
        <v>699</v>
      </c>
    </row>
    <row r="98" spans="1:2" ht="16.5" thickBot="1" x14ac:dyDescent="0.3">
      <c r="A98" s="135" t="s">
        <v>410</v>
      </c>
      <c r="B98" s="135"/>
    </row>
    <row r="99" spans="1:2" ht="30.75" thickBot="1" x14ac:dyDescent="0.3">
      <c r="A99" s="132" t="s">
        <v>411</v>
      </c>
      <c r="B99" s="133" t="s">
        <v>637</v>
      </c>
    </row>
    <row r="100" spans="1:2" ht="29.25" thickBot="1" x14ac:dyDescent="0.3">
      <c r="A100" s="128" t="s">
        <v>412</v>
      </c>
      <c r="B100" s="339">
        <v>7</v>
      </c>
    </row>
    <row r="101" spans="1:2" ht="16.5" thickBot="1" x14ac:dyDescent="0.3">
      <c r="A101" s="132" t="s">
        <v>388</v>
      </c>
      <c r="B101" s="340"/>
    </row>
    <row r="102" spans="1:2" ht="16.5" thickBot="1" x14ac:dyDescent="0.3">
      <c r="A102" s="132" t="s">
        <v>413</v>
      </c>
      <c r="B102" s="339">
        <v>4</v>
      </c>
    </row>
    <row r="103" spans="1:2" ht="16.5" thickBot="1" x14ac:dyDescent="0.3">
      <c r="A103" s="132" t="s">
        <v>414</v>
      </c>
      <c r="B103" s="340">
        <v>3</v>
      </c>
    </row>
    <row r="104" spans="1:2" ht="16.5" thickBot="1" x14ac:dyDescent="0.3">
      <c r="A104" s="140" t="s">
        <v>415</v>
      </c>
      <c r="B104" s="338" t="s">
        <v>629</v>
      </c>
    </row>
    <row r="105" spans="1:2" ht="16.5" thickBot="1" x14ac:dyDescent="0.3">
      <c r="A105" s="128" t="s">
        <v>416</v>
      </c>
      <c r="B105" s="138"/>
    </row>
    <row r="106" spans="1:2" ht="16.5" thickBot="1" x14ac:dyDescent="0.3">
      <c r="A106" s="134" t="s">
        <v>417</v>
      </c>
      <c r="B106" s="141" t="s">
        <v>629</v>
      </c>
    </row>
    <row r="107" spans="1:2" ht="16.5" thickBot="1" x14ac:dyDescent="0.3">
      <c r="A107" s="134" t="s">
        <v>418</v>
      </c>
      <c r="B107" s="141" t="s">
        <v>629</v>
      </c>
    </row>
    <row r="108" spans="1:2" ht="16.5" thickBot="1" x14ac:dyDescent="0.3">
      <c r="A108" s="134" t="s">
        <v>419</v>
      </c>
      <c r="B108" s="141" t="s">
        <v>629</v>
      </c>
    </row>
    <row r="109" spans="1:2" ht="29.25" thickBot="1" x14ac:dyDescent="0.3">
      <c r="A109" s="142" t="s">
        <v>420</v>
      </c>
      <c r="B109" s="139" t="s">
        <v>637</v>
      </c>
    </row>
    <row r="110" spans="1:2" ht="28.5" x14ac:dyDescent="0.25">
      <c r="A110" s="130" t="s">
        <v>421</v>
      </c>
      <c r="B110" s="540" t="s">
        <v>629</v>
      </c>
    </row>
    <row r="111" spans="1:2" x14ac:dyDescent="0.25">
      <c r="A111" s="134" t="s">
        <v>422</v>
      </c>
      <c r="B111" s="541"/>
    </row>
    <row r="112" spans="1:2" x14ac:dyDescent="0.25">
      <c r="A112" s="134" t="s">
        <v>423</v>
      </c>
      <c r="B112" s="541"/>
    </row>
    <row r="113" spans="1:2" x14ac:dyDescent="0.25">
      <c r="A113" s="134" t="s">
        <v>424</v>
      </c>
      <c r="B113" s="541"/>
    </row>
    <row r="114" spans="1:2" x14ac:dyDescent="0.25">
      <c r="A114" s="134" t="s">
        <v>425</v>
      </c>
      <c r="B114" s="541"/>
    </row>
    <row r="115" spans="1:2" ht="16.5" thickBot="1" x14ac:dyDescent="0.3">
      <c r="A115" s="143" t="s">
        <v>426</v>
      </c>
      <c r="B115" s="542"/>
    </row>
    <row r="118" spans="1:2" x14ac:dyDescent="0.25">
      <c r="A118" s="144"/>
      <c r="B118" s="145"/>
    </row>
    <row r="119" spans="1:2" x14ac:dyDescent="0.25">
      <c r="B119" s="146"/>
    </row>
    <row r="120" spans="1:2" x14ac:dyDescent="0.25">
      <c r="B120" s="147"/>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3" t="s">
        <v>572</v>
      </c>
    </row>
    <row r="2" spans="1:1" ht="25.5" customHeight="1" x14ac:dyDescent="0.25">
      <c r="A2" s="543"/>
    </row>
    <row r="3" spans="1:1" ht="25.5" customHeight="1" x14ac:dyDescent="0.25">
      <c r="A3" s="543"/>
    </row>
    <row r="4" spans="1:1" ht="25.5" customHeight="1" x14ac:dyDescent="0.25">
      <c r="A4" s="543"/>
    </row>
    <row r="5" spans="1:1" ht="25.5" customHeight="1" x14ac:dyDescent="0.25">
      <c r="A5" s="543"/>
    </row>
    <row r="6" spans="1:1" ht="23.25" customHeight="1" x14ac:dyDescent="0.25">
      <c r="A6" s="254">
        <v>2</v>
      </c>
    </row>
    <row r="7" spans="1:1" s="114" customFormat="1" ht="23.25" customHeight="1" x14ac:dyDescent="0.25">
      <c r="A7" s="258" t="s">
        <v>573</v>
      </c>
    </row>
    <row r="8" spans="1:1" ht="31.5" customHeight="1" x14ac:dyDescent="0.25">
      <c r="A8" s="255" t="s">
        <v>581</v>
      </c>
    </row>
    <row r="9" spans="1:1" ht="45.75" customHeight="1" x14ac:dyDescent="0.25">
      <c r="A9" s="255" t="s">
        <v>582</v>
      </c>
    </row>
    <row r="10" spans="1:1" ht="33.75" customHeight="1" x14ac:dyDescent="0.25">
      <c r="A10" s="255" t="s">
        <v>583</v>
      </c>
    </row>
    <row r="11" spans="1:1" ht="23.25" customHeight="1" x14ac:dyDescent="0.25">
      <c r="A11" s="255" t="s">
        <v>584</v>
      </c>
    </row>
    <row r="12" spans="1:1" ht="23.25" customHeight="1" x14ac:dyDescent="0.25">
      <c r="A12" s="255" t="s">
        <v>585</v>
      </c>
    </row>
    <row r="13" spans="1:1" ht="33" customHeight="1" x14ac:dyDescent="0.25">
      <c r="A13" s="255" t="s">
        <v>586</v>
      </c>
    </row>
    <row r="14" spans="1:1" ht="23.25" customHeight="1" x14ac:dyDescent="0.25">
      <c r="A14" s="255" t="s">
        <v>587</v>
      </c>
    </row>
    <row r="15" spans="1:1" ht="23.25" customHeight="1" x14ac:dyDescent="0.25">
      <c r="A15" s="256" t="s">
        <v>588</v>
      </c>
    </row>
    <row r="16" spans="1:1" ht="34.5" customHeight="1" x14ac:dyDescent="0.25">
      <c r="A16" s="256" t="s">
        <v>589</v>
      </c>
    </row>
    <row r="17" spans="1:1" ht="39.75" customHeight="1" x14ac:dyDescent="0.25">
      <c r="A17" s="256" t="s">
        <v>590</v>
      </c>
    </row>
    <row r="18" spans="1:1" ht="40.5" customHeight="1" x14ac:dyDescent="0.25">
      <c r="A18" s="256" t="s">
        <v>591</v>
      </c>
    </row>
    <row r="19" spans="1:1" ht="48.75" customHeight="1" x14ac:dyDescent="0.25">
      <c r="A19" s="256" t="s">
        <v>589</v>
      </c>
    </row>
    <row r="20" spans="1:1" ht="39" customHeight="1" x14ac:dyDescent="0.25">
      <c r="A20" s="255" t="s">
        <v>590</v>
      </c>
    </row>
    <row r="21" spans="1:1" ht="39.75" customHeight="1" x14ac:dyDescent="0.25">
      <c r="A21" s="255" t="s">
        <v>592</v>
      </c>
    </row>
    <row r="22" spans="1:1" ht="35.25" customHeight="1" x14ac:dyDescent="0.25">
      <c r="A22" s="255" t="s">
        <v>593</v>
      </c>
    </row>
    <row r="23" spans="1:1" ht="35.25" customHeight="1" x14ac:dyDescent="0.25">
      <c r="A23" s="255" t="s">
        <v>594</v>
      </c>
    </row>
    <row r="24" spans="1:1" ht="57.75" customHeight="1" x14ac:dyDescent="0.25">
      <c r="A24" s="255" t="s">
        <v>595</v>
      </c>
    </row>
    <row r="25" spans="1:1" s="114" customFormat="1" ht="23.25" customHeight="1" x14ac:dyDescent="0.25">
      <c r="A25" s="258" t="s">
        <v>596</v>
      </c>
    </row>
    <row r="26" spans="1:1" ht="36.75" customHeight="1" x14ac:dyDescent="0.25">
      <c r="A26" s="255" t="s">
        <v>597</v>
      </c>
    </row>
    <row r="27" spans="1:1" ht="23.25" customHeight="1" x14ac:dyDescent="0.25">
      <c r="A27" s="255" t="s">
        <v>598</v>
      </c>
    </row>
    <row r="28" spans="1:1" ht="30.75" customHeight="1" x14ac:dyDescent="0.25">
      <c r="A28" s="255" t="s">
        <v>599</v>
      </c>
    </row>
    <row r="29" spans="1:1" s="257" customFormat="1" ht="23.25" customHeight="1" x14ac:dyDescent="0.25">
      <c r="A29" s="255" t="s">
        <v>600</v>
      </c>
    </row>
    <row r="30" spans="1:1" s="257" customFormat="1" ht="23.25" customHeight="1" x14ac:dyDescent="0.25">
      <c r="A30" s="255" t="s">
        <v>601</v>
      </c>
    </row>
    <row r="31" spans="1:1" ht="23.25" customHeight="1" x14ac:dyDescent="0.25">
      <c r="A31" s="255" t="s">
        <v>602</v>
      </c>
    </row>
    <row r="32" spans="1:1" ht="23.25" customHeight="1" x14ac:dyDescent="0.25">
      <c r="A32" s="255" t="s">
        <v>603</v>
      </c>
    </row>
    <row r="33" spans="1:1" ht="23.25" customHeight="1" x14ac:dyDescent="0.25">
      <c r="A33" s="255" t="s">
        <v>604</v>
      </c>
    </row>
    <row r="34" spans="1:1" ht="23.25" customHeight="1" x14ac:dyDescent="0.25">
      <c r="A34" s="255" t="s">
        <v>605</v>
      </c>
    </row>
    <row r="35" spans="1:1" ht="23.25" customHeight="1" x14ac:dyDescent="0.25">
      <c r="A35" s="255" t="s">
        <v>606</v>
      </c>
    </row>
    <row r="36" spans="1:1" ht="23.25" customHeight="1" x14ac:dyDescent="0.25">
      <c r="A36" s="255" t="s">
        <v>607</v>
      </c>
    </row>
    <row r="37" spans="1:1" ht="23.25" customHeight="1" x14ac:dyDescent="0.25">
      <c r="A37" s="255" t="s">
        <v>608</v>
      </c>
    </row>
    <row r="38" spans="1:1" ht="23.25" customHeight="1" x14ac:dyDescent="0.25">
      <c r="A38" s="255" t="s">
        <v>609</v>
      </c>
    </row>
    <row r="39" spans="1:1" ht="23.25" customHeight="1" x14ac:dyDescent="0.25">
      <c r="A39" s="255" t="s">
        <v>610</v>
      </c>
    </row>
    <row r="40" spans="1:1" ht="23.25" customHeight="1" x14ac:dyDescent="0.25">
      <c r="A40" s="255" t="s">
        <v>611</v>
      </c>
    </row>
    <row r="41" spans="1:1" ht="23.25" customHeight="1" x14ac:dyDescent="0.25">
      <c r="A41" s="255" t="s">
        <v>612</v>
      </c>
    </row>
    <row r="42" spans="1:1" ht="23.25" customHeight="1" x14ac:dyDescent="0.25">
      <c r="A42" s="255" t="s">
        <v>613</v>
      </c>
    </row>
    <row r="43" spans="1:1" ht="23.25" customHeight="1" x14ac:dyDescent="0.25">
      <c r="A43" s="255" t="s">
        <v>614</v>
      </c>
    </row>
    <row r="44" spans="1:1" s="114" customFormat="1" ht="36" customHeight="1" x14ac:dyDescent="0.25">
      <c r="A44" s="258" t="s">
        <v>615</v>
      </c>
    </row>
    <row r="45" spans="1:1" ht="36" customHeight="1" x14ac:dyDescent="0.25">
      <c r="A45" s="255" t="s">
        <v>616</v>
      </c>
    </row>
    <row r="46" spans="1:1" ht="36" customHeight="1" x14ac:dyDescent="0.25">
      <c r="A46" s="255" t="s">
        <v>617</v>
      </c>
    </row>
    <row r="47" spans="1:1" s="114" customFormat="1" ht="23.25" customHeight="1" x14ac:dyDescent="0.25">
      <c r="A47" s="258" t="s">
        <v>618</v>
      </c>
    </row>
    <row r="48" spans="1:1" s="114" customFormat="1" ht="23.25" customHeight="1" x14ac:dyDescent="0.25">
      <c r="A48" s="259" t="s">
        <v>619</v>
      </c>
    </row>
    <row r="49" spans="1:1" s="114" customFormat="1" ht="23.25" customHeight="1" x14ac:dyDescent="0.25">
      <c r="A49" s="259" t="s">
        <v>620</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650</v>
      </c>
    </row>
    <row r="2" spans="1:1" ht="18.75" customHeight="1" x14ac:dyDescent="0.25">
      <c r="A2" t="s">
        <v>651</v>
      </c>
    </row>
    <row r="3" spans="1:1" x14ac:dyDescent="0.25">
      <c r="A3" s="386" t="s">
        <v>652</v>
      </c>
    </row>
    <row r="4" spans="1:1" x14ac:dyDescent="0.25">
      <c r="A4" t="s">
        <v>653</v>
      </c>
    </row>
    <row r="5" spans="1:1" x14ac:dyDescent="0.25">
      <c r="A5" t="s">
        <v>654</v>
      </c>
    </row>
    <row r="6" spans="1:1" x14ac:dyDescent="0.25">
      <c r="A6" t="s">
        <v>655</v>
      </c>
    </row>
    <row r="7" spans="1:1" x14ac:dyDescent="0.25">
      <c r="A7" t="s">
        <v>656</v>
      </c>
    </row>
    <row r="8" spans="1:1" x14ac:dyDescent="0.25">
      <c r="A8" t="s">
        <v>657</v>
      </c>
    </row>
    <row r="9" spans="1:1" x14ac:dyDescent="0.25">
      <c r="A9" t="s">
        <v>622</v>
      </c>
    </row>
    <row r="10" spans="1:1" x14ac:dyDescent="0.25">
      <c r="A10" t="s">
        <v>623</v>
      </c>
    </row>
    <row r="11" spans="1:1" x14ac:dyDescent="0.25">
      <c r="A11" t="s">
        <v>658</v>
      </c>
    </row>
    <row r="12" spans="1:1" x14ac:dyDescent="0.25">
      <c r="A12" s="386" t="s">
        <v>659</v>
      </c>
    </row>
    <row r="13" spans="1:1" x14ac:dyDescent="0.25">
      <c r="A13" t="s">
        <v>660</v>
      </c>
    </row>
    <row r="14" spans="1:1" x14ac:dyDescent="0.25">
      <c r="A14" t="s">
        <v>624</v>
      </c>
    </row>
    <row r="15" spans="1:1" x14ac:dyDescent="0.25">
      <c r="A15" t="s">
        <v>661</v>
      </c>
    </row>
    <row r="16" spans="1:1" x14ac:dyDescent="0.25">
      <c r="A16" t="s">
        <v>662</v>
      </c>
    </row>
    <row r="17" spans="1:1" x14ac:dyDescent="0.25">
      <c r="A17" t="s">
        <v>625</v>
      </c>
    </row>
    <row r="18" spans="1:1" x14ac:dyDescent="0.25">
      <c r="A18" t="s">
        <v>663</v>
      </c>
    </row>
    <row r="19" spans="1:1" x14ac:dyDescent="0.25">
      <c r="A19" t="s">
        <v>664</v>
      </c>
    </row>
    <row r="20" spans="1:1" ht="17.25" customHeight="1" x14ac:dyDescent="0.25">
      <c r="A20" t="s">
        <v>626</v>
      </c>
    </row>
    <row r="21" spans="1:1" x14ac:dyDescent="0.25">
      <c r="A21" t="s">
        <v>665</v>
      </c>
    </row>
    <row r="22" spans="1:1" x14ac:dyDescent="0.25">
      <c r="A22" t="s">
        <v>627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628</v>
      </c>
    </row>
    <row r="2" spans="1:1" x14ac:dyDescent="0.25">
      <c r="A2" t="s">
        <v>532</v>
      </c>
    </row>
    <row r="3" spans="1:1" x14ac:dyDescent="0.25">
      <c r="A3" t="s">
        <v>629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630</v>
      </c>
    </row>
    <row r="3" spans="1:1" x14ac:dyDescent="0.25">
      <c r="A3" t="s">
        <v>631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633</v>
      </c>
    </row>
    <row r="2" spans="1:1" x14ac:dyDescent="0.25">
      <c r="A2" t="s">
        <v>634</v>
      </c>
    </row>
    <row r="3" spans="1:1" x14ac:dyDescent="0.25">
      <c r="A3" t="s">
        <v>635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574</v>
      </c>
    </row>
    <row r="2" spans="1:1" x14ac:dyDescent="0.25">
      <c r="A2" t="s">
        <v>575</v>
      </c>
    </row>
    <row r="3" spans="1:1" x14ac:dyDescent="0.25">
      <c r="A3" t="s">
        <v>576</v>
      </c>
    </row>
    <row r="4" spans="1:1" x14ac:dyDescent="0.25">
      <c r="A4" t="s">
        <v>577</v>
      </c>
    </row>
    <row r="5" spans="1:1" x14ac:dyDescent="0.25">
      <c r="A5" t="s">
        <v>578</v>
      </c>
    </row>
    <row r="6" spans="1:1" x14ac:dyDescent="0.25">
      <c r="A6" t="s">
        <v>579</v>
      </c>
    </row>
    <row r="7" spans="1:1" x14ac:dyDescent="0.25">
      <c r="A7" t="s">
        <v>580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row>
    <row r="5" spans="1:28" s="12" customFormat="1" ht="15.75" x14ac:dyDescent="0.2">
      <c r="A5" s="17"/>
    </row>
    <row r="6" spans="1:28" s="12" customFormat="1" ht="18.75" x14ac:dyDescent="0.2">
      <c r="A6" s="427" t="s">
        <v>7</v>
      </c>
      <c r="B6" s="427"/>
      <c r="C6" s="427"/>
      <c r="D6" s="427"/>
      <c r="E6" s="427"/>
      <c r="F6" s="427"/>
      <c r="G6" s="427"/>
      <c r="H6" s="427"/>
      <c r="I6" s="427"/>
      <c r="J6" s="427"/>
      <c r="K6" s="427"/>
      <c r="L6" s="427"/>
      <c r="M6" s="427"/>
      <c r="N6" s="427"/>
      <c r="O6" s="427"/>
      <c r="P6" s="427"/>
      <c r="Q6" s="427"/>
      <c r="R6" s="427"/>
      <c r="S6" s="427"/>
      <c r="T6" s="13"/>
      <c r="U6" s="13"/>
      <c r="V6" s="13"/>
      <c r="W6" s="13"/>
      <c r="X6" s="13"/>
      <c r="Y6" s="13"/>
      <c r="Z6" s="13"/>
      <c r="AA6" s="13"/>
      <c r="AB6" s="13"/>
    </row>
    <row r="7" spans="1:28" s="12" customFormat="1" ht="18.75" x14ac:dyDescent="0.2">
      <c r="A7" s="427"/>
      <c r="B7" s="427"/>
      <c r="C7" s="427"/>
      <c r="D7" s="427"/>
      <c r="E7" s="427"/>
      <c r="F7" s="427"/>
      <c r="G7" s="427"/>
      <c r="H7" s="427"/>
      <c r="I7" s="427"/>
      <c r="J7" s="427"/>
      <c r="K7" s="427"/>
      <c r="L7" s="427"/>
      <c r="M7" s="427"/>
      <c r="N7" s="427"/>
      <c r="O7" s="427"/>
      <c r="P7" s="427"/>
      <c r="Q7" s="427"/>
      <c r="R7" s="427"/>
      <c r="S7" s="427"/>
      <c r="T7" s="13"/>
      <c r="U7" s="13"/>
      <c r="V7" s="13"/>
      <c r="W7" s="13"/>
      <c r="X7" s="13"/>
      <c r="Y7" s="13"/>
      <c r="Z7" s="13"/>
      <c r="AA7" s="13"/>
      <c r="AB7" s="13"/>
    </row>
    <row r="8" spans="1:28" s="12" customFormat="1" ht="18.75" x14ac:dyDescent="0.2">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13"/>
      <c r="U8" s="13"/>
      <c r="V8" s="13"/>
      <c r="W8" s="13"/>
      <c r="X8" s="13"/>
      <c r="Y8" s="13"/>
      <c r="Z8" s="13"/>
      <c r="AA8" s="13"/>
      <c r="AB8" s="13"/>
    </row>
    <row r="9" spans="1:28" s="12" customFormat="1" ht="18.75" x14ac:dyDescent="0.2">
      <c r="A9" s="423" t="s">
        <v>6</v>
      </c>
      <c r="B9" s="423"/>
      <c r="C9" s="423"/>
      <c r="D9" s="423"/>
      <c r="E9" s="423"/>
      <c r="F9" s="423"/>
      <c r="G9" s="423"/>
      <c r="H9" s="423"/>
      <c r="I9" s="423"/>
      <c r="J9" s="423"/>
      <c r="K9" s="423"/>
      <c r="L9" s="423"/>
      <c r="M9" s="423"/>
      <c r="N9" s="423"/>
      <c r="O9" s="423"/>
      <c r="P9" s="423"/>
      <c r="Q9" s="423"/>
      <c r="R9" s="423"/>
      <c r="S9" s="423"/>
      <c r="T9" s="13"/>
      <c r="U9" s="13"/>
      <c r="V9" s="13"/>
      <c r="W9" s="13"/>
      <c r="X9" s="13"/>
      <c r="Y9" s="13"/>
      <c r="Z9" s="13"/>
      <c r="AA9" s="13"/>
      <c r="AB9" s="13"/>
    </row>
    <row r="10" spans="1:28" s="12" customFormat="1" ht="18.75" x14ac:dyDescent="0.2">
      <c r="A10" s="427"/>
      <c r="B10" s="427"/>
      <c r="C10" s="427"/>
      <c r="D10" s="427"/>
      <c r="E10" s="427"/>
      <c r="F10" s="427"/>
      <c r="G10" s="427"/>
      <c r="H10" s="427"/>
      <c r="I10" s="427"/>
      <c r="J10" s="427"/>
      <c r="K10" s="427"/>
      <c r="L10" s="427"/>
      <c r="M10" s="427"/>
      <c r="N10" s="427"/>
      <c r="O10" s="427"/>
      <c r="P10" s="427"/>
      <c r="Q10" s="427"/>
      <c r="R10" s="427"/>
      <c r="S10" s="427"/>
      <c r="T10" s="13"/>
      <c r="U10" s="13"/>
      <c r="V10" s="13"/>
      <c r="W10" s="13"/>
      <c r="X10" s="13"/>
      <c r="Y10" s="13"/>
      <c r="Z10" s="13"/>
      <c r="AA10" s="13"/>
      <c r="AB10" s="13"/>
    </row>
    <row r="11" spans="1:28" s="12" customFormat="1" ht="18.75" x14ac:dyDescent="0.2">
      <c r="A11" s="421" t="str">
        <f>'1. паспорт местоположение'!A12:C12</f>
        <v>M_21-1785</v>
      </c>
      <c r="B11" s="421"/>
      <c r="C11" s="421"/>
      <c r="D11" s="421"/>
      <c r="E11" s="421"/>
      <c r="F11" s="421"/>
      <c r="G11" s="421"/>
      <c r="H11" s="421"/>
      <c r="I11" s="421"/>
      <c r="J11" s="421"/>
      <c r="K11" s="421"/>
      <c r="L11" s="421"/>
      <c r="M11" s="421"/>
      <c r="N11" s="421"/>
      <c r="O11" s="421"/>
      <c r="P11" s="421"/>
      <c r="Q11" s="421"/>
      <c r="R11" s="421"/>
      <c r="S11" s="421"/>
      <c r="T11" s="13"/>
      <c r="U11" s="13"/>
      <c r="V11" s="13"/>
      <c r="W11" s="13"/>
      <c r="X11" s="13"/>
      <c r="Y11" s="13"/>
      <c r="Z11" s="13"/>
      <c r="AA11" s="13"/>
      <c r="AB11" s="13"/>
    </row>
    <row r="12" spans="1:28" s="12"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3"/>
      <c r="U12" s="13"/>
      <c r="V12" s="13"/>
      <c r="W12" s="13"/>
      <c r="X12" s="13"/>
      <c r="Y12" s="13"/>
      <c r="Z12" s="13"/>
      <c r="AA12" s="13"/>
      <c r="AB12" s="13"/>
    </row>
    <row r="13" spans="1:28" s="9"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10"/>
      <c r="U13" s="10"/>
      <c r="V13" s="10"/>
      <c r="W13" s="10"/>
      <c r="X13" s="10"/>
      <c r="Y13" s="10"/>
      <c r="Z13" s="10"/>
      <c r="AA13" s="10"/>
      <c r="AB13" s="10"/>
    </row>
    <row r="14" spans="1:28" s="3" customFormat="1" ht="12" x14ac:dyDescent="0.2">
      <c r="A14" s="421" t="str">
        <f>'1. паспорт местоположение'!A9:C9</f>
        <v>Акционерное общество "Россети Янтарь"</v>
      </c>
      <c r="B14" s="421"/>
      <c r="C14" s="421"/>
      <c r="D14" s="421"/>
      <c r="E14" s="421"/>
      <c r="F14" s="421"/>
      <c r="G14" s="421"/>
      <c r="H14" s="421"/>
      <c r="I14" s="421"/>
      <c r="J14" s="421"/>
      <c r="K14" s="421"/>
      <c r="L14" s="421"/>
      <c r="M14" s="421"/>
      <c r="N14" s="421"/>
      <c r="O14" s="421"/>
      <c r="P14" s="421"/>
      <c r="Q14" s="421"/>
      <c r="R14" s="421"/>
      <c r="S14" s="421"/>
      <c r="T14" s="8"/>
      <c r="U14" s="8"/>
      <c r="V14" s="8"/>
      <c r="W14" s="8"/>
      <c r="X14" s="8"/>
      <c r="Y14" s="8"/>
      <c r="Z14" s="8"/>
      <c r="AA14" s="8"/>
      <c r="AB14" s="8"/>
    </row>
    <row r="15" spans="1:28" s="3" customFormat="1" ht="15" customHeight="1" x14ac:dyDescent="0.2">
      <c r="A15" s="422" t="str">
        <f>'1. паспорт местоположение'!A15:C15</f>
        <v>Переустройство ВЛ 0,4 кВ от ТП 47-04 (инв.511502706) в п. Малое Исаково, пер. Калининградский Гурьевский ГО</v>
      </c>
      <c r="B15" s="423"/>
      <c r="C15" s="423"/>
      <c r="D15" s="423"/>
      <c r="E15" s="423"/>
      <c r="F15" s="423"/>
      <c r="G15" s="423"/>
      <c r="H15" s="423"/>
      <c r="I15" s="423"/>
      <c r="J15" s="423"/>
      <c r="K15" s="423"/>
      <c r="L15" s="423"/>
      <c r="M15" s="423"/>
      <c r="N15" s="423"/>
      <c r="O15" s="423"/>
      <c r="P15" s="423"/>
      <c r="Q15" s="423"/>
      <c r="R15" s="423"/>
      <c r="S15" s="423"/>
      <c r="T15" s="6"/>
      <c r="U15" s="6"/>
      <c r="V15" s="6"/>
      <c r="W15" s="6"/>
      <c r="X15" s="6"/>
      <c r="Y15" s="6"/>
      <c r="Z15" s="6"/>
      <c r="AA15" s="6"/>
      <c r="AB15" s="6"/>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485</v>
      </c>
      <c r="B17" s="425"/>
      <c r="C17" s="425"/>
      <c r="D17" s="425"/>
      <c r="E17" s="425"/>
      <c r="F17" s="425"/>
      <c r="G17" s="425"/>
      <c r="H17" s="425"/>
      <c r="I17" s="425"/>
      <c r="J17" s="425"/>
      <c r="K17" s="425"/>
      <c r="L17" s="425"/>
      <c r="M17" s="425"/>
      <c r="N17" s="425"/>
      <c r="O17" s="425"/>
      <c r="P17" s="425"/>
      <c r="Q17" s="425"/>
      <c r="R17" s="425"/>
      <c r="S17" s="425"/>
      <c r="T17" s="7"/>
      <c r="U17" s="7"/>
      <c r="V17" s="7"/>
      <c r="W17" s="7"/>
      <c r="X17" s="7"/>
      <c r="Y17" s="7"/>
      <c r="Z17" s="7"/>
      <c r="AA17" s="7"/>
      <c r="AB17" s="7"/>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29" t="s">
        <v>3</v>
      </c>
      <c r="B19" s="429" t="s">
        <v>94</v>
      </c>
      <c r="C19" s="430" t="s">
        <v>379</v>
      </c>
      <c r="D19" s="429" t="s">
        <v>378</v>
      </c>
      <c r="E19" s="429" t="s">
        <v>93</v>
      </c>
      <c r="F19" s="429" t="s">
        <v>92</v>
      </c>
      <c r="G19" s="429" t="s">
        <v>374</v>
      </c>
      <c r="H19" s="429" t="s">
        <v>91</v>
      </c>
      <c r="I19" s="429" t="s">
        <v>90</v>
      </c>
      <c r="J19" s="429" t="s">
        <v>89</v>
      </c>
      <c r="K19" s="429" t="s">
        <v>88</v>
      </c>
      <c r="L19" s="429" t="s">
        <v>87</v>
      </c>
      <c r="M19" s="429" t="s">
        <v>86</v>
      </c>
      <c r="N19" s="429" t="s">
        <v>85</v>
      </c>
      <c r="O19" s="429" t="s">
        <v>84</v>
      </c>
      <c r="P19" s="429" t="s">
        <v>83</v>
      </c>
      <c r="Q19" s="429" t="s">
        <v>377</v>
      </c>
      <c r="R19" s="429"/>
      <c r="S19" s="432" t="s">
        <v>479</v>
      </c>
      <c r="T19" s="4"/>
      <c r="U19" s="4"/>
      <c r="V19" s="4"/>
      <c r="W19" s="4"/>
      <c r="X19" s="4"/>
      <c r="Y19" s="4"/>
    </row>
    <row r="20" spans="1:28" s="3" customFormat="1" ht="180.75" customHeight="1" x14ac:dyDescent="0.2">
      <c r="A20" s="429"/>
      <c r="B20" s="429"/>
      <c r="C20" s="431"/>
      <c r="D20" s="429"/>
      <c r="E20" s="429"/>
      <c r="F20" s="429"/>
      <c r="G20" s="429"/>
      <c r="H20" s="429"/>
      <c r="I20" s="429"/>
      <c r="J20" s="429"/>
      <c r="K20" s="429"/>
      <c r="L20" s="429"/>
      <c r="M20" s="429"/>
      <c r="N20" s="429"/>
      <c r="O20" s="429"/>
      <c r="P20" s="429"/>
      <c r="Q20" s="41" t="s">
        <v>375</v>
      </c>
      <c r="R20" s="42" t="s">
        <v>376</v>
      </c>
      <c r="S20" s="432"/>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260" customFormat="1" ht="15.75" x14ac:dyDescent="0.25">
      <c r="A22" s="280"/>
      <c r="B22" s="265"/>
      <c r="C22" s="265"/>
      <c r="D22" s="265"/>
      <c r="E22" s="265"/>
      <c r="F22" s="265"/>
      <c r="G22" s="265"/>
      <c r="H22" s="312"/>
      <c r="I22" s="265"/>
      <c r="J22" s="312"/>
      <c r="K22" s="265"/>
      <c r="L22" s="313"/>
      <c r="M22" s="265"/>
      <c r="N22" s="265"/>
      <c r="O22" s="265"/>
      <c r="P22" s="265"/>
      <c r="Q22" s="331"/>
      <c r="R22" s="280"/>
      <c r="S22" s="314"/>
      <c r="T22" s="263"/>
      <c r="U22" s="263"/>
      <c r="V22" s="263"/>
      <c r="W22" s="263"/>
      <c r="X22" s="263"/>
      <c r="Y22" s="263"/>
      <c r="Z22" s="263"/>
      <c r="AA22" s="263"/>
      <c r="AB22" s="263"/>
    </row>
    <row r="23" spans="1:28" s="330" customFormat="1" ht="15.75" x14ac:dyDescent="0.25">
      <c r="A23" s="280"/>
      <c r="B23" s="265"/>
      <c r="C23" s="265"/>
      <c r="D23" s="265"/>
      <c r="E23" s="265"/>
      <c r="F23" s="265"/>
      <c r="G23" s="265"/>
      <c r="H23" s="312"/>
      <c r="I23" s="265"/>
      <c r="J23" s="312"/>
      <c r="K23" s="265"/>
      <c r="L23" s="313"/>
      <c r="M23" s="265"/>
      <c r="N23" s="265"/>
      <c r="O23" s="265"/>
      <c r="P23" s="265"/>
      <c r="Q23" s="331"/>
      <c r="R23" s="280"/>
      <c r="S23" s="314"/>
      <c r="T23" s="263"/>
      <c r="U23" s="263"/>
      <c r="V23" s="263"/>
      <c r="W23" s="263"/>
      <c r="X23" s="263"/>
      <c r="Y23" s="263"/>
      <c r="Z23" s="263"/>
      <c r="AA23" s="263"/>
      <c r="AB23" s="263"/>
    </row>
    <row r="24" spans="1:28" ht="20.25" customHeight="1" x14ac:dyDescent="0.25">
      <c r="A24" s="119"/>
      <c r="B24" s="46" t="s">
        <v>372</v>
      </c>
      <c r="C24" s="46"/>
      <c r="D24" s="46"/>
      <c r="E24" s="119" t="s">
        <v>373</v>
      </c>
      <c r="F24" s="119" t="s">
        <v>373</v>
      </c>
      <c r="G24" s="119" t="s">
        <v>373</v>
      </c>
      <c r="H24" s="264">
        <f>SUM(H22:H23)</f>
        <v>0</v>
      </c>
      <c r="I24" s="264">
        <f t="shared" ref="I24:J24" si="0">SUM(I22:I23)</f>
        <v>0</v>
      </c>
      <c r="J24" s="264">
        <f t="shared" si="0"/>
        <v>0</v>
      </c>
      <c r="K24" s="119"/>
      <c r="L24" s="119"/>
      <c r="M24" s="119"/>
      <c r="N24" s="119"/>
      <c r="O24" s="119"/>
      <c r="P24" s="119"/>
      <c r="Q24" s="120"/>
      <c r="R24" s="2"/>
      <c r="S24" s="264">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4" t="str">
        <f>'1. паспорт местоположение'!A5:C5</f>
        <v>Год раскрытия информации: 2023 год</v>
      </c>
      <c r="B6" s="414"/>
      <c r="C6" s="414"/>
      <c r="D6" s="414"/>
      <c r="E6" s="414"/>
      <c r="F6" s="414"/>
      <c r="G6" s="414"/>
      <c r="H6" s="414"/>
      <c r="I6" s="414"/>
      <c r="J6" s="414"/>
      <c r="K6" s="414"/>
      <c r="L6" s="414"/>
      <c r="M6" s="414"/>
      <c r="N6" s="414"/>
      <c r="O6" s="414"/>
      <c r="P6" s="414"/>
      <c r="Q6" s="414"/>
      <c r="R6" s="414"/>
      <c r="S6" s="414"/>
      <c r="T6" s="414"/>
    </row>
    <row r="7" spans="1:20" s="12" customFormat="1" x14ac:dyDescent="0.2">
      <c r="A7" s="17"/>
      <c r="H7" s="16"/>
    </row>
    <row r="8" spans="1:20" s="12" customFormat="1" ht="18.75" x14ac:dyDescent="0.2">
      <c r="A8" s="427" t="s">
        <v>7</v>
      </c>
      <c r="B8" s="427"/>
      <c r="C8" s="427"/>
      <c r="D8" s="427"/>
      <c r="E8" s="427"/>
      <c r="F8" s="427"/>
      <c r="G8" s="427"/>
      <c r="H8" s="427"/>
      <c r="I8" s="427"/>
      <c r="J8" s="427"/>
      <c r="K8" s="427"/>
      <c r="L8" s="427"/>
      <c r="M8" s="427"/>
      <c r="N8" s="427"/>
      <c r="O8" s="427"/>
      <c r="P8" s="427"/>
      <c r="Q8" s="427"/>
      <c r="R8" s="427"/>
      <c r="S8" s="427"/>
      <c r="T8" s="427"/>
    </row>
    <row r="9" spans="1:20" s="12" customFormat="1" ht="18.75" x14ac:dyDescent="0.2">
      <c r="A9" s="427"/>
      <c r="B9" s="427"/>
      <c r="C9" s="427"/>
      <c r="D9" s="427"/>
      <c r="E9" s="427"/>
      <c r="F9" s="427"/>
      <c r="G9" s="427"/>
      <c r="H9" s="427"/>
      <c r="I9" s="427"/>
      <c r="J9" s="427"/>
      <c r="K9" s="427"/>
      <c r="L9" s="427"/>
      <c r="M9" s="427"/>
      <c r="N9" s="427"/>
      <c r="O9" s="427"/>
      <c r="P9" s="427"/>
      <c r="Q9" s="427"/>
      <c r="R9" s="427"/>
      <c r="S9" s="427"/>
      <c r="T9" s="427"/>
    </row>
    <row r="10" spans="1:20" s="12" customFormat="1" ht="18.75" customHeight="1" x14ac:dyDescent="0.2">
      <c r="A10" s="421" t="str">
        <f>'1. паспорт местоположение'!A9:C9</f>
        <v>Акционерное общество "Россети Янтарь"</v>
      </c>
      <c r="B10" s="421"/>
      <c r="C10" s="421"/>
      <c r="D10" s="421"/>
      <c r="E10" s="421"/>
      <c r="F10" s="421"/>
      <c r="G10" s="421"/>
      <c r="H10" s="421"/>
      <c r="I10" s="421"/>
      <c r="J10" s="421"/>
      <c r="K10" s="421"/>
      <c r="L10" s="421"/>
      <c r="M10" s="421"/>
      <c r="N10" s="421"/>
      <c r="O10" s="421"/>
      <c r="P10" s="421"/>
      <c r="Q10" s="421"/>
      <c r="R10" s="421"/>
      <c r="S10" s="421"/>
      <c r="T10" s="421"/>
    </row>
    <row r="11" spans="1:20" s="12"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2" customFormat="1" ht="18.75" x14ac:dyDescent="0.2">
      <c r="A12" s="427"/>
      <c r="B12" s="427"/>
      <c r="C12" s="427"/>
      <c r="D12" s="427"/>
      <c r="E12" s="427"/>
      <c r="F12" s="427"/>
      <c r="G12" s="427"/>
      <c r="H12" s="427"/>
      <c r="I12" s="427"/>
      <c r="J12" s="427"/>
      <c r="K12" s="427"/>
      <c r="L12" s="427"/>
      <c r="M12" s="427"/>
      <c r="N12" s="427"/>
      <c r="O12" s="427"/>
      <c r="P12" s="427"/>
      <c r="Q12" s="427"/>
      <c r="R12" s="427"/>
      <c r="S12" s="427"/>
      <c r="T12" s="427"/>
    </row>
    <row r="13" spans="1:20" s="12" customFormat="1" ht="18.75" customHeight="1" x14ac:dyDescent="0.2">
      <c r="A13" s="421" t="str">
        <f>'1. паспорт местоположение'!A12:C12</f>
        <v>M_21-1785</v>
      </c>
      <c r="B13" s="421"/>
      <c r="C13" s="421"/>
      <c r="D13" s="421"/>
      <c r="E13" s="421"/>
      <c r="F13" s="421"/>
      <c r="G13" s="421"/>
      <c r="H13" s="421"/>
      <c r="I13" s="421"/>
      <c r="J13" s="421"/>
      <c r="K13" s="421"/>
      <c r="L13" s="421"/>
      <c r="M13" s="421"/>
      <c r="N13" s="421"/>
      <c r="O13" s="421"/>
      <c r="P13" s="421"/>
      <c r="Q13" s="421"/>
      <c r="R13" s="421"/>
      <c r="S13" s="421"/>
      <c r="T13" s="421"/>
    </row>
    <row r="14" spans="1:20" s="12"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9"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3" customFormat="1" ht="12" x14ac:dyDescent="0.2">
      <c r="A16" s="421" t="str">
        <f>'1. паспорт местоположение'!A15</f>
        <v>Переустройство ВЛ 0,4 кВ от ТП 47-04 (инв.511502706) в п. Малое Исаково, пер. Калининградский Гурьевский ГО</v>
      </c>
      <c r="B16" s="421"/>
      <c r="C16" s="421"/>
      <c r="D16" s="421"/>
      <c r="E16" s="421"/>
      <c r="F16" s="421"/>
      <c r="G16" s="421"/>
      <c r="H16" s="421"/>
      <c r="I16" s="421"/>
      <c r="J16" s="421"/>
      <c r="K16" s="421"/>
      <c r="L16" s="421"/>
      <c r="M16" s="421"/>
      <c r="N16" s="421"/>
      <c r="O16" s="421"/>
      <c r="P16" s="421"/>
      <c r="Q16" s="421"/>
      <c r="R16" s="421"/>
      <c r="S16" s="421"/>
      <c r="T16" s="421"/>
    </row>
    <row r="17" spans="1:113" s="3"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113"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3" customFormat="1" ht="15" customHeight="1" x14ac:dyDescent="0.2">
      <c r="A19" s="436" t="s">
        <v>490</v>
      </c>
      <c r="B19" s="436"/>
      <c r="C19" s="436"/>
      <c r="D19" s="436"/>
      <c r="E19" s="436"/>
      <c r="F19" s="436"/>
      <c r="G19" s="436"/>
      <c r="H19" s="436"/>
      <c r="I19" s="436"/>
      <c r="J19" s="436"/>
      <c r="K19" s="436"/>
      <c r="L19" s="436"/>
      <c r="M19" s="436"/>
      <c r="N19" s="436"/>
      <c r="O19" s="436"/>
      <c r="P19" s="436"/>
      <c r="Q19" s="436"/>
      <c r="R19" s="436"/>
      <c r="S19" s="436"/>
      <c r="T19" s="436"/>
    </row>
    <row r="20" spans="1:113" s="57"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8" t="s">
        <v>3</v>
      </c>
      <c r="B21" s="441" t="s">
        <v>219</v>
      </c>
      <c r="C21" s="442"/>
      <c r="D21" s="445" t="s">
        <v>116</v>
      </c>
      <c r="E21" s="441" t="s">
        <v>519</v>
      </c>
      <c r="F21" s="442"/>
      <c r="G21" s="441" t="s">
        <v>269</v>
      </c>
      <c r="H21" s="442"/>
      <c r="I21" s="441" t="s">
        <v>115</v>
      </c>
      <c r="J21" s="442"/>
      <c r="K21" s="445" t="s">
        <v>114</v>
      </c>
      <c r="L21" s="441" t="s">
        <v>113</v>
      </c>
      <c r="M21" s="442"/>
      <c r="N21" s="441" t="s">
        <v>515</v>
      </c>
      <c r="O21" s="442"/>
      <c r="P21" s="445" t="s">
        <v>112</v>
      </c>
      <c r="Q21" s="433" t="s">
        <v>111</v>
      </c>
      <c r="R21" s="434"/>
      <c r="S21" s="433" t="s">
        <v>110</v>
      </c>
      <c r="T21" s="435"/>
    </row>
    <row r="22" spans="1:113" ht="204.75" customHeight="1" x14ac:dyDescent="0.25">
      <c r="A22" s="439"/>
      <c r="B22" s="443"/>
      <c r="C22" s="444"/>
      <c r="D22" s="448"/>
      <c r="E22" s="443"/>
      <c r="F22" s="444"/>
      <c r="G22" s="443"/>
      <c r="H22" s="444"/>
      <c r="I22" s="443"/>
      <c r="J22" s="444"/>
      <c r="K22" s="446"/>
      <c r="L22" s="443"/>
      <c r="M22" s="444"/>
      <c r="N22" s="443"/>
      <c r="O22" s="444"/>
      <c r="P22" s="446"/>
      <c r="Q22" s="110" t="s">
        <v>109</v>
      </c>
      <c r="R22" s="110" t="s">
        <v>489</v>
      </c>
      <c r="S22" s="110" t="s">
        <v>108</v>
      </c>
      <c r="T22" s="110" t="s">
        <v>107</v>
      </c>
    </row>
    <row r="23" spans="1:113" ht="51.75" customHeight="1" x14ac:dyDescent="0.25">
      <c r="A23" s="440"/>
      <c r="B23" s="159" t="s">
        <v>105</v>
      </c>
      <c r="C23" s="159" t="s">
        <v>106</v>
      </c>
      <c r="D23" s="446"/>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37" customFormat="1" x14ac:dyDescent="0.25">
      <c r="A25" s="335" t="s">
        <v>373</v>
      </c>
      <c r="B25" s="335" t="s">
        <v>373</v>
      </c>
      <c r="C25" s="335" t="s">
        <v>373</v>
      </c>
      <c r="D25" s="335" t="s">
        <v>373</v>
      </c>
      <c r="E25" s="335" t="s">
        <v>373</v>
      </c>
      <c r="F25" s="335" t="s">
        <v>373</v>
      </c>
      <c r="G25" s="335" t="s">
        <v>373</v>
      </c>
      <c r="H25" s="335" t="s">
        <v>373</v>
      </c>
      <c r="I25" s="335" t="s">
        <v>373</v>
      </c>
      <c r="J25" s="335" t="s">
        <v>373</v>
      </c>
      <c r="K25" s="335" t="s">
        <v>373</v>
      </c>
      <c r="L25" s="335" t="s">
        <v>373</v>
      </c>
      <c r="M25" s="335" t="s">
        <v>373</v>
      </c>
      <c r="N25" s="335" t="s">
        <v>373</v>
      </c>
      <c r="O25" s="335" t="s">
        <v>373</v>
      </c>
      <c r="P25" s="58" t="s">
        <v>373</v>
      </c>
      <c r="Q25" s="336" t="s">
        <v>373</v>
      </c>
      <c r="R25" s="335" t="s">
        <v>373</v>
      </c>
      <c r="S25" s="336" t="s">
        <v>373</v>
      </c>
      <c r="T25" s="335"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47" t="s">
        <v>525</v>
      </c>
      <c r="C29" s="447"/>
      <c r="D29" s="447"/>
      <c r="E29" s="447"/>
      <c r="F29" s="447"/>
      <c r="G29" s="447"/>
      <c r="H29" s="447"/>
      <c r="I29" s="447"/>
      <c r="J29" s="447"/>
      <c r="K29" s="447"/>
      <c r="L29" s="447"/>
      <c r="M29" s="447"/>
      <c r="N29" s="447"/>
      <c r="O29" s="447"/>
      <c r="P29" s="447"/>
      <c r="Q29" s="447"/>
      <c r="R29" s="447"/>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B21" zoomScale="80" zoomScaleSheetLayoutView="80" workbookViewId="0">
      <selection activeCell="Q26" sqref="Q26"/>
    </sheetView>
  </sheetViews>
  <sheetFormatPr defaultColWidth="10.7109375" defaultRowHeight="15.75" x14ac:dyDescent="0.25"/>
  <cols>
    <col min="1" max="1" width="10.7109375" style="49"/>
    <col min="2" max="3" width="24.140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27" t="s">
        <v>7</v>
      </c>
      <c r="F7" s="427"/>
      <c r="G7" s="427"/>
      <c r="H7" s="427"/>
      <c r="I7" s="427"/>
      <c r="J7" s="427"/>
      <c r="K7" s="427"/>
      <c r="L7" s="427"/>
      <c r="M7" s="427"/>
      <c r="N7" s="427"/>
      <c r="O7" s="427"/>
      <c r="P7" s="427"/>
      <c r="Q7" s="427"/>
      <c r="R7" s="427"/>
      <c r="S7" s="427"/>
      <c r="T7" s="427"/>
      <c r="U7" s="427"/>
      <c r="V7" s="427"/>
      <c r="W7" s="427"/>
      <c r="X7" s="427"/>
      <c r="Y7" s="42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1" t="str">
        <f>'1. паспорт местоположение'!A9</f>
        <v>Акционерное общество "Россети Янтарь"</v>
      </c>
      <c r="F9" s="421"/>
      <c r="G9" s="421"/>
      <c r="H9" s="421"/>
      <c r="I9" s="421"/>
      <c r="J9" s="421"/>
      <c r="K9" s="421"/>
      <c r="L9" s="421"/>
      <c r="M9" s="421"/>
      <c r="N9" s="421"/>
      <c r="O9" s="421"/>
      <c r="P9" s="421"/>
      <c r="Q9" s="421"/>
      <c r="R9" s="421"/>
      <c r="S9" s="421"/>
      <c r="T9" s="421"/>
      <c r="U9" s="421"/>
      <c r="V9" s="421"/>
      <c r="W9" s="421"/>
      <c r="X9" s="421"/>
      <c r="Y9" s="421"/>
    </row>
    <row r="10" spans="1:27" s="12" customFormat="1" ht="18.75" customHeigh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1" t="str">
        <f>'1. паспорт местоположение'!A12</f>
        <v>M_21-1785</v>
      </c>
      <c r="F12" s="421"/>
      <c r="G12" s="421"/>
      <c r="H12" s="421"/>
      <c r="I12" s="421"/>
      <c r="J12" s="421"/>
      <c r="K12" s="421"/>
      <c r="L12" s="421"/>
      <c r="M12" s="421"/>
      <c r="N12" s="421"/>
      <c r="O12" s="421"/>
      <c r="P12" s="421"/>
      <c r="Q12" s="421"/>
      <c r="R12" s="421"/>
      <c r="S12" s="421"/>
      <c r="T12" s="421"/>
      <c r="U12" s="421"/>
      <c r="V12" s="421"/>
      <c r="W12" s="421"/>
      <c r="X12" s="421"/>
      <c r="Y12" s="421"/>
    </row>
    <row r="13" spans="1:27" s="12" customFormat="1" ht="18.75" customHeigh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1" t="str">
        <f>'1. паспорт местоположение'!A15</f>
        <v>Переустройство ВЛ 0,4 кВ от ТП 47-04 (инв.511502706) в п. Малое Исаково, пер. Калининградский Гурьевский ГО</v>
      </c>
      <c r="F15" s="421"/>
      <c r="G15" s="421"/>
      <c r="H15" s="421"/>
      <c r="I15" s="421"/>
      <c r="J15" s="421"/>
      <c r="K15" s="421"/>
      <c r="L15" s="421"/>
      <c r="M15" s="421"/>
      <c r="N15" s="421"/>
      <c r="O15" s="421"/>
      <c r="P15" s="421"/>
      <c r="Q15" s="421"/>
      <c r="R15" s="421"/>
      <c r="S15" s="421"/>
      <c r="T15" s="421"/>
      <c r="U15" s="421"/>
      <c r="V15" s="421"/>
      <c r="W15" s="421"/>
      <c r="X15" s="421"/>
      <c r="Y15" s="421"/>
    </row>
    <row r="16" spans="1:27" s="3" customFormat="1" ht="15" customHeigh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492</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7" customFormat="1" ht="21" customHeight="1" x14ac:dyDescent="0.25"/>
    <row r="21" spans="1:27" ht="15.75" customHeight="1" x14ac:dyDescent="0.25">
      <c r="A21" s="449" t="s">
        <v>3</v>
      </c>
      <c r="B21" s="451" t="s">
        <v>499</v>
      </c>
      <c r="C21" s="452"/>
      <c r="D21" s="451" t="s">
        <v>501</v>
      </c>
      <c r="E21" s="452"/>
      <c r="F21" s="433" t="s">
        <v>88</v>
      </c>
      <c r="G21" s="435"/>
      <c r="H21" s="435"/>
      <c r="I21" s="434"/>
      <c r="J21" s="449" t="s">
        <v>502</v>
      </c>
      <c r="K21" s="451" t="s">
        <v>503</v>
      </c>
      <c r="L21" s="452"/>
      <c r="M21" s="451" t="s">
        <v>504</v>
      </c>
      <c r="N21" s="452"/>
      <c r="O21" s="451" t="s">
        <v>491</v>
      </c>
      <c r="P21" s="452"/>
      <c r="Q21" s="451" t="s">
        <v>121</v>
      </c>
      <c r="R21" s="452"/>
      <c r="S21" s="449" t="s">
        <v>120</v>
      </c>
      <c r="T21" s="449" t="s">
        <v>505</v>
      </c>
      <c r="U21" s="449" t="s">
        <v>500</v>
      </c>
      <c r="V21" s="451" t="s">
        <v>119</v>
      </c>
      <c r="W21" s="452"/>
      <c r="X21" s="433" t="s">
        <v>111</v>
      </c>
      <c r="Y21" s="435"/>
      <c r="Z21" s="433" t="s">
        <v>110</v>
      </c>
      <c r="AA21" s="435"/>
    </row>
    <row r="22" spans="1:27" ht="216" customHeight="1" x14ac:dyDescent="0.25">
      <c r="A22" s="455"/>
      <c r="B22" s="453"/>
      <c r="C22" s="454"/>
      <c r="D22" s="453"/>
      <c r="E22" s="454"/>
      <c r="F22" s="433" t="s">
        <v>118</v>
      </c>
      <c r="G22" s="434"/>
      <c r="H22" s="433" t="s">
        <v>117</v>
      </c>
      <c r="I22" s="434"/>
      <c r="J22" s="450"/>
      <c r="K22" s="453"/>
      <c r="L22" s="454"/>
      <c r="M22" s="453"/>
      <c r="N22" s="454"/>
      <c r="O22" s="453"/>
      <c r="P22" s="454"/>
      <c r="Q22" s="453"/>
      <c r="R22" s="454"/>
      <c r="S22" s="450"/>
      <c r="T22" s="450"/>
      <c r="U22" s="450"/>
      <c r="V22" s="453"/>
      <c r="W22" s="454"/>
      <c r="X22" s="110" t="s">
        <v>109</v>
      </c>
      <c r="Y22" s="110" t="s">
        <v>489</v>
      </c>
      <c r="Z22" s="110" t="s">
        <v>108</v>
      </c>
      <c r="AA22" s="110" t="s">
        <v>107</v>
      </c>
    </row>
    <row r="23" spans="1:27" ht="60" customHeight="1" x14ac:dyDescent="0.25">
      <c r="A23" s="450"/>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37" customFormat="1" x14ac:dyDescent="0.25">
      <c r="A25" s="343">
        <v>1</v>
      </c>
      <c r="B25" s="385" t="s">
        <v>687</v>
      </c>
      <c r="C25" s="385" t="s">
        <v>373</v>
      </c>
      <c r="D25" s="385" t="s">
        <v>688</v>
      </c>
      <c r="E25" s="385" t="s">
        <v>373</v>
      </c>
      <c r="F25" s="385">
        <v>0.4</v>
      </c>
      <c r="G25" s="385" t="s">
        <v>373</v>
      </c>
      <c r="H25" s="385">
        <v>0.4</v>
      </c>
      <c r="I25" s="385" t="s">
        <v>373</v>
      </c>
      <c r="J25" s="343" t="s">
        <v>373</v>
      </c>
      <c r="K25" s="343">
        <v>1</v>
      </c>
      <c r="L25" s="343" t="s">
        <v>373</v>
      </c>
      <c r="M25" s="343">
        <v>35</v>
      </c>
      <c r="N25" s="343" t="s">
        <v>373</v>
      </c>
      <c r="O25" s="343" t="s">
        <v>641</v>
      </c>
      <c r="P25" s="343" t="s">
        <v>373</v>
      </c>
      <c r="Q25" s="343">
        <v>3.1E-2</v>
      </c>
      <c r="R25" s="343" t="s">
        <v>373</v>
      </c>
      <c r="S25" s="343" t="s">
        <v>373</v>
      </c>
      <c r="T25" s="343" t="s">
        <v>373</v>
      </c>
      <c r="U25" s="343" t="s">
        <v>373</v>
      </c>
      <c r="V25" s="343" t="s">
        <v>666</v>
      </c>
      <c r="W25" s="343" t="s">
        <v>373</v>
      </c>
      <c r="X25" s="343" t="s">
        <v>373</v>
      </c>
      <c r="Y25" s="343" t="s">
        <v>373</v>
      </c>
      <c r="Z25" s="343" t="s">
        <v>373</v>
      </c>
      <c r="AA25" s="343" t="s">
        <v>373</v>
      </c>
    </row>
    <row r="26" spans="1:27" x14ac:dyDescent="0.25">
      <c r="Q26" s="49">
        <f>SUM(Q25:Q25)</f>
        <v>3.1E-2</v>
      </c>
      <c r="R26" s="49">
        <f>SUM(R25:R25)</f>
        <v>0</v>
      </c>
      <c r="S26" s="49">
        <f>R26-Q26</f>
        <v>-3.1E-2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4" t="str">
        <f>'1. паспорт местоположение'!A5:C5</f>
        <v>Год раскрытия информации: 2023 год</v>
      </c>
      <c r="B5" s="414"/>
      <c r="C5" s="414"/>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27" t="s">
        <v>7</v>
      </c>
      <c r="B7" s="427"/>
      <c r="C7" s="427"/>
      <c r="D7" s="13"/>
      <c r="E7" s="13"/>
      <c r="F7" s="13"/>
      <c r="G7" s="13"/>
      <c r="H7" s="13"/>
      <c r="I7" s="13"/>
      <c r="J7" s="13"/>
      <c r="K7" s="13"/>
      <c r="L7" s="13"/>
      <c r="M7" s="13"/>
      <c r="N7" s="13"/>
      <c r="O7" s="13"/>
      <c r="P7" s="13"/>
      <c r="Q7" s="13"/>
      <c r="R7" s="13"/>
      <c r="S7" s="13"/>
      <c r="T7" s="13"/>
      <c r="U7" s="13"/>
    </row>
    <row r="8" spans="1:29" s="12" customFormat="1" ht="18.75" x14ac:dyDescent="0.2">
      <c r="A8" s="427"/>
      <c r="B8" s="427"/>
      <c r="C8" s="427"/>
      <c r="D8" s="14"/>
      <c r="E8" s="14"/>
      <c r="F8" s="14"/>
      <c r="G8" s="14"/>
      <c r="H8" s="13"/>
      <c r="I8" s="13"/>
      <c r="J8" s="13"/>
      <c r="K8" s="13"/>
      <c r="L8" s="13"/>
      <c r="M8" s="13"/>
      <c r="N8" s="13"/>
      <c r="O8" s="13"/>
      <c r="P8" s="13"/>
      <c r="Q8" s="13"/>
      <c r="R8" s="13"/>
      <c r="S8" s="13"/>
      <c r="T8" s="13"/>
      <c r="U8" s="13"/>
    </row>
    <row r="9" spans="1:29" s="12" customFormat="1" ht="18.75" x14ac:dyDescent="0.2">
      <c r="A9" s="421" t="str">
        <f>'1. паспорт местоположение'!A9:C9</f>
        <v>Акционерное общество "Россети Янтарь"</v>
      </c>
      <c r="B9" s="421"/>
      <c r="C9" s="421"/>
      <c r="D9" s="8"/>
      <c r="E9" s="8"/>
      <c r="F9" s="8"/>
      <c r="G9" s="8"/>
      <c r="H9" s="13"/>
      <c r="I9" s="13"/>
      <c r="J9" s="13"/>
      <c r="K9" s="13"/>
      <c r="L9" s="13"/>
      <c r="M9" s="13"/>
      <c r="N9" s="13"/>
      <c r="O9" s="13"/>
      <c r="P9" s="13"/>
      <c r="Q9" s="13"/>
      <c r="R9" s="13"/>
      <c r="S9" s="13"/>
      <c r="T9" s="13"/>
      <c r="U9" s="13"/>
    </row>
    <row r="10" spans="1:29" s="12" customFormat="1" ht="18.75" x14ac:dyDescent="0.2">
      <c r="A10" s="423" t="s">
        <v>6</v>
      </c>
      <c r="B10" s="423"/>
      <c r="C10" s="423"/>
      <c r="D10" s="6"/>
      <c r="E10" s="6"/>
      <c r="F10" s="6"/>
      <c r="G10" s="6"/>
      <c r="H10" s="13"/>
      <c r="I10" s="13"/>
      <c r="J10" s="13"/>
      <c r="K10" s="13"/>
      <c r="L10" s="13"/>
      <c r="M10" s="13"/>
      <c r="N10" s="13"/>
      <c r="O10" s="13"/>
      <c r="P10" s="13"/>
      <c r="Q10" s="13"/>
      <c r="R10" s="13"/>
      <c r="S10" s="13"/>
      <c r="T10" s="13"/>
      <c r="U10" s="13"/>
    </row>
    <row r="11" spans="1:29" s="12" customFormat="1" ht="18.75" x14ac:dyDescent="0.2">
      <c r="A11" s="427"/>
      <c r="B11" s="427"/>
      <c r="C11" s="427"/>
      <c r="D11" s="14"/>
      <c r="E11" s="14"/>
      <c r="F11" s="14"/>
      <c r="G11" s="14"/>
      <c r="H11" s="13"/>
      <c r="I11" s="13"/>
      <c r="J11" s="13"/>
      <c r="K11" s="13"/>
      <c r="L11" s="13"/>
      <c r="M11" s="13"/>
      <c r="N11" s="13"/>
      <c r="O11" s="13"/>
      <c r="P11" s="13"/>
      <c r="Q11" s="13"/>
      <c r="R11" s="13"/>
      <c r="S11" s="13"/>
      <c r="T11" s="13"/>
      <c r="U11" s="13"/>
    </row>
    <row r="12" spans="1:29" s="12" customFormat="1" ht="18.75" x14ac:dyDescent="0.2">
      <c r="A12" s="421" t="str">
        <f>'1. паспорт местоположение'!A12:C12</f>
        <v>M_21-1785</v>
      </c>
      <c r="B12" s="421"/>
      <c r="C12" s="421"/>
      <c r="D12" s="8"/>
      <c r="E12" s="8"/>
      <c r="F12" s="8"/>
      <c r="G12" s="8"/>
      <c r="H12" s="13"/>
      <c r="I12" s="13"/>
      <c r="J12" s="13"/>
      <c r="K12" s="13"/>
      <c r="L12" s="13"/>
      <c r="M12" s="13"/>
      <c r="N12" s="13"/>
      <c r="O12" s="13"/>
      <c r="P12" s="13"/>
      <c r="Q12" s="13"/>
      <c r="R12" s="13"/>
      <c r="S12" s="13"/>
      <c r="T12" s="13"/>
      <c r="U12" s="13"/>
    </row>
    <row r="13" spans="1:29" s="12" customFormat="1" ht="18.75" x14ac:dyDescent="0.2">
      <c r="A13" s="423" t="s">
        <v>5</v>
      </c>
      <c r="B13" s="423"/>
      <c r="C13" s="42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8"/>
      <c r="B14" s="428"/>
      <c r="C14" s="428"/>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56" t="str">
        <f>'1. паспорт местоположение'!A15</f>
        <v>Переустройство ВЛ 0,4 кВ от ТП 47-04 (инв.511502706) в п. Малое Исаково, пер. Калининградский Гурьевский ГО</v>
      </c>
      <c r="B15" s="456"/>
      <c r="C15" s="456"/>
      <c r="D15" s="8"/>
      <c r="E15" s="8"/>
      <c r="F15" s="8"/>
      <c r="G15" s="8"/>
      <c r="H15" s="8"/>
      <c r="I15" s="8"/>
      <c r="J15" s="8"/>
      <c r="K15" s="8"/>
      <c r="L15" s="8"/>
      <c r="M15" s="8"/>
      <c r="N15" s="8"/>
      <c r="O15" s="8"/>
      <c r="P15" s="8"/>
      <c r="Q15" s="8"/>
      <c r="R15" s="8"/>
      <c r="S15" s="8"/>
      <c r="T15" s="8"/>
      <c r="U15" s="8"/>
    </row>
    <row r="16" spans="1:29" s="3" customFormat="1" ht="15" customHeight="1" x14ac:dyDescent="0.2">
      <c r="A16" s="423" t="s">
        <v>4</v>
      </c>
      <c r="B16" s="423"/>
      <c r="C16" s="423"/>
      <c r="D16" s="6"/>
      <c r="E16" s="6"/>
      <c r="F16" s="6"/>
      <c r="G16" s="6"/>
      <c r="H16" s="6"/>
      <c r="I16" s="6"/>
      <c r="J16" s="6"/>
      <c r="K16" s="6"/>
      <c r="L16" s="6"/>
      <c r="M16" s="6"/>
      <c r="N16" s="6"/>
      <c r="O16" s="6"/>
      <c r="P16" s="6"/>
      <c r="Q16" s="6"/>
      <c r="R16" s="6"/>
      <c r="S16" s="6"/>
      <c r="T16" s="6"/>
      <c r="U16" s="6"/>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484</v>
      </c>
      <c r="B18" s="425"/>
      <c r="C18" s="42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9" t="s">
        <v>686</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9" t="str">
        <f>C22</f>
        <v>Вынос (переустройство) участков ВЛ 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689</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4" t="s">
        <v>637</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640</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03" t="s">
        <v>691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637</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690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154"/>
      <c r="AB6" s="154"/>
    </row>
    <row r="7" spans="1:28" ht="18.75" x14ac:dyDescent="0.25">
      <c r="A7" s="427"/>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154"/>
      <c r="AB7" s="154"/>
    </row>
    <row r="8" spans="1:28" x14ac:dyDescent="0.25">
      <c r="A8" s="421" t="str">
        <f>'1. паспорт местоположение'!A9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55"/>
      <c r="AB8" s="155"/>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56"/>
      <c r="AB9" s="156"/>
    </row>
    <row r="10" spans="1:28" ht="18.75" x14ac:dyDescent="0.2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154"/>
      <c r="AB10" s="154"/>
    </row>
    <row r="11" spans="1:28" x14ac:dyDescent="0.25">
      <c r="A11" s="421" t="str">
        <f>'1. паспорт местоположение'!A12:C12</f>
        <v>M_21-1785</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155"/>
      <c r="AB11" s="155"/>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56"/>
      <c r="AB12" s="156"/>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1"/>
      <c r="AB13" s="11"/>
    </row>
    <row r="14" spans="1:28" x14ac:dyDescent="0.25">
      <c r="A14" s="421" t="str">
        <f>'1. паспорт местоположение'!A15</f>
        <v>Переустройство ВЛ 0,4 кВ от ТП 47-04 (инв.511502706) в п. Малое Исаково, пер. Калининградский Гурьевский ГО</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55"/>
      <c r="AB14" s="155"/>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56"/>
      <c r="AB15" s="156"/>
    </row>
    <row r="16" spans="1:28"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164"/>
      <c r="AB16" s="164"/>
    </row>
    <row r="17" spans="1:2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164"/>
      <c r="AB17" s="164"/>
    </row>
    <row r="18" spans="1:28"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164"/>
      <c r="AB18" s="164"/>
    </row>
    <row r="19" spans="1:2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164"/>
      <c r="AB19" s="164"/>
    </row>
    <row r="20" spans="1:28"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165"/>
      <c r="AB20" s="165"/>
    </row>
    <row r="21" spans="1:28" x14ac:dyDescent="0.25">
      <c r="A21" s="458"/>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165"/>
      <c r="AB21" s="165"/>
    </row>
    <row r="22" spans="1:28" x14ac:dyDescent="0.25">
      <c r="A22" s="459" t="s">
        <v>516</v>
      </c>
      <c r="B22" s="459"/>
      <c r="C22" s="459"/>
      <c r="D22" s="459"/>
      <c r="E22" s="459"/>
      <c r="F22" s="459"/>
      <c r="G22" s="459"/>
      <c r="H22" s="459"/>
      <c r="I22" s="459"/>
      <c r="J22" s="459"/>
      <c r="K22" s="459"/>
      <c r="L22" s="459"/>
      <c r="M22" s="459"/>
      <c r="N22" s="459"/>
      <c r="O22" s="459"/>
      <c r="P22" s="459"/>
      <c r="Q22" s="459"/>
      <c r="R22" s="459"/>
      <c r="S22" s="459"/>
      <c r="T22" s="459"/>
      <c r="U22" s="459"/>
      <c r="V22" s="459"/>
      <c r="W22" s="459"/>
      <c r="X22" s="459"/>
      <c r="Y22" s="459"/>
      <c r="Z22" s="459"/>
      <c r="AA22" s="166"/>
      <c r="AB22" s="166"/>
    </row>
    <row r="23" spans="1:28" ht="32.25" customHeight="1" x14ac:dyDescent="0.25">
      <c r="A23" s="461" t="s">
        <v>370</v>
      </c>
      <c r="B23" s="462"/>
      <c r="C23" s="462"/>
      <c r="D23" s="462"/>
      <c r="E23" s="462"/>
      <c r="F23" s="462"/>
      <c r="G23" s="462"/>
      <c r="H23" s="462"/>
      <c r="I23" s="462"/>
      <c r="J23" s="462"/>
      <c r="K23" s="462"/>
      <c r="L23" s="463"/>
      <c r="M23" s="460" t="s">
        <v>371</v>
      </c>
      <c r="N23" s="460"/>
      <c r="O23" s="460"/>
      <c r="P23" s="460"/>
      <c r="Q23" s="460"/>
      <c r="R23" s="460"/>
      <c r="S23" s="460"/>
      <c r="T23" s="460"/>
      <c r="U23" s="460"/>
      <c r="V23" s="460"/>
      <c r="W23" s="460"/>
      <c r="X23" s="460"/>
      <c r="Y23" s="460"/>
      <c r="Z23" s="460"/>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J22" sqref="J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163"/>
      <c r="Q5" s="163"/>
      <c r="R5" s="163"/>
      <c r="S5" s="163"/>
      <c r="T5" s="163"/>
      <c r="U5" s="163"/>
      <c r="V5" s="163"/>
      <c r="W5" s="163"/>
      <c r="X5" s="163"/>
      <c r="Y5" s="163"/>
      <c r="Z5" s="163"/>
      <c r="AA5" s="163"/>
    </row>
    <row r="6" spans="1:27" s="12" customFormat="1" ht="18.75" x14ac:dyDescent="0.3">
      <c r="A6" s="17"/>
      <c r="B6" s="17"/>
      <c r="L6" s="15"/>
    </row>
    <row r="7" spans="1:27" s="12" customFormat="1" ht="18.75" x14ac:dyDescent="0.2">
      <c r="A7" s="427" t="s">
        <v>7</v>
      </c>
      <c r="B7" s="427"/>
      <c r="C7" s="427"/>
      <c r="D7" s="427"/>
      <c r="E7" s="427"/>
      <c r="F7" s="427"/>
      <c r="G7" s="427"/>
      <c r="H7" s="427"/>
      <c r="I7" s="427"/>
      <c r="J7" s="427"/>
      <c r="K7" s="427"/>
      <c r="L7" s="427"/>
      <c r="M7" s="427"/>
      <c r="N7" s="427"/>
      <c r="O7" s="427"/>
      <c r="P7" s="13"/>
      <c r="Q7" s="13"/>
      <c r="R7" s="13"/>
      <c r="S7" s="13"/>
      <c r="T7" s="13"/>
      <c r="U7" s="13"/>
      <c r="V7" s="13"/>
      <c r="W7" s="13"/>
      <c r="X7" s="13"/>
      <c r="Y7" s="13"/>
    </row>
    <row r="8" spans="1:27" s="12" customFormat="1" ht="18.75" x14ac:dyDescent="0.2">
      <c r="A8" s="427"/>
      <c r="B8" s="427"/>
      <c r="C8" s="427"/>
      <c r="D8" s="427"/>
      <c r="E8" s="427"/>
      <c r="F8" s="427"/>
      <c r="G8" s="427"/>
      <c r="H8" s="427"/>
      <c r="I8" s="427"/>
      <c r="J8" s="427"/>
      <c r="K8" s="427"/>
      <c r="L8" s="427"/>
      <c r="M8" s="427"/>
      <c r="N8" s="427"/>
      <c r="O8" s="427"/>
      <c r="P8" s="13"/>
      <c r="Q8" s="13"/>
      <c r="R8" s="13"/>
      <c r="S8" s="13"/>
      <c r="T8" s="13"/>
      <c r="U8" s="13"/>
      <c r="V8" s="13"/>
      <c r="W8" s="13"/>
      <c r="X8" s="13"/>
      <c r="Y8" s="13"/>
    </row>
    <row r="9" spans="1:27" s="12" customFormat="1" ht="18.75" x14ac:dyDescent="0.2">
      <c r="A9" s="421" t="str">
        <f>'1. паспорт местоположение'!A9:C9</f>
        <v>Акционерное общество "Россети Янтарь"</v>
      </c>
      <c r="B9" s="421"/>
      <c r="C9" s="421"/>
      <c r="D9" s="421"/>
      <c r="E9" s="421"/>
      <c r="F9" s="421"/>
      <c r="G9" s="421"/>
      <c r="H9" s="421"/>
      <c r="I9" s="421"/>
      <c r="J9" s="421"/>
      <c r="K9" s="421"/>
      <c r="L9" s="421"/>
      <c r="M9" s="421"/>
      <c r="N9" s="421"/>
      <c r="O9" s="421"/>
      <c r="P9" s="13"/>
      <c r="Q9" s="13"/>
      <c r="R9" s="13"/>
      <c r="S9" s="13"/>
      <c r="T9" s="13"/>
      <c r="U9" s="13"/>
      <c r="V9" s="13"/>
      <c r="W9" s="13"/>
      <c r="X9" s="13"/>
      <c r="Y9" s="13"/>
    </row>
    <row r="10" spans="1:27" s="12" customFormat="1" ht="18.75" x14ac:dyDescent="0.2">
      <c r="A10" s="423" t="s">
        <v>6</v>
      </c>
      <c r="B10" s="423"/>
      <c r="C10" s="423"/>
      <c r="D10" s="423"/>
      <c r="E10" s="423"/>
      <c r="F10" s="423"/>
      <c r="G10" s="423"/>
      <c r="H10" s="423"/>
      <c r="I10" s="423"/>
      <c r="J10" s="423"/>
      <c r="K10" s="423"/>
      <c r="L10" s="423"/>
      <c r="M10" s="423"/>
      <c r="N10" s="423"/>
      <c r="O10" s="423"/>
      <c r="P10" s="13"/>
      <c r="Q10" s="13"/>
      <c r="R10" s="13"/>
      <c r="S10" s="13"/>
      <c r="T10" s="13"/>
      <c r="U10" s="13"/>
      <c r="V10" s="13"/>
      <c r="W10" s="13"/>
      <c r="X10" s="13"/>
      <c r="Y10" s="13"/>
    </row>
    <row r="11" spans="1:27" s="12" customFormat="1" ht="18.75" x14ac:dyDescent="0.2">
      <c r="A11" s="427"/>
      <c r="B11" s="427"/>
      <c r="C11" s="427"/>
      <c r="D11" s="427"/>
      <c r="E11" s="427"/>
      <c r="F11" s="427"/>
      <c r="G11" s="427"/>
      <c r="H11" s="427"/>
      <c r="I11" s="427"/>
      <c r="J11" s="427"/>
      <c r="K11" s="427"/>
      <c r="L11" s="427"/>
      <c r="M11" s="427"/>
      <c r="N11" s="427"/>
      <c r="O11" s="427"/>
      <c r="P11" s="13"/>
      <c r="Q11" s="13"/>
      <c r="R11" s="13"/>
      <c r="S11" s="13"/>
      <c r="T11" s="13"/>
      <c r="U11" s="13"/>
      <c r="V11" s="13"/>
      <c r="W11" s="13"/>
      <c r="X11" s="13"/>
      <c r="Y11" s="13"/>
    </row>
    <row r="12" spans="1:27" s="12" customFormat="1" ht="18.75" x14ac:dyDescent="0.2">
      <c r="A12" s="421" t="str">
        <f>'1. паспорт местоположение'!A12:C12</f>
        <v>M_21-1785</v>
      </c>
      <c r="B12" s="421"/>
      <c r="C12" s="421"/>
      <c r="D12" s="421"/>
      <c r="E12" s="421"/>
      <c r="F12" s="421"/>
      <c r="G12" s="421"/>
      <c r="H12" s="421"/>
      <c r="I12" s="421"/>
      <c r="J12" s="421"/>
      <c r="K12" s="421"/>
      <c r="L12" s="421"/>
      <c r="M12" s="421"/>
      <c r="N12" s="421"/>
      <c r="O12" s="421"/>
      <c r="P12" s="13"/>
      <c r="Q12" s="13"/>
      <c r="R12" s="13"/>
      <c r="S12" s="13"/>
      <c r="T12" s="13"/>
      <c r="U12" s="13"/>
      <c r="V12" s="13"/>
      <c r="W12" s="13"/>
      <c r="X12" s="13"/>
      <c r="Y12" s="13"/>
    </row>
    <row r="13" spans="1:27" s="12" customFormat="1" ht="18.75" x14ac:dyDescent="0.2">
      <c r="A13" s="423" t="s">
        <v>5</v>
      </c>
      <c r="B13" s="423"/>
      <c r="C13" s="423"/>
      <c r="D13" s="423"/>
      <c r="E13" s="423"/>
      <c r="F13" s="423"/>
      <c r="G13" s="423"/>
      <c r="H13" s="423"/>
      <c r="I13" s="423"/>
      <c r="J13" s="423"/>
      <c r="K13" s="423"/>
      <c r="L13" s="423"/>
      <c r="M13" s="423"/>
      <c r="N13" s="423"/>
      <c r="O13" s="423"/>
      <c r="P13" s="13"/>
      <c r="Q13" s="13"/>
      <c r="R13" s="13"/>
      <c r="S13" s="13"/>
      <c r="T13" s="13"/>
      <c r="U13" s="13"/>
      <c r="V13" s="13"/>
      <c r="W13" s="13"/>
      <c r="X13" s="13"/>
      <c r="Y13" s="13"/>
    </row>
    <row r="14" spans="1:27" s="9" customFormat="1" ht="15.75" customHeight="1" x14ac:dyDescent="0.2">
      <c r="A14" s="428"/>
      <c r="B14" s="428"/>
      <c r="C14" s="428"/>
      <c r="D14" s="428"/>
      <c r="E14" s="428"/>
      <c r="F14" s="428"/>
      <c r="G14" s="428"/>
      <c r="H14" s="428"/>
      <c r="I14" s="428"/>
      <c r="J14" s="428"/>
      <c r="K14" s="428"/>
      <c r="L14" s="428"/>
      <c r="M14" s="428"/>
      <c r="N14" s="428"/>
      <c r="O14" s="428"/>
      <c r="P14" s="10"/>
      <c r="Q14" s="10"/>
      <c r="R14" s="10"/>
      <c r="S14" s="10"/>
      <c r="T14" s="10"/>
      <c r="U14" s="10"/>
      <c r="V14" s="10"/>
      <c r="W14" s="10"/>
      <c r="X14" s="10"/>
      <c r="Y14" s="10"/>
    </row>
    <row r="15" spans="1:27" s="3" customFormat="1" ht="12" x14ac:dyDescent="0.2">
      <c r="A15" s="421" t="str">
        <f>'1. паспорт местоположение'!A15</f>
        <v>Переустройство ВЛ 0,4 кВ от ТП 47-04 (инв.511502706) в п. Малое Исаково, пер. Калининградский Гурьевский ГО</v>
      </c>
      <c r="B15" s="421"/>
      <c r="C15" s="421"/>
      <c r="D15" s="421"/>
      <c r="E15" s="421"/>
      <c r="F15" s="421"/>
      <c r="G15" s="421"/>
      <c r="H15" s="421"/>
      <c r="I15" s="421"/>
      <c r="J15" s="421"/>
      <c r="K15" s="421"/>
      <c r="L15" s="421"/>
      <c r="M15" s="421"/>
      <c r="N15" s="421"/>
      <c r="O15" s="421"/>
      <c r="P15" s="8"/>
      <c r="Q15" s="8"/>
      <c r="R15" s="8"/>
      <c r="S15" s="8"/>
      <c r="T15" s="8"/>
      <c r="U15" s="8"/>
      <c r="V15" s="8"/>
      <c r="W15" s="8"/>
      <c r="X15" s="8"/>
      <c r="Y15" s="8"/>
    </row>
    <row r="16" spans="1:27" s="3" customFormat="1" ht="15" customHeight="1" x14ac:dyDescent="0.2">
      <c r="A16" s="423" t="s">
        <v>4</v>
      </c>
      <c r="B16" s="423"/>
      <c r="C16" s="423"/>
      <c r="D16" s="423"/>
      <c r="E16" s="423"/>
      <c r="F16" s="423"/>
      <c r="G16" s="423"/>
      <c r="H16" s="423"/>
      <c r="I16" s="423"/>
      <c r="J16" s="423"/>
      <c r="K16" s="423"/>
      <c r="L16" s="423"/>
      <c r="M16" s="423"/>
      <c r="N16" s="423"/>
      <c r="O16" s="423"/>
      <c r="P16" s="6"/>
      <c r="Q16" s="6"/>
      <c r="R16" s="6"/>
      <c r="S16" s="6"/>
      <c r="T16" s="6"/>
      <c r="U16" s="6"/>
      <c r="V16" s="6"/>
      <c r="W16" s="6"/>
      <c r="X16" s="6"/>
      <c r="Y16" s="6"/>
    </row>
    <row r="17" spans="1:25" s="3" customFormat="1" ht="15" customHeight="1" x14ac:dyDescent="0.2">
      <c r="A17" s="424"/>
      <c r="B17" s="424"/>
      <c r="C17" s="424"/>
      <c r="D17" s="424"/>
      <c r="E17" s="424"/>
      <c r="F17" s="424"/>
      <c r="G17" s="424"/>
      <c r="H17" s="424"/>
      <c r="I17" s="424"/>
      <c r="J17" s="424"/>
      <c r="K17" s="424"/>
      <c r="L17" s="424"/>
      <c r="M17" s="424"/>
      <c r="N17" s="424"/>
      <c r="O17" s="424"/>
      <c r="P17" s="4"/>
      <c r="Q17" s="4"/>
      <c r="R17" s="4"/>
      <c r="S17" s="4"/>
      <c r="T17" s="4"/>
      <c r="U17" s="4"/>
      <c r="V17" s="4"/>
    </row>
    <row r="18" spans="1:25" s="3" customFormat="1" ht="91.5" customHeight="1" x14ac:dyDescent="0.2">
      <c r="A18" s="467" t="s">
        <v>493</v>
      </c>
      <c r="B18" s="467"/>
      <c r="C18" s="467"/>
      <c r="D18" s="467"/>
      <c r="E18" s="467"/>
      <c r="F18" s="467"/>
      <c r="G18" s="467"/>
      <c r="H18" s="467"/>
      <c r="I18" s="467"/>
      <c r="J18" s="467"/>
      <c r="K18" s="467"/>
      <c r="L18" s="467"/>
      <c r="M18" s="467"/>
      <c r="N18" s="467"/>
      <c r="O18" s="467"/>
      <c r="P18" s="7"/>
      <c r="Q18" s="7"/>
      <c r="R18" s="7"/>
      <c r="S18" s="7"/>
      <c r="T18" s="7"/>
      <c r="U18" s="7"/>
      <c r="V18" s="7"/>
      <c r="W18" s="7"/>
      <c r="X18" s="7"/>
      <c r="Y18" s="7"/>
    </row>
    <row r="19" spans="1:25" s="3" customFormat="1" ht="78" customHeight="1" x14ac:dyDescent="0.2">
      <c r="A19" s="429" t="s">
        <v>3</v>
      </c>
      <c r="B19" s="429" t="s">
        <v>82</v>
      </c>
      <c r="C19" s="429" t="s">
        <v>81</v>
      </c>
      <c r="D19" s="429" t="s">
        <v>73</v>
      </c>
      <c r="E19" s="464" t="s">
        <v>80</v>
      </c>
      <c r="F19" s="465"/>
      <c r="G19" s="465"/>
      <c r="H19" s="465"/>
      <c r="I19" s="466"/>
      <c r="J19" s="429" t="s">
        <v>79</v>
      </c>
      <c r="K19" s="429"/>
      <c r="L19" s="429"/>
      <c r="M19" s="429"/>
      <c r="N19" s="429"/>
      <c r="O19" s="429"/>
      <c r="P19" s="4"/>
      <c r="Q19" s="4"/>
      <c r="R19" s="4"/>
      <c r="S19" s="4"/>
      <c r="T19" s="4"/>
      <c r="U19" s="4"/>
      <c r="V19" s="4"/>
    </row>
    <row r="20" spans="1:25" s="3" customFormat="1" ht="51" customHeight="1" x14ac:dyDescent="0.2">
      <c r="A20" s="429"/>
      <c r="B20" s="429"/>
      <c r="C20" s="429"/>
      <c r="D20" s="429"/>
      <c r="E20" s="41" t="s">
        <v>78</v>
      </c>
      <c r="F20" s="41" t="s">
        <v>77</v>
      </c>
      <c r="G20" s="41" t="s">
        <v>76</v>
      </c>
      <c r="H20" s="41" t="s">
        <v>75</v>
      </c>
      <c r="I20" s="41" t="s">
        <v>74</v>
      </c>
      <c r="J20" s="41">
        <v>2020</v>
      </c>
      <c r="K20" s="392">
        <v>2021</v>
      </c>
      <c r="L20" s="392">
        <v>2022</v>
      </c>
      <c r="M20" s="392">
        <v>2023</v>
      </c>
      <c r="N20" s="392">
        <v>2024</v>
      </c>
      <c r="O20" s="392">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672</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80" zoomScaleNormal="80" workbookViewId="0">
      <selection activeCell="B122" sqref="B122"/>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73" t="str">
        <f>'1. паспорт местоположение'!A5:C5</f>
        <v>Год раскрытия информации: 2023 год</v>
      </c>
      <c r="B5" s="473"/>
      <c r="C5" s="473"/>
      <c r="D5" s="473"/>
      <c r="E5" s="473"/>
      <c r="F5" s="473"/>
      <c r="G5" s="473"/>
      <c r="H5" s="473"/>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27" t="s">
        <v>7</v>
      </c>
      <c r="B7" s="427"/>
      <c r="C7" s="427"/>
      <c r="D7" s="427"/>
      <c r="E7" s="427"/>
      <c r="F7" s="427"/>
      <c r="G7" s="427"/>
      <c r="H7" s="427"/>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0"/>
      <c r="B8" s="390"/>
      <c r="C8" s="390"/>
      <c r="D8" s="390"/>
      <c r="E8" s="390"/>
      <c r="F8" s="390"/>
      <c r="G8" s="390"/>
      <c r="H8" s="390"/>
      <c r="I8" s="390"/>
      <c r="J8" s="390"/>
      <c r="K8" s="390"/>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3"/>
      <c r="AR8" s="173"/>
    </row>
    <row r="9" spans="1:44" ht="18.75" x14ac:dyDescent="0.2">
      <c r="A9" s="436" t="str">
        <f>'1. паспорт местоположение'!A9:C9</f>
        <v>Акционерное общество "Россети Янтарь"</v>
      </c>
      <c r="B9" s="436"/>
      <c r="C9" s="436"/>
      <c r="D9" s="436"/>
      <c r="E9" s="436"/>
      <c r="F9" s="436"/>
      <c r="G9" s="436"/>
      <c r="H9" s="436"/>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23" t="s">
        <v>6</v>
      </c>
      <c r="B10" s="423"/>
      <c r="C10" s="423"/>
      <c r="D10" s="423"/>
      <c r="E10" s="423"/>
      <c r="F10" s="423"/>
      <c r="G10" s="423"/>
      <c r="H10" s="423"/>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0"/>
      <c r="B11" s="390"/>
      <c r="C11" s="390"/>
      <c r="D11" s="390"/>
      <c r="E11" s="390"/>
      <c r="F11" s="390"/>
      <c r="G11" s="390"/>
      <c r="H11" s="390"/>
      <c r="I11" s="390"/>
      <c r="J11" s="390"/>
      <c r="K11" s="390"/>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36" t="str">
        <f>'1. паспорт местоположение'!A12:C12</f>
        <v>M_21-1785</v>
      </c>
      <c r="B12" s="436"/>
      <c r="C12" s="436"/>
      <c r="D12" s="436"/>
      <c r="E12" s="436"/>
      <c r="F12" s="436"/>
      <c r="G12" s="436"/>
      <c r="H12" s="436"/>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23" t="s">
        <v>5</v>
      </c>
      <c r="B13" s="423"/>
      <c r="C13" s="423"/>
      <c r="D13" s="423"/>
      <c r="E13" s="423"/>
      <c r="F13" s="423"/>
      <c r="G13" s="423"/>
      <c r="H13" s="423"/>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9"/>
      <c r="AA14" s="9"/>
      <c r="AB14" s="9"/>
      <c r="AC14" s="9"/>
      <c r="AD14" s="9"/>
      <c r="AE14" s="9"/>
      <c r="AF14" s="9"/>
      <c r="AG14" s="9"/>
      <c r="AH14" s="9"/>
      <c r="AI14" s="9"/>
      <c r="AJ14" s="9"/>
      <c r="AK14" s="9"/>
      <c r="AL14" s="9"/>
      <c r="AM14" s="9"/>
      <c r="AN14" s="9"/>
      <c r="AO14" s="9"/>
      <c r="AP14" s="9"/>
      <c r="AQ14" s="179"/>
      <c r="AR14" s="179"/>
    </row>
    <row r="15" spans="1:44" ht="72" customHeight="1" x14ac:dyDescent="0.2">
      <c r="A15" s="474" t="str">
        <f>'1. паспорт местоположение'!A15:C15</f>
        <v>Переустройство ВЛ 0,4 кВ от ТП 47-04 (инв.511502706) в п. Малое Исаково, пер. Калининградский Гурьевский ГО</v>
      </c>
      <c r="B15" s="474"/>
      <c r="C15" s="474"/>
      <c r="D15" s="474"/>
      <c r="E15" s="474"/>
      <c r="F15" s="474"/>
      <c r="G15" s="474"/>
      <c r="H15" s="474"/>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23" t="s">
        <v>4</v>
      </c>
      <c r="B16" s="423"/>
      <c r="C16" s="423"/>
      <c r="D16" s="423"/>
      <c r="E16" s="423"/>
      <c r="F16" s="423"/>
      <c r="G16" s="423"/>
      <c r="H16" s="423"/>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36" t="s">
        <v>494</v>
      </c>
      <c r="B18" s="436"/>
      <c r="C18" s="436"/>
      <c r="D18" s="436"/>
      <c r="E18" s="436"/>
      <c r="F18" s="436"/>
      <c r="G18" s="436"/>
      <c r="H18" s="43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533</v>
      </c>
      <c r="B25" s="191">
        <f>B126/1.2</f>
        <v>57208.333333333336</v>
      </c>
    </row>
    <row r="26" spans="1:44" x14ac:dyDescent="0.2">
      <c r="A26" s="192" t="s">
        <v>342</v>
      </c>
      <c r="B26" s="315">
        <v>0</v>
      </c>
    </row>
    <row r="27" spans="1:44" x14ac:dyDescent="0.2">
      <c r="A27" s="192" t="s">
        <v>340</v>
      </c>
      <c r="B27" s="315">
        <f>$B$123</f>
        <v>35</v>
      </c>
      <c r="D27" s="185" t="s">
        <v>343</v>
      </c>
    </row>
    <row r="28" spans="1:44" ht="16.149999999999999" customHeight="1" thickBot="1" x14ac:dyDescent="0.25">
      <c r="A28" s="193" t="s">
        <v>338</v>
      </c>
      <c r="B28" s="194">
        <v>1</v>
      </c>
      <c r="D28" s="468" t="s">
        <v>341</v>
      </c>
      <c r="E28" s="469"/>
      <c r="F28" s="470"/>
      <c r="G28" s="471" t="str">
        <f>IF(SUM(B89:L89)=0,"не окупается",SUM(B89:L89))</f>
        <v>не окупается</v>
      </c>
      <c r="H28" s="472"/>
    </row>
    <row r="29" spans="1:44" ht="15.6" customHeight="1" x14ac:dyDescent="0.2">
      <c r="A29" s="190" t="s">
        <v>336</v>
      </c>
      <c r="B29" s="191">
        <f>$B$126*$B$127</f>
        <v>2059.5</v>
      </c>
      <c r="D29" s="468" t="s">
        <v>339</v>
      </c>
      <c r="E29" s="469"/>
      <c r="F29" s="470"/>
      <c r="G29" s="471" t="str">
        <f>IF(SUM(B90:L90)=0,"не окупается",SUM(B90:L90))</f>
        <v>не окупается</v>
      </c>
      <c r="H29" s="472"/>
    </row>
    <row r="30" spans="1:44" ht="27.6" customHeight="1" x14ac:dyDescent="0.2">
      <c r="A30" s="192" t="s">
        <v>534</v>
      </c>
      <c r="B30" s="315">
        <v>1</v>
      </c>
      <c r="D30" s="468" t="s">
        <v>337</v>
      </c>
      <c r="E30" s="469"/>
      <c r="F30" s="470"/>
      <c r="G30" s="477">
        <f>L87</f>
        <v>-10522.671201845336</v>
      </c>
      <c r="H30" s="478"/>
    </row>
    <row r="31" spans="1:44" x14ac:dyDescent="0.2">
      <c r="A31" s="192" t="s">
        <v>335</v>
      </c>
      <c r="B31" s="315">
        <v>1</v>
      </c>
      <c r="D31" s="479"/>
      <c r="E31" s="480"/>
      <c r="F31" s="481"/>
      <c r="G31" s="479"/>
      <c r="H31" s="481"/>
    </row>
    <row r="32" spans="1:44" x14ac:dyDescent="0.2">
      <c r="A32" s="192" t="s">
        <v>313</v>
      </c>
      <c r="B32" s="315"/>
    </row>
    <row r="33" spans="1:42" x14ac:dyDescent="0.2">
      <c r="A33" s="192" t="s">
        <v>334</v>
      </c>
      <c r="B33" s="315"/>
    </row>
    <row r="34" spans="1:42" x14ac:dyDescent="0.2">
      <c r="A34" s="192" t="s">
        <v>333</v>
      </c>
      <c r="B34" s="315"/>
    </row>
    <row r="35" spans="1:42" x14ac:dyDescent="0.2">
      <c r="A35" s="316"/>
      <c r="B35" s="315"/>
    </row>
    <row r="36" spans="1:42" ht="16.5" thickBot="1" x14ac:dyDescent="0.25">
      <c r="A36" s="193" t="s">
        <v>305</v>
      </c>
      <c r="B36" s="195">
        <v>0.2</v>
      </c>
    </row>
    <row r="37" spans="1:42" x14ac:dyDescent="0.2">
      <c r="A37" s="190" t="s">
        <v>535</v>
      </c>
      <c r="B37" s="191">
        <v>0</v>
      </c>
    </row>
    <row r="38" spans="1:42" x14ac:dyDescent="0.2">
      <c r="A38" s="192" t="s">
        <v>332</v>
      </c>
      <c r="B38" s="315"/>
    </row>
    <row r="39" spans="1:42" ht="16.5" thickBot="1" x14ac:dyDescent="0.25">
      <c r="A39" s="317" t="s">
        <v>331</v>
      </c>
      <c r="B39" s="318"/>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9" t="s">
        <v>325</v>
      </c>
      <c r="B46" s="320">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6">
        <f>H136</f>
        <v>4.2000000000000003E-2</v>
      </c>
      <c r="C48" s="346">
        <f t="shared" ref="C48:R49" si="1">I136</f>
        <v>4.2000000000000003E-2</v>
      </c>
      <c r="D48" s="346">
        <f t="shared" si="1"/>
        <v>4.2000000000000003E-2</v>
      </c>
      <c r="E48" s="346">
        <f t="shared" si="1"/>
        <v>4.2000000000000003E-2</v>
      </c>
      <c r="F48" s="346">
        <f t="shared" si="1"/>
        <v>4.2000000000000003E-2</v>
      </c>
      <c r="G48" s="346">
        <f t="shared" si="1"/>
        <v>4.2000000000000003E-2</v>
      </c>
      <c r="H48" s="346">
        <f t="shared" si="1"/>
        <v>4.2000000000000003E-2</v>
      </c>
      <c r="I48" s="346">
        <f t="shared" si="1"/>
        <v>4.2000000000000003E-2</v>
      </c>
      <c r="J48" s="346">
        <f t="shared" si="1"/>
        <v>4.2000000000000003E-2</v>
      </c>
      <c r="K48" s="346">
        <f t="shared" si="1"/>
        <v>4.2000000000000003E-2</v>
      </c>
      <c r="L48" s="346">
        <f t="shared" si="1"/>
        <v>4.2000000000000003E-2</v>
      </c>
      <c r="M48" s="346">
        <f t="shared" si="1"/>
        <v>4.2000000000000003E-2</v>
      </c>
      <c r="N48" s="346">
        <f t="shared" si="1"/>
        <v>4.2000000000000003E-2</v>
      </c>
      <c r="O48" s="346">
        <f t="shared" si="1"/>
        <v>4.2000000000000003E-2</v>
      </c>
      <c r="P48" s="346">
        <f t="shared" si="1"/>
        <v>4.2000000000000003E-2</v>
      </c>
      <c r="Q48" s="346">
        <f t="shared" si="1"/>
        <v>4.2000000000000003E-2</v>
      </c>
      <c r="R48" s="346">
        <f t="shared" si="1"/>
        <v>4.2000000000000003E-2</v>
      </c>
      <c r="S48" s="346">
        <f t="shared" ref="S48:AH49" si="2">Y136</f>
        <v>4.2000000000000003E-2</v>
      </c>
      <c r="T48" s="346">
        <f t="shared" si="2"/>
        <v>4.2000000000000003E-2</v>
      </c>
      <c r="U48" s="346">
        <f t="shared" si="2"/>
        <v>4.2000000000000003E-2</v>
      </c>
      <c r="V48" s="346">
        <f t="shared" si="2"/>
        <v>4.2000000000000003E-2</v>
      </c>
      <c r="W48" s="346">
        <f t="shared" si="2"/>
        <v>4.2000000000000003E-2</v>
      </c>
      <c r="X48" s="346">
        <f t="shared" si="2"/>
        <v>4.2000000000000003E-2</v>
      </c>
      <c r="Y48" s="346">
        <f t="shared" si="2"/>
        <v>4.2000000000000003E-2</v>
      </c>
      <c r="Z48" s="346">
        <f t="shared" si="2"/>
        <v>4.2000000000000003E-2</v>
      </c>
      <c r="AA48" s="346">
        <f t="shared" si="2"/>
        <v>4.2000000000000003E-2</v>
      </c>
      <c r="AB48" s="346">
        <f t="shared" si="2"/>
        <v>4.2000000000000003E-2</v>
      </c>
      <c r="AC48" s="346">
        <f t="shared" si="2"/>
        <v>4.2000000000000003E-2</v>
      </c>
      <c r="AD48" s="346">
        <f t="shared" si="2"/>
        <v>4.2000000000000003E-2</v>
      </c>
      <c r="AE48" s="346">
        <f t="shared" si="2"/>
        <v>4.2000000000000003E-2</v>
      </c>
      <c r="AF48" s="346">
        <f t="shared" si="2"/>
        <v>4.2000000000000003E-2</v>
      </c>
      <c r="AG48" s="346">
        <f t="shared" si="2"/>
        <v>4.2000000000000003E-2</v>
      </c>
      <c r="AH48" s="346">
        <f t="shared" si="2"/>
        <v>4.2000000000000003E-2</v>
      </c>
      <c r="AI48" s="346">
        <f t="shared" ref="AI48:AP49" si="3">AO136</f>
        <v>4.2000000000000003E-2</v>
      </c>
      <c r="AJ48" s="346">
        <f t="shared" si="3"/>
        <v>4.2000000000000003E-2</v>
      </c>
      <c r="AK48" s="346">
        <f t="shared" si="3"/>
        <v>4.2000000000000003E-2</v>
      </c>
      <c r="AL48" s="346">
        <f t="shared" si="3"/>
        <v>4.2000000000000003E-2</v>
      </c>
      <c r="AM48" s="346">
        <f t="shared" si="3"/>
        <v>4.2000000000000003E-2</v>
      </c>
      <c r="AN48" s="346">
        <f t="shared" si="3"/>
        <v>4.2000000000000003E-2</v>
      </c>
      <c r="AO48" s="346">
        <f t="shared" si="3"/>
        <v>4.2000000000000003E-2</v>
      </c>
      <c r="AP48" s="346">
        <f t="shared" si="3"/>
        <v>4.2000000000000003E-2</v>
      </c>
    </row>
    <row r="49" spans="1:45" s="204" customFormat="1" x14ac:dyDescent="0.2">
      <c r="A49" s="205" t="s">
        <v>322</v>
      </c>
      <c r="B49" s="346">
        <f>H137</f>
        <v>0.2354789208821122</v>
      </c>
      <c r="C49" s="346">
        <f t="shared" si="1"/>
        <v>0.28736903555916093</v>
      </c>
      <c r="D49" s="346">
        <f t="shared" si="1"/>
        <v>0.34143853505264565</v>
      </c>
      <c r="E49" s="346">
        <f t="shared" si="1"/>
        <v>0.39777895352485682</v>
      </c>
      <c r="F49" s="346">
        <f t="shared" si="1"/>
        <v>0.45648566957290093</v>
      </c>
      <c r="G49" s="346">
        <f t="shared" si="1"/>
        <v>0.51765806769496292</v>
      </c>
      <c r="H49" s="346">
        <f t="shared" si="1"/>
        <v>0.58139970653815132</v>
      </c>
      <c r="I49" s="346">
        <f t="shared" si="1"/>
        <v>0.64781849421275384</v>
      </c>
      <c r="J49" s="346">
        <f t="shared" si="1"/>
        <v>0.71702687096968964</v>
      </c>
      <c r="K49" s="346">
        <f t="shared" si="1"/>
        <v>0.78914199955041675</v>
      </c>
      <c r="L49" s="346">
        <f t="shared" si="1"/>
        <v>0.86428596353153431</v>
      </c>
      <c r="M49" s="346">
        <f t="shared" si="1"/>
        <v>0.94258597399985877</v>
      </c>
      <c r="N49" s="346">
        <f t="shared" si="1"/>
        <v>1.0241745849078527</v>
      </c>
      <c r="O49" s="346">
        <f t="shared" si="1"/>
        <v>1.1091899174739828</v>
      </c>
      <c r="P49" s="346">
        <f t="shared" si="1"/>
        <v>1.19777589400789</v>
      </c>
      <c r="Q49" s="346">
        <f t="shared" si="1"/>
        <v>1.2900824815562215</v>
      </c>
      <c r="R49" s="346">
        <f t="shared" si="1"/>
        <v>1.3862659457815827</v>
      </c>
      <c r="S49" s="346">
        <f t="shared" si="2"/>
        <v>1.4864891155044093</v>
      </c>
      <c r="T49" s="346">
        <f t="shared" si="2"/>
        <v>1.5909216583555947</v>
      </c>
      <c r="U49" s="346">
        <f t="shared" si="2"/>
        <v>1.6997403680065299</v>
      </c>
      <c r="V49" s="346">
        <f t="shared" si="2"/>
        <v>1.8131294634628041</v>
      </c>
      <c r="W49" s="346">
        <f t="shared" si="2"/>
        <v>1.9312809009282419</v>
      </c>
      <c r="X49" s="346">
        <f t="shared" si="2"/>
        <v>2.0543946987672284</v>
      </c>
      <c r="Y49" s="346">
        <f t="shared" si="2"/>
        <v>2.1826792761154521</v>
      </c>
      <c r="Z49" s="346">
        <f t="shared" si="2"/>
        <v>2.3163518057123014</v>
      </c>
      <c r="AA49" s="346">
        <f t="shared" si="2"/>
        <v>2.4556385815522184</v>
      </c>
      <c r="AB49" s="346">
        <f t="shared" si="2"/>
        <v>2.6007754019774119</v>
      </c>
      <c r="AC49" s="346">
        <f t="shared" si="2"/>
        <v>2.7520079688604633</v>
      </c>
      <c r="AD49" s="346">
        <f t="shared" si="2"/>
        <v>2.909592303552603</v>
      </c>
      <c r="AE49" s="346">
        <f t="shared" si="2"/>
        <v>3.0737951803018122</v>
      </c>
      <c r="AF49" s="346">
        <f t="shared" si="2"/>
        <v>3.2448945778744882</v>
      </c>
      <c r="AG49" s="346">
        <f t="shared" si="2"/>
        <v>3.4231801501452166</v>
      </c>
      <c r="AH49" s="346">
        <f t="shared" si="2"/>
        <v>3.6089537164513157</v>
      </c>
      <c r="AI49" s="346">
        <f t="shared" si="3"/>
        <v>3.8025297725422709</v>
      </c>
      <c r="AJ49" s="346">
        <f t="shared" si="3"/>
        <v>4.0042360229890468</v>
      </c>
      <c r="AK49" s="346">
        <f t="shared" si="3"/>
        <v>4.2144139359545871</v>
      </c>
      <c r="AL49" s="346">
        <f t="shared" si="3"/>
        <v>4.4334193212646804</v>
      </c>
      <c r="AM49" s="346">
        <f t="shared" si="3"/>
        <v>4.6616229327577976</v>
      </c>
      <c r="AN49" s="346">
        <f t="shared" si="3"/>
        <v>4.8994110959336252</v>
      </c>
      <c r="AO49" s="346">
        <f t="shared" si="3"/>
        <v>5.147186361962838</v>
      </c>
      <c r="AP49" s="346">
        <f t="shared" si="3"/>
        <v>5.4053681891652774</v>
      </c>
    </row>
    <row r="50" spans="1:45" s="204" customFormat="1" ht="16.5" thickBot="1" x14ac:dyDescent="0.25">
      <c r="A50" s="206" t="s">
        <v>537</v>
      </c>
      <c r="B50" s="207">
        <f>IF($B$124="да",($B$126-0.05),0)</f>
        <v>68649.95</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7">
        <v>0</v>
      </c>
      <c r="C53" s="347">
        <f t="shared" ref="C53:AP53" si="6">B53+B54-B55</f>
        <v>0</v>
      </c>
      <c r="D53" s="347">
        <f t="shared" si="6"/>
        <v>0</v>
      </c>
      <c r="E53" s="347">
        <f t="shared" si="6"/>
        <v>0</v>
      </c>
      <c r="F53" s="347">
        <f t="shared" si="6"/>
        <v>0</v>
      </c>
      <c r="G53" s="347">
        <f t="shared" si="6"/>
        <v>0</v>
      </c>
      <c r="H53" s="347">
        <f t="shared" si="6"/>
        <v>0</v>
      </c>
      <c r="I53" s="347">
        <f t="shared" si="6"/>
        <v>0</v>
      </c>
      <c r="J53" s="347">
        <f t="shared" si="6"/>
        <v>0</v>
      </c>
      <c r="K53" s="347">
        <f t="shared" si="6"/>
        <v>0</v>
      </c>
      <c r="L53" s="347">
        <f t="shared" si="6"/>
        <v>0</v>
      </c>
      <c r="M53" s="347">
        <f t="shared" si="6"/>
        <v>0</v>
      </c>
      <c r="N53" s="347">
        <f t="shared" si="6"/>
        <v>0</v>
      </c>
      <c r="O53" s="347">
        <f t="shared" si="6"/>
        <v>0</v>
      </c>
      <c r="P53" s="347">
        <f t="shared" si="6"/>
        <v>0</v>
      </c>
      <c r="Q53" s="347">
        <f t="shared" si="6"/>
        <v>0</v>
      </c>
      <c r="R53" s="347">
        <f t="shared" si="6"/>
        <v>0</v>
      </c>
      <c r="S53" s="347">
        <f t="shared" si="6"/>
        <v>0</v>
      </c>
      <c r="T53" s="347">
        <f t="shared" si="6"/>
        <v>0</v>
      </c>
      <c r="U53" s="347">
        <f t="shared" si="6"/>
        <v>0</v>
      </c>
      <c r="V53" s="347">
        <f t="shared" si="6"/>
        <v>0</v>
      </c>
      <c r="W53" s="347">
        <f t="shared" si="6"/>
        <v>0</v>
      </c>
      <c r="X53" s="347">
        <f t="shared" si="6"/>
        <v>0</v>
      </c>
      <c r="Y53" s="347">
        <f t="shared" si="6"/>
        <v>0</v>
      </c>
      <c r="Z53" s="347">
        <f t="shared" si="6"/>
        <v>0</v>
      </c>
      <c r="AA53" s="347">
        <f t="shared" si="6"/>
        <v>0</v>
      </c>
      <c r="AB53" s="347">
        <f t="shared" si="6"/>
        <v>0</v>
      </c>
      <c r="AC53" s="347">
        <f t="shared" si="6"/>
        <v>0</v>
      </c>
      <c r="AD53" s="347">
        <f t="shared" si="6"/>
        <v>0</v>
      </c>
      <c r="AE53" s="347">
        <f t="shared" si="6"/>
        <v>0</v>
      </c>
      <c r="AF53" s="347">
        <f t="shared" si="6"/>
        <v>0</v>
      </c>
      <c r="AG53" s="347">
        <f t="shared" si="6"/>
        <v>0</v>
      </c>
      <c r="AH53" s="347">
        <f t="shared" si="6"/>
        <v>0</v>
      </c>
      <c r="AI53" s="347">
        <f t="shared" si="6"/>
        <v>0</v>
      </c>
      <c r="AJ53" s="347">
        <f t="shared" si="6"/>
        <v>0</v>
      </c>
      <c r="AK53" s="347">
        <f t="shared" si="6"/>
        <v>0</v>
      </c>
      <c r="AL53" s="347">
        <f t="shared" si="6"/>
        <v>0</v>
      </c>
      <c r="AM53" s="347">
        <f t="shared" si="6"/>
        <v>0</v>
      </c>
      <c r="AN53" s="347">
        <f t="shared" si="6"/>
        <v>0</v>
      </c>
      <c r="AO53" s="347">
        <f t="shared" si="6"/>
        <v>0</v>
      </c>
      <c r="AP53" s="347">
        <f t="shared" si="6"/>
        <v>0</v>
      </c>
    </row>
    <row r="54" spans="1:45" x14ac:dyDescent="0.2">
      <c r="A54" s="210" t="s">
        <v>319</v>
      </c>
      <c r="B54" s="347">
        <f>B25*B28*B43*1.18</f>
        <v>0</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7">
        <v>0</v>
      </c>
      <c r="AG54" s="347">
        <v>0</v>
      </c>
      <c r="AH54" s="347">
        <v>0</v>
      </c>
      <c r="AI54" s="347">
        <v>0</v>
      </c>
      <c r="AJ54" s="347">
        <v>0</v>
      </c>
      <c r="AK54" s="347">
        <v>0</v>
      </c>
      <c r="AL54" s="347">
        <v>0</v>
      </c>
      <c r="AM54" s="347">
        <v>0</v>
      </c>
      <c r="AN54" s="347">
        <v>0</v>
      </c>
      <c r="AO54" s="347">
        <v>0</v>
      </c>
      <c r="AP54" s="347">
        <v>0</v>
      </c>
    </row>
    <row r="55" spans="1:45" x14ac:dyDescent="0.2">
      <c r="A55" s="210" t="s">
        <v>318</v>
      </c>
      <c r="B55" s="347">
        <f>$B$54/$B$40</f>
        <v>0</v>
      </c>
      <c r="C55" s="347">
        <f t="shared" ref="C55:AP55" si="7">IF(ROUND(C53,1)=0,0,B55+C54/$B$40)</f>
        <v>0</v>
      </c>
      <c r="D55" s="347">
        <f t="shared" si="7"/>
        <v>0</v>
      </c>
      <c r="E55" s="347">
        <f t="shared" si="7"/>
        <v>0</v>
      </c>
      <c r="F55" s="347">
        <f t="shared" si="7"/>
        <v>0</v>
      </c>
      <c r="G55" s="347">
        <f t="shared" si="7"/>
        <v>0</v>
      </c>
      <c r="H55" s="347">
        <f t="shared" si="7"/>
        <v>0</v>
      </c>
      <c r="I55" s="347">
        <f t="shared" si="7"/>
        <v>0</v>
      </c>
      <c r="J55" s="347">
        <f t="shared" si="7"/>
        <v>0</v>
      </c>
      <c r="K55" s="347">
        <f t="shared" si="7"/>
        <v>0</v>
      </c>
      <c r="L55" s="347">
        <f t="shared" si="7"/>
        <v>0</v>
      </c>
      <c r="M55" s="347">
        <f t="shared" si="7"/>
        <v>0</v>
      </c>
      <c r="N55" s="347">
        <f t="shared" si="7"/>
        <v>0</v>
      </c>
      <c r="O55" s="347">
        <f t="shared" si="7"/>
        <v>0</v>
      </c>
      <c r="P55" s="347">
        <f t="shared" si="7"/>
        <v>0</v>
      </c>
      <c r="Q55" s="347">
        <f t="shared" si="7"/>
        <v>0</v>
      </c>
      <c r="R55" s="347">
        <f t="shared" si="7"/>
        <v>0</v>
      </c>
      <c r="S55" s="347">
        <f t="shared" si="7"/>
        <v>0</v>
      </c>
      <c r="T55" s="347">
        <f t="shared" si="7"/>
        <v>0</v>
      </c>
      <c r="U55" s="347">
        <f t="shared" si="7"/>
        <v>0</v>
      </c>
      <c r="V55" s="347">
        <f t="shared" si="7"/>
        <v>0</v>
      </c>
      <c r="W55" s="347">
        <f t="shared" si="7"/>
        <v>0</v>
      </c>
      <c r="X55" s="347">
        <f t="shared" si="7"/>
        <v>0</v>
      </c>
      <c r="Y55" s="347">
        <f t="shared" si="7"/>
        <v>0</v>
      </c>
      <c r="Z55" s="347">
        <f t="shared" si="7"/>
        <v>0</v>
      </c>
      <c r="AA55" s="347">
        <f t="shared" si="7"/>
        <v>0</v>
      </c>
      <c r="AB55" s="347">
        <f t="shared" si="7"/>
        <v>0</v>
      </c>
      <c r="AC55" s="347">
        <f t="shared" si="7"/>
        <v>0</v>
      </c>
      <c r="AD55" s="347">
        <f t="shared" si="7"/>
        <v>0</v>
      </c>
      <c r="AE55" s="347">
        <f t="shared" si="7"/>
        <v>0</v>
      </c>
      <c r="AF55" s="347">
        <f t="shared" si="7"/>
        <v>0</v>
      </c>
      <c r="AG55" s="347">
        <f t="shared" si="7"/>
        <v>0</v>
      </c>
      <c r="AH55" s="347">
        <f t="shared" si="7"/>
        <v>0</v>
      </c>
      <c r="AI55" s="347">
        <f t="shared" si="7"/>
        <v>0</v>
      </c>
      <c r="AJ55" s="347">
        <f t="shared" si="7"/>
        <v>0</v>
      </c>
      <c r="AK55" s="347">
        <f t="shared" si="7"/>
        <v>0</v>
      </c>
      <c r="AL55" s="347">
        <f t="shared" si="7"/>
        <v>0</v>
      </c>
      <c r="AM55" s="347">
        <f t="shared" si="7"/>
        <v>0</v>
      </c>
      <c r="AN55" s="347">
        <f t="shared" si="7"/>
        <v>0</v>
      </c>
      <c r="AO55" s="347">
        <f t="shared" si="7"/>
        <v>0</v>
      </c>
      <c r="AP55" s="347">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538</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8">
        <f t="shared" ref="B59:AP59" si="10">B50*$B$28</f>
        <v>68649.95</v>
      </c>
      <c r="C59" s="348">
        <f t="shared" si="10"/>
        <v>0</v>
      </c>
      <c r="D59" s="348">
        <f t="shared" si="10"/>
        <v>0</v>
      </c>
      <c r="E59" s="348">
        <f t="shared" si="10"/>
        <v>0</v>
      </c>
      <c r="F59" s="348">
        <f t="shared" si="10"/>
        <v>0</v>
      </c>
      <c r="G59" s="348">
        <f t="shared" si="10"/>
        <v>0</v>
      </c>
      <c r="H59" s="348">
        <f t="shared" si="10"/>
        <v>0</v>
      </c>
      <c r="I59" s="348">
        <f t="shared" si="10"/>
        <v>0</v>
      </c>
      <c r="J59" s="348">
        <f t="shared" si="10"/>
        <v>0</v>
      </c>
      <c r="K59" s="348">
        <f t="shared" si="10"/>
        <v>0</v>
      </c>
      <c r="L59" s="348">
        <f t="shared" si="10"/>
        <v>0</v>
      </c>
      <c r="M59" s="348">
        <f t="shared" si="10"/>
        <v>0</v>
      </c>
      <c r="N59" s="348">
        <f t="shared" si="10"/>
        <v>0</v>
      </c>
      <c r="O59" s="348">
        <f t="shared" si="10"/>
        <v>0</v>
      </c>
      <c r="P59" s="348">
        <f t="shared" si="10"/>
        <v>0</v>
      </c>
      <c r="Q59" s="348">
        <f t="shared" si="10"/>
        <v>0</v>
      </c>
      <c r="R59" s="348">
        <f t="shared" si="10"/>
        <v>0</v>
      </c>
      <c r="S59" s="348">
        <f t="shared" si="10"/>
        <v>0</v>
      </c>
      <c r="T59" s="348">
        <f t="shared" si="10"/>
        <v>0</v>
      </c>
      <c r="U59" s="348">
        <f t="shared" si="10"/>
        <v>0</v>
      </c>
      <c r="V59" s="348">
        <f t="shared" si="10"/>
        <v>0</v>
      </c>
      <c r="W59" s="348">
        <f t="shared" si="10"/>
        <v>0</v>
      </c>
      <c r="X59" s="348">
        <f t="shared" si="10"/>
        <v>0</v>
      </c>
      <c r="Y59" s="348">
        <f t="shared" si="10"/>
        <v>0</v>
      </c>
      <c r="Z59" s="348">
        <f t="shared" si="10"/>
        <v>0</v>
      </c>
      <c r="AA59" s="348">
        <f t="shared" si="10"/>
        <v>0</v>
      </c>
      <c r="AB59" s="348">
        <f t="shared" si="10"/>
        <v>0</v>
      </c>
      <c r="AC59" s="348">
        <f t="shared" si="10"/>
        <v>0</v>
      </c>
      <c r="AD59" s="348">
        <f t="shared" si="10"/>
        <v>0</v>
      </c>
      <c r="AE59" s="348">
        <f t="shared" si="10"/>
        <v>0</v>
      </c>
      <c r="AF59" s="348">
        <f t="shared" si="10"/>
        <v>0</v>
      </c>
      <c r="AG59" s="348">
        <f t="shared" si="10"/>
        <v>0</v>
      </c>
      <c r="AH59" s="348">
        <f t="shared" si="10"/>
        <v>0</v>
      </c>
      <c r="AI59" s="348">
        <f t="shared" si="10"/>
        <v>0</v>
      </c>
      <c r="AJ59" s="348">
        <f t="shared" si="10"/>
        <v>0</v>
      </c>
      <c r="AK59" s="348">
        <f t="shared" si="10"/>
        <v>0</v>
      </c>
      <c r="AL59" s="348">
        <f t="shared" si="10"/>
        <v>0</v>
      </c>
      <c r="AM59" s="348">
        <f t="shared" si="10"/>
        <v>0</v>
      </c>
      <c r="AN59" s="348">
        <f t="shared" si="10"/>
        <v>0</v>
      </c>
      <c r="AO59" s="348">
        <f t="shared" si="10"/>
        <v>0</v>
      </c>
      <c r="AP59" s="348">
        <f t="shared" si="10"/>
        <v>0</v>
      </c>
    </row>
    <row r="60" spans="1:45" x14ac:dyDescent="0.2">
      <c r="A60" s="210" t="s">
        <v>315</v>
      </c>
      <c r="B60" s="347">
        <f t="shared" ref="B60:Z60" si="11">SUM(B61:B65)</f>
        <v>0</v>
      </c>
      <c r="C60" s="347">
        <f t="shared" si="11"/>
        <v>-2651.3365287340921</v>
      </c>
      <c r="D60" s="347">
        <f>SUM(D61:D65)</f>
        <v>-2762.6926629409236</v>
      </c>
      <c r="E60" s="347">
        <f t="shared" si="11"/>
        <v>-2878.7257547844424</v>
      </c>
      <c r="F60" s="347">
        <f t="shared" si="11"/>
        <v>-2999.6322364853895</v>
      </c>
      <c r="G60" s="347">
        <f t="shared" si="11"/>
        <v>-3125.616790417776</v>
      </c>
      <c r="H60" s="347">
        <f t="shared" si="11"/>
        <v>-3256.8926956153227</v>
      </c>
      <c r="I60" s="347">
        <f t="shared" si="11"/>
        <v>-3393.6821888311665</v>
      </c>
      <c r="J60" s="347">
        <f t="shared" si="11"/>
        <v>-3536.2168407620757</v>
      </c>
      <c r="K60" s="347">
        <f t="shared" si="11"/>
        <v>-3684.7379480740833</v>
      </c>
      <c r="L60" s="347">
        <f t="shared" si="11"/>
        <v>-3839.4969418931951</v>
      </c>
      <c r="M60" s="347">
        <f t="shared" si="11"/>
        <v>-4000.7558134527089</v>
      </c>
      <c r="N60" s="347">
        <f t="shared" si="11"/>
        <v>-4168.787557617723</v>
      </c>
      <c r="O60" s="347">
        <f t="shared" si="11"/>
        <v>-4343.8766350376673</v>
      </c>
      <c r="P60" s="347">
        <f t="shared" si="11"/>
        <v>-4526.3194537092495</v>
      </c>
      <c r="Q60" s="347">
        <f t="shared" si="11"/>
        <v>-4716.4248707650386</v>
      </c>
      <c r="R60" s="347">
        <f t="shared" si="11"/>
        <v>-4914.5147153371699</v>
      </c>
      <c r="S60" s="347">
        <f t="shared" si="11"/>
        <v>-5120.9243333813311</v>
      </c>
      <c r="T60" s="347">
        <f t="shared" si="11"/>
        <v>-5336.0031553833478</v>
      </c>
      <c r="U60" s="347">
        <f t="shared" si="11"/>
        <v>-5560.1152879094489</v>
      </c>
      <c r="V60" s="347">
        <f t="shared" si="11"/>
        <v>-5793.640130001645</v>
      </c>
      <c r="W60" s="347">
        <f t="shared" si="11"/>
        <v>-6036.9730154617146</v>
      </c>
      <c r="X60" s="347">
        <f t="shared" si="11"/>
        <v>-6290.5258821111065</v>
      </c>
      <c r="Y60" s="347">
        <f t="shared" si="11"/>
        <v>-6554.7279691597732</v>
      </c>
      <c r="Z60" s="347">
        <f t="shared" si="11"/>
        <v>-6830.0265438644847</v>
      </c>
      <c r="AA60" s="347">
        <f t="shared" ref="AA60:AP60" si="12">SUM(AA61:AA65)</f>
        <v>-7116.8876587067934</v>
      </c>
      <c r="AB60" s="347">
        <f t="shared" si="12"/>
        <v>-7415.7969403724801</v>
      </c>
      <c r="AC60" s="347">
        <f t="shared" si="12"/>
        <v>-7727.2604118681238</v>
      </c>
      <c r="AD60" s="347">
        <f t="shared" si="12"/>
        <v>-8051.805349166586</v>
      </c>
      <c r="AE60" s="347">
        <f t="shared" si="12"/>
        <v>-8389.9811738315821</v>
      </c>
      <c r="AF60" s="347">
        <f t="shared" si="12"/>
        <v>-8742.360383132509</v>
      </c>
      <c r="AG60" s="347">
        <f t="shared" si="12"/>
        <v>-9109.539519224074</v>
      </c>
      <c r="AH60" s="347">
        <f t="shared" si="12"/>
        <v>-9492.1401790314849</v>
      </c>
      <c r="AI60" s="347">
        <f t="shared" si="12"/>
        <v>-9890.8100665508064</v>
      </c>
      <c r="AJ60" s="347">
        <f t="shared" si="12"/>
        <v>-10306.224089345942</v>
      </c>
      <c r="AK60" s="347">
        <f t="shared" si="12"/>
        <v>-10739.085501098472</v>
      </c>
      <c r="AL60" s="347">
        <f t="shared" si="12"/>
        <v>-11190.127092144608</v>
      </c>
      <c r="AM60" s="347">
        <f t="shared" si="12"/>
        <v>-11660.112430014684</v>
      </c>
      <c r="AN60" s="347">
        <f t="shared" si="12"/>
        <v>-12149.837152075301</v>
      </c>
      <c r="AO60" s="347">
        <f t="shared" si="12"/>
        <v>-12660.130312462465</v>
      </c>
      <c r="AP60" s="347">
        <f t="shared" si="12"/>
        <v>-13191.855785585889</v>
      </c>
    </row>
    <row r="61" spans="1:45" x14ac:dyDescent="0.2">
      <c r="A61" s="217" t="s">
        <v>314</v>
      </c>
      <c r="B61" s="347"/>
      <c r="C61" s="347">
        <f>-IF(C$47&lt;=$B$30,0,$B$29*(1+C$49)*$B$28)</f>
        <v>-2651.3365287340921</v>
      </c>
      <c r="D61" s="347">
        <f>-IF(D$47&lt;=$B$30,0,$B$29*(1+D$49)*$B$28)</f>
        <v>-2762.6926629409236</v>
      </c>
      <c r="E61" s="347">
        <f t="shared" ref="E61:AP61" si="13">-IF(E$47&lt;=$B$30,0,$B$29*(1+E$49)*$B$28)</f>
        <v>-2878.7257547844424</v>
      </c>
      <c r="F61" s="347">
        <f t="shared" si="13"/>
        <v>-2999.6322364853895</v>
      </c>
      <c r="G61" s="347">
        <f t="shared" si="13"/>
        <v>-3125.616790417776</v>
      </c>
      <c r="H61" s="347">
        <f t="shared" si="13"/>
        <v>-3256.8926956153227</v>
      </c>
      <c r="I61" s="347">
        <f t="shared" si="13"/>
        <v>-3393.6821888311665</v>
      </c>
      <c r="J61" s="347">
        <f t="shared" si="13"/>
        <v>-3536.2168407620757</v>
      </c>
      <c r="K61" s="347">
        <f t="shared" si="13"/>
        <v>-3684.7379480740833</v>
      </c>
      <c r="L61" s="347">
        <f t="shared" si="13"/>
        <v>-3839.4969418931951</v>
      </c>
      <c r="M61" s="347">
        <f t="shared" si="13"/>
        <v>-4000.7558134527089</v>
      </c>
      <c r="N61" s="347">
        <f t="shared" si="13"/>
        <v>-4168.787557617723</v>
      </c>
      <c r="O61" s="347">
        <f t="shared" si="13"/>
        <v>-4343.8766350376673</v>
      </c>
      <c r="P61" s="347">
        <f t="shared" si="13"/>
        <v>-4526.3194537092495</v>
      </c>
      <c r="Q61" s="347">
        <f t="shared" si="13"/>
        <v>-4716.4248707650386</v>
      </c>
      <c r="R61" s="347">
        <f t="shared" si="13"/>
        <v>-4914.5147153371699</v>
      </c>
      <c r="S61" s="347">
        <f t="shared" si="13"/>
        <v>-5120.9243333813311</v>
      </c>
      <c r="T61" s="347">
        <f t="shared" si="13"/>
        <v>-5336.0031553833478</v>
      </c>
      <c r="U61" s="347">
        <f t="shared" si="13"/>
        <v>-5560.1152879094489</v>
      </c>
      <c r="V61" s="347">
        <f t="shared" si="13"/>
        <v>-5793.640130001645</v>
      </c>
      <c r="W61" s="347">
        <f t="shared" si="13"/>
        <v>-6036.9730154617146</v>
      </c>
      <c r="X61" s="347">
        <f t="shared" si="13"/>
        <v>-6290.5258821111065</v>
      </c>
      <c r="Y61" s="347">
        <f t="shared" si="13"/>
        <v>-6554.7279691597732</v>
      </c>
      <c r="Z61" s="347">
        <f t="shared" si="13"/>
        <v>-6830.0265438644847</v>
      </c>
      <c r="AA61" s="347">
        <f t="shared" si="13"/>
        <v>-7116.8876587067934</v>
      </c>
      <c r="AB61" s="347">
        <f t="shared" si="13"/>
        <v>-7415.7969403724801</v>
      </c>
      <c r="AC61" s="347">
        <f t="shared" si="13"/>
        <v>-7727.2604118681238</v>
      </c>
      <c r="AD61" s="347">
        <f t="shared" si="13"/>
        <v>-8051.805349166586</v>
      </c>
      <c r="AE61" s="347">
        <f t="shared" si="13"/>
        <v>-8389.9811738315821</v>
      </c>
      <c r="AF61" s="347">
        <f t="shared" si="13"/>
        <v>-8742.360383132509</v>
      </c>
      <c r="AG61" s="347">
        <f t="shared" si="13"/>
        <v>-9109.539519224074</v>
      </c>
      <c r="AH61" s="347">
        <f t="shared" si="13"/>
        <v>-9492.1401790314849</v>
      </c>
      <c r="AI61" s="347">
        <f t="shared" si="13"/>
        <v>-9890.8100665508064</v>
      </c>
      <c r="AJ61" s="347">
        <f t="shared" si="13"/>
        <v>-10306.224089345942</v>
      </c>
      <c r="AK61" s="347">
        <f t="shared" si="13"/>
        <v>-10739.085501098472</v>
      </c>
      <c r="AL61" s="347">
        <f t="shared" si="13"/>
        <v>-11190.127092144608</v>
      </c>
      <c r="AM61" s="347">
        <f t="shared" si="13"/>
        <v>-11660.112430014684</v>
      </c>
      <c r="AN61" s="347">
        <f t="shared" si="13"/>
        <v>-12149.837152075301</v>
      </c>
      <c r="AO61" s="347">
        <f t="shared" si="13"/>
        <v>-12660.130312462465</v>
      </c>
      <c r="AP61" s="347">
        <f t="shared" si="13"/>
        <v>-13191.855785585889</v>
      </c>
    </row>
    <row r="62" spans="1:45" x14ac:dyDescent="0.2">
      <c r="A62" s="217" t="str">
        <f>A32</f>
        <v>Прочие расходы при эксплуатации объекта, руб. без НДС</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row>
    <row r="63" spans="1:45" x14ac:dyDescent="0.2">
      <c r="A63" s="217" t="s">
        <v>535</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row>
    <row r="64" spans="1:45" x14ac:dyDescent="0.2">
      <c r="A64" s="217" t="s">
        <v>535</v>
      </c>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row>
    <row r="65" spans="1:45" ht="31.5" x14ac:dyDescent="0.2">
      <c r="A65" s="217" t="s">
        <v>539</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row>
    <row r="66" spans="1:45" ht="28.5" x14ac:dyDescent="0.2">
      <c r="A66" s="218" t="s">
        <v>312</v>
      </c>
      <c r="B66" s="348">
        <f t="shared" ref="B66:AO66" si="14">B59+B60</f>
        <v>68649.95</v>
      </c>
      <c r="C66" s="348">
        <f t="shared" si="14"/>
        <v>-2651.3365287340921</v>
      </c>
      <c r="D66" s="348">
        <f t="shared" si="14"/>
        <v>-2762.6926629409236</v>
      </c>
      <c r="E66" s="348">
        <f t="shared" si="14"/>
        <v>-2878.7257547844424</v>
      </c>
      <c r="F66" s="348">
        <f t="shared" si="14"/>
        <v>-2999.6322364853895</v>
      </c>
      <c r="G66" s="348">
        <f t="shared" si="14"/>
        <v>-3125.616790417776</v>
      </c>
      <c r="H66" s="348">
        <f t="shared" si="14"/>
        <v>-3256.8926956153227</v>
      </c>
      <c r="I66" s="348">
        <f t="shared" si="14"/>
        <v>-3393.6821888311665</v>
      </c>
      <c r="J66" s="348">
        <f t="shared" si="14"/>
        <v>-3536.2168407620757</v>
      </c>
      <c r="K66" s="348">
        <f t="shared" si="14"/>
        <v>-3684.7379480740833</v>
      </c>
      <c r="L66" s="348">
        <f t="shared" si="14"/>
        <v>-3839.4969418931951</v>
      </c>
      <c r="M66" s="348">
        <f t="shared" si="14"/>
        <v>-4000.7558134527089</v>
      </c>
      <c r="N66" s="348">
        <f t="shared" si="14"/>
        <v>-4168.787557617723</v>
      </c>
      <c r="O66" s="348">
        <f t="shared" si="14"/>
        <v>-4343.8766350376673</v>
      </c>
      <c r="P66" s="348">
        <f t="shared" si="14"/>
        <v>-4526.3194537092495</v>
      </c>
      <c r="Q66" s="348">
        <f t="shared" si="14"/>
        <v>-4716.4248707650386</v>
      </c>
      <c r="R66" s="348">
        <f t="shared" si="14"/>
        <v>-4914.5147153371699</v>
      </c>
      <c r="S66" s="348">
        <f t="shared" si="14"/>
        <v>-5120.9243333813311</v>
      </c>
      <c r="T66" s="348">
        <f t="shared" si="14"/>
        <v>-5336.0031553833478</v>
      </c>
      <c r="U66" s="348">
        <f t="shared" si="14"/>
        <v>-5560.1152879094489</v>
      </c>
      <c r="V66" s="348">
        <f t="shared" si="14"/>
        <v>-5793.640130001645</v>
      </c>
      <c r="W66" s="348">
        <f t="shared" si="14"/>
        <v>-6036.9730154617146</v>
      </c>
      <c r="X66" s="348">
        <f t="shared" si="14"/>
        <v>-6290.5258821111065</v>
      </c>
      <c r="Y66" s="348">
        <f t="shared" si="14"/>
        <v>-6554.7279691597732</v>
      </c>
      <c r="Z66" s="348">
        <f t="shared" si="14"/>
        <v>-6830.0265438644847</v>
      </c>
      <c r="AA66" s="348">
        <f t="shared" si="14"/>
        <v>-7116.8876587067934</v>
      </c>
      <c r="AB66" s="348">
        <f t="shared" si="14"/>
        <v>-7415.7969403724801</v>
      </c>
      <c r="AC66" s="348">
        <f t="shared" si="14"/>
        <v>-7727.2604118681238</v>
      </c>
      <c r="AD66" s="348">
        <f t="shared" si="14"/>
        <v>-8051.805349166586</v>
      </c>
      <c r="AE66" s="348">
        <f t="shared" si="14"/>
        <v>-8389.9811738315821</v>
      </c>
      <c r="AF66" s="348">
        <f t="shared" si="14"/>
        <v>-8742.360383132509</v>
      </c>
      <c r="AG66" s="348">
        <f t="shared" si="14"/>
        <v>-9109.539519224074</v>
      </c>
      <c r="AH66" s="348">
        <f t="shared" si="14"/>
        <v>-9492.1401790314849</v>
      </c>
      <c r="AI66" s="348">
        <f t="shared" si="14"/>
        <v>-9890.8100665508064</v>
      </c>
      <c r="AJ66" s="348">
        <f t="shared" si="14"/>
        <v>-10306.224089345942</v>
      </c>
      <c r="AK66" s="348">
        <f t="shared" si="14"/>
        <v>-10739.085501098472</v>
      </c>
      <c r="AL66" s="348">
        <f t="shared" si="14"/>
        <v>-11190.127092144608</v>
      </c>
      <c r="AM66" s="348">
        <f t="shared" si="14"/>
        <v>-11660.112430014684</v>
      </c>
      <c r="AN66" s="348">
        <f t="shared" si="14"/>
        <v>-12149.837152075301</v>
      </c>
      <c r="AO66" s="348">
        <f t="shared" si="14"/>
        <v>-12660.130312462465</v>
      </c>
      <c r="AP66" s="348">
        <f>AP59+AP60</f>
        <v>-13191.855785585889</v>
      </c>
    </row>
    <row r="67" spans="1:45" x14ac:dyDescent="0.2">
      <c r="A67" s="217" t="s">
        <v>307</v>
      </c>
      <c r="B67" s="219"/>
      <c r="C67" s="347">
        <f>-($B$25)*1.18*$B$28/$B$27</f>
        <v>-1928.7380952380952</v>
      </c>
      <c r="D67" s="347">
        <f>C67</f>
        <v>-1928.7380952380952</v>
      </c>
      <c r="E67" s="347">
        <f t="shared" ref="E67:AP67" si="15">D67</f>
        <v>-1928.7380952380952</v>
      </c>
      <c r="F67" s="347">
        <f t="shared" si="15"/>
        <v>-1928.7380952380952</v>
      </c>
      <c r="G67" s="347">
        <f t="shared" si="15"/>
        <v>-1928.7380952380952</v>
      </c>
      <c r="H67" s="347">
        <f t="shared" si="15"/>
        <v>-1928.7380952380952</v>
      </c>
      <c r="I67" s="347">
        <f t="shared" si="15"/>
        <v>-1928.7380952380952</v>
      </c>
      <c r="J67" s="347">
        <f t="shared" si="15"/>
        <v>-1928.7380952380952</v>
      </c>
      <c r="K67" s="347">
        <f t="shared" si="15"/>
        <v>-1928.7380952380952</v>
      </c>
      <c r="L67" s="347">
        <f t="shared" si="15"/>
        <v>-1928.7380952380952</v>
      </c>
      <c r="M67" s="347">
        <f t="shared" si="15"/>
        <v>-1928.7380952380952</v>
      </c>
      <c r="N67" s="347">
        <f t="shared" si="15"/>
        <v>-1928.7380952380952</v>
      </c>
      <c r="O67" s="347">
        <f t="shared" si="15"/>
        <v>-1928.7380952380952</v>
      </c>
      <c r="P67" s="347">
        <f t="shared" si="15"/>
        <v>-1928.7380952380952</v>
      </c>
      <c r="Q67" s="347">
        <f t="shared" si="15"/>
        <v>-1928.7380952380952</v>
      </c>
      <c r="R67" s="347">
        <f t="shared" si="15"/>
        <v>-1928.7380952380952</v>
      </c>
      <c r="S67" s="347">
        <f t="shared" si="15"/>
        <v>-1928.7380952380952</v>
      </c>
      <c r="T67" s="347">
        <f t="shared" si="15"/>
        <v>-1928.7380952380952</v>
      </c>
      <c r="U67" s="347">
        <f t="shared" si="15"/>
        <v>-1928.7380952380952</v>
      </c>
      <c r="V67" s="347">
        <f t="shared" si="15"/>
        <v>-1928.7380952380952</v>
      </c>
      <c r="W67" s="347">
        <f t="shared" si="15"/>
        <v>-1928.7380952380952</v>
      </c>
      <c r="X67" s="347">
        <f t="shared" si="15"/>
        <v>-1928.7380952380952</v>
      </c>
      <c r="Y67" s="347">
        <f t="shared" si="15"/>
        <v>-1928.7380952380952</v>
      </c>
      <c r="Z67" s="347">
        <f t="shared" si="15"/>
        <v>-1928.7380952380952</v>
      </c>
      <c r="AA67" s="347">
        <f t="shared" si="15"/>
        <v>-1928.7380952380952</v>
      </c>
      <c r="AB67" s="347">
        <f t="shared" si="15"/>
        <v>-1928.7380952380952</v>
      </c>
      <c r="AC67" s="347">
        <f t="shared" si="15"/>
        <v>-1928.7380952380952</v>
      </c>
      <c r="AD67" s="347">
        <f t="shared" si="15"/>
        <v>-1928.7380952380952</v>
      </c>
      <c r="AE67" s="347">
        <f t="shared" si="15"/>
        <v>-1928.7380952380952</v>
      </c>
      <c r="AF67" s="347">
        <f t="shared" si="15"/>
        <v>-1928.7380952380952</v>
      </c>
      <c r="AG67" s="347">
        <f t="shared" si="15"/>
        <v>-1928.7380952380952</v>
      </c>
      <c r="AH67" s="347">
        <f t="shared" si="15"/>
        <v>-1928.7380952380952</v>
      </c>
      <c r="AI67" s="347">
        <f t="shared" si="15"/>
        <v>-1928.7380952380952</v>
      </c>
      <c r="AJ67" s="347">
        <f t="shared" si="15"/>
        <v>-1928.7380952380952</v>
      </c>
      <c r="AK67" s="347">
        <f t="shared" si="15"/>
        <v>-1928.7380952380952</v>
      </c>
      <c r="AL67" s="347">
        <f t="shared" si="15"/>
        <v>-1928.7380952380952</v>
      </c>
      <c r="AM67" s="347">
        <f t="shared" si="15"/>
        <v>-1928.7380952380952</v>
      </c>
      <c r="AN67" s="347">
        <f t="shared" si="15"/>
        <v>-1928.7380952380952</v>
      </c>
      <c r="AO67" s="347">
        <f t="shared" si="15"/>
        <v>-1928.7380952380952</v>
      </c>
      <c r="AP67" s="347">
        <f t="shared" si="15"/>
        <v>-1928.7380952380952</v>
      </c>
      <c r="AQ67" s="220">
        <f>SUM(B67:AA67)/1.18</f>
        <v>-40863.095238095215</v>
      </c>
      <c r="AR67" s="221">
        <f>SUM(B67:AF67)/1.18</f>
        <v>-49035.714285714246</v>
      </c>
      <c r="AS67" s="221">
        <f>SUM(B67:AP67)/1.18</f>
        <v>-65380.952380952316</v>
      </c>
    </row>
    <row r="68" spans="1:45" ht="28.5" x14ac:dyDescent="0.2">
      <c r="A68" s="218" t="s">
        <v>308</v>
      </c>
      <c r="B68" s="348">
        <f t="shared" ref="B68:J68" si="16">B66+B67</f>
        <v>68649.95</v>
      </c>
      <c r="C68" s="348">
        <f>C66+C67</f>
        <v>-4580.0746239721875</v>
      </c>
      <c r="D68" s="348">
        <f>D66+D67</f>
        <v>-4691.430758179019</v>
      </c>
      <c r="E68" s="348">
        <f t="shared" si="16"/>
        <v>-4807.4638500225374</v>
      </c>
      <c r="F68" s="348">
        <f>F66+C67</f>
        <v>-4928.3703317234849</v>
      </c>
      <c r="G68" s="348">
        <f t="shared" si="16"/>
        <v>-5054.3548856558709</v>
      </c>
      <c r="H68" s="348">
        <f t="shared" si="16"/>
        <v>-5185.6307908534181</v>
      </c>
      <c r="I68" s="348">
        <f t="shared" si="16"/>
        <v>-5322.4202840692615</v>
      </c>
      <c r="J68" s="348">
        <f t="shared" si="16"/>
        <v>-5464.9549360001711</v>
      </c>
      <c r="K68" s="348">
        <f>K66+K67</f>
        <v>-5613.4760433121783</v>
      </c>
      <c r="L68" s="348">
        <f>L66+L67</f>
        <v>-5768.2350371312905</v>
      </c>
      <c r="M68" s="348">
        <f t="shared" ref="M68:AO68" si="17">M66+M67</f>
        <v>-5929.4939086908043</v>
      </c>
      <c r="N68" s="348">
        <f t="shared" si="17"/>
        <v>-6097.5256528558184</v>
      </c>
      <c r="O68" s="348">
        <f t="shared" si="17"/>
        <v>-6272.6147302757627</v>
      </c>
      <c r="P68" s="348">
        <f t="shared" si="17"/>
        <v>-6455.0575489473449</v>
      </c>
      <c r="Q68" s="348">
        <f t="shared" si="17"/>
        <v>-6645.162966003134</v>
      </c>
      <c r="R68" s="348">
        <f t="shared" si="17"/>
        <v>-6843.2528105752654</v>
      </c>
      <c r="S68" s="348">
        <f t="shared" si="17"/>
        <v>-7049.6624286194265</v>
      </c>
      <c r="T68" s="348">
        <f t="shared" si="17"/>
        <v>-7264.7412506214432</v>
      </c>
      <c r="U68" s="348">
        <f t="shared" si="17"/>
        <v>-7488.8533831475443</v>
      </c>
      <c r="V68" s="348">
        <f t="shared" si="17"/>
        <v>-7722.3782252397405</v>
      </c>
      <c r="W68" s="348">
        <f t="shared" si="17"/>
        <v>-7965.71111069981</v>
      </c>
      <c r="X68" s="348">
        <f t="shared" si="17"/>
        <v>-8219.263977349201</v>
      </c>
      <c r="Y68" s="348">
        <f t="shared" si="17"/>
        <v>-8483.4660643978677</v>
      </c>
      <c r="Z68" s="348">
        <f t="shared" si="17"/>
        <v>-8758.7646391025792</v>
      </c>
      <c r="AA68" s="348">
        <f t="shared" si="17"/>
        <v>-9045.6257539448889</v>
      </c>
      <c r="AB68" s="348">
        <f t="shared" si="17"/>
        <v>-9344.5350356105755</v>
      </c>
      <c r="AC68" s="348">
        <f t="shared" si="17"/>
        <v>-9655.9985071062183</v>
      </c>
      <c r="AD68" s="348">
        <f t="shared" si="17"/>
        <v>-9980.5434444046805</v>
      </c>
      <c r="AE68" s="348">
        <f t="shared" si="17"/>
        <v>-10318.719269069677</v>
      </c>
      <c r="AF68" s="348">
        <f t="shared" si="17"/>
        <v>-10671.098478370604</v>
      </c>
      <c r="AG68" s="348">
        <f t="shared" si="17"/>
        <v>-11038.277614462169</v>
      </c>
      <c r="AH68" s="348">
        <f t="shared" si="17"/>
        <v>-11420.87827426958</v>
      </c>
      <c r="AI68" s="348">
        <f t="shared" si="17"/>
        <v>-11819.548161788902</v>
      </c>
      <c r="AJ68" s="348">
        <f t="shared" si="17"/>
        <v>-12234.962184584037</v>
      </c>
      <c r="AK68" s="348">
        <f t="shared" si="17"/>
        <v>-12667.823596336568</v>
      </c>
      <c r="AL68" s="348">
        <f t="shared" si="17"/>
        <v>-13118.865187382704</v>
      </c>
      <c r="AM68" s="348">
        <f t="shared" si="17"/>
        <v>-13588.850525252779</v>
      </c>
      <c r="AN68" s="348">
        <f t="shared" si="17"/>
        <v>-14078.575247313396</v>
      </c>
      <c r="AO68" s="348">
        <f t="shared" si="17"/>
        <v>-14588.86840770056</v>
      </c>
      <c r="AP68" s="348">
        <f>AP66+AP67</f>
        <v>-15120.593880823984</v>
      </c>
      <c r="AQ68" s="170">
        <v>25</v>
      </c>
      <c r="AR68" s="170">
        <v>30</v>
      </c>
      <c r="AS68" s="170">
        <v>40</v>
      </c>
    </row>
    <row r="69" spans="1:45" x14ac:dyDescent="0.2">
      <c r="A69" s="217" t="s">
        <v>306</v>
      </c>
      <c r="B69" s="347">
        <f t="shared" ref="B69:AO69" si="18">-B56</f>
        <v>0</v>
      </c>
      <c r="C69" s="347">
        <f t="shared" si="18"/>
        <v>0</v>
      </c>
      <c r="D69" s="347">
        <f t="shared" si="18"/>
        <v>0</v>
      </c>
      <c r="E69" s="347">
        <f t="shared" si="18"/>
        <v>0</v>
      </c>
      <c r="F69" s="347">
        <f t="shared" si="18"/>
        <v>0</v>
      </c>
      <c r="G69" s="347">
        <f t="shared" si="18"/>
        <v>0</v>
      </c>
      <c r="H69" s="347">
        <f t="shared" si="18"/>
        <v>0</v>
      </c>
      <c r="I69" s="347">
        <f t="shared" si="18"/>
        <v>0</v>
      </c>
      <c r="J69" s="347">
        <f t="shared" si="18"/>
        <v>0</v>
      </c>
      <c r="K69" s="347">
        <f t="shared" si="18"/>
        <v>0</v>
      </c>
      <c r="L69" s="347">
        <f t="shared" si="18"/>
        <v>0</v>
      </c>
      <c r="M69" s="347">
        <f t="shared" si="18"/>
        <v>0</v>
      </c>
      <c r="N69" s="347">
        <f t="shared" si="18"/>
        <v>0</v>
      </c>
      <c r="O69" s="347">
        <f t="shared" si="18"/>
        <v>0</v>
      </c>
      <c r="P69" s="347">
        <f t="shared" si="18"/>
        <v>0</v>
      </c>
      <c r="Q69" s="347">
        <f t="shared" si="18"/>
        <v>0</v>
      </c>
      <c r="R69" s="347">
        <f t="shared" si="18"/>
        <v>0</v>
      </c>
      <c r="S69" s="347">
        <f t="shared" si="18"/>
        <v>0</v>
      </c>
      <c r="T69" s="347">
        <f t="shared" si="18"/>
        <v>0</v>
      </c>
      <c r="U69" s="347">
        <f t="shared" si="18"/>
        <v>0</v>
      </c>
      <c r="V69" s="347">
        <f t="shared" si="18"/>
        <v>0</v>
      </c>
      <c r="W69" s="347">
        <f t="shared" si="18"/>
        <v>0</v>
      </c>
      <c r="X69" s="347">
        <f t="shared" si="18"/>
        <v>0</v>
      </c>
      <c r="Y69" s="347">
        <f t="shared" si="18"/>
        <v>0</v>
      </c>
      <c r="Z69" s="347">
        <f t="shared" si="18"/>
        <v>0</v>
      </c>
      <c r="AA69" s="347">
        <f t="shared" si="18"/>
        <v>0</v>
      </c>
      <c r="AB69" s="347">
        <f t="shared" si="18"/>
        <v>0</v>
      </c>
      <c r="AC69" s="347">
        <f t="shared" si="18"/>
        <v>0</v>
      </c>
      <c r="AD69" s="347">
        <f t="shared" si="18"/>
        <v>0</v>
      </c>
      <c r="AE69" s="347">
        <f t="shared" si="18"/>
        <v>0</v>
      </c>
      <c r="AF69" s="347">
        <f t="shared" si="18"/>
        <v>0</v>
      </c>
      <c r="AG69" s="347">
        <f t="shared" si="18"/>
        <v>0</v>
      </c>
      <c r="AH69" s="347">
        <f t="shared" si="18"/>
        <v>0</v>
      </c>
      <c r="AI69" s="347">
        <f t="shared" si="18"/>
        <v>0</v>
      </c>
      <c r="AJ69" s="347">
        <f t="shared" si="18"/>
        <v>0</v>
      </c>
      <c r="AK69" s="347">
        <f t="shared" si="18"/>
        <v>0</v>
      </c>
      <c r="AL69" s="347">
        <f t="shared" si="18"/>
        <v>0</v>
      </c>
      <c r="AM69" s="347">
        <f t="shared" si="18"/>
        <v>0</v>
      </c>
      <c r="AN69" s="347">
        <f t="shared" si="18"/>
        <v>0</v>
      </c>
      <c r="AO69" s="347">
        <f t="shared" si="18"/>
        <v>0</v>
      </c>
      <c r="AP69" s="347">
        <f>-AP56</f>
        <v>0</v>
      </c>
    </row>
    <row r="70" spans="1:45" ht="14.25" x14ac:dyDescent="0.2">
      <c r="A70" s="218" t="s">
        <v>311</v>
      </c>
      <c r="B70" s="348">
        <f t="shared" ref="B70:AO70" si="19">B68+B69</f>
        <v>68649.95</v>
      </c>
      <c r="C70" s="348">
        <f t="shared" si="19"/>
        <v>-4580.0746239721875</v>
      </c>
      <c r="D70" s="348">
        <f t="shared" si="19"/>
        <v>-4691.430758179019</v>
      </c>
      <c r="E70" s="348">
        <f t="shared" si="19"/>
        <v>-4807.4638500225374</v>
      </c>
      <c r="F70" s="348">
        <f t="shared" si="19"/>
        <v>-4928.3703317234849</v>
      </c>
      <c r="G70" s="348">
        <f t="shared" si="19"/>
        <v>-5054.3548856558709</v>
      </c>
      <c r="H70" s="348">
        <f t="shared" si="19"/>
        <v>-5185.6307908534181</v>
      </c>
      <c r="I70" s="348">
        <f t="shared" si="19"/>
        <v>-5322.4202840692615</v>
      </c>
      <c r="J70" s="348">
        <f t="shared" si="19"/>
        <v>-5464.9549360001711</v>
      </c>
      <c r="K70" s="348">
        <f t="shared" si="19"/>
        <v>-5613.4760433121783</v>
      </c>
      <c r="L70" s="348">
        <f t="shared" si="19"/>
        <v>-5768.2350371312905</v>
      </c>
      <c r="M70" s="348">
        <f t="shared" si="19"/>
        <v>-5929.4939086908043</v>
      </c>
      <c r="N70" s="348">
        <f t="shared" si="19"/>
        <v>-6097.5256528558184</v>
      </c>
      <c r="O70" s="348">
        <f t="shared" si="19"/>
        <v>-6272.6147302757627</v>
      </c>
      <c r="P70" s="348">
        <f t="shared" si="19"/>
        <v>-6455.0575489473449</v>
      </c>
      <c r="Q70" s="348">
        <f t="shared" si="19"/>
        <v>-6645.162966003134</v>
      </c>
      <c r="R70" s="348">
        <f t="shared" si="19"/>
        <v>-6843.2528105752654</v>
      </c>
      <c r="S70" s="348">
        <f t="shared" si="19"/>
        <v>-7049.6624286194265</v>
      </c>
      <c r="T70" s="348">
        <f t="shared" si="19"/>
        <v>-7264.7412506214432</v>
      </c>
      <c r="U70" s="348">
        <f t="shared" si="19"/>
        <v>-7488.8533831475443</v>
      </c>
      <c r="V70" s="348">
        <f t="shared" si="19"/>
        <v>-7722.3782252397405</v>
      </c>
      <c r="W70" s="348">
        <f t="shared" si="19"/>
        <v>-7965.71111069981</v>
      </c>
      <c r="X70" s="348">
        <f t="shared" si="19"/>
        <v>-8219.263977349201</v>
      </c>
      <c r="Y70" s="348">
        <f t="shared" si="19"/>
        <v>-8483.4660643978677</v>
      </c>
      <c r="Z70" s="348">
        <f t="shared" si="19"/>
        <v>-8758.7646391025792</v>
      </c>
      <c r="AA70" s="348">
        <f t="shared" si="19"/>
        <v>-9045.6257539448889</v>
      </c>
      <c r="AB70" s="348">
        <f t="shared" si="19"/>
        <v>-9344.5350356105755</v>
      </c>
      <c r="AC70" s="348">
        <f t="shared" si="19"/>
        <v>-9655.9985071062183</v>
      </c>
      <c r="AD70" s="348">
        <f t="shared" si="19"/>
        <v>-9980.5434444046805</v>
      </c>
      <c r="AE70" s="348">
        <f t="shared" si="19"/>
        <v>-10318.719269069677</v>
      </c>
      <c r="AF70" s="348">
        <f t="shared" si="19"/>
        <v>-10671.098478370604</v>
      </c>
      <c r="AG70" s="348">
        <f t="shared" si="19"/>
        <v>-11038.277614462169</v>
      </c>
      <c r="AH70" s="348">
        <f t="shared" si="19"/>
        <v>-11420.87827426958</v>
      </c>
      <c r="AI70" s="348">
        <f t="shared" si="19"/>
        <v>-11819.548161788902</v>
      </c>
      <c r="AJ70" s="348">
        <f t="shared" si="19"/>
        <v>-12234.962184584037</v>
      </c>
      <c r="AK70" s="348">
        <f t="shared" si="19"/>
        <v>-12667.823596336568</v>
      </c>
      <c r="AL70" s="348">
        <f t="shared" si="19"/>
        <v>-13118.865187382704</v>
      </c>
      <c r="AM70" s="348">
        <f t="shared" si="19"/>
        <v>-13588.850525252779</v>
      </c>
      <c r="AN70" s="348">
        <f t="shared" si="19"/>
        <v>-14078.575247313396</v>
      </c>
      <c r="AO70" s="348">
        <f t="shared" si="19"/>
        <v>-14588.86840770056</v>
      </c>
      <c r="AP70" s="348">
        <f>AP68+AP69</f>
        <v>-15120.593880823984</v>
      </c>
    </row>
    <row r="71" spans="1:45" x14ac:dyDescent="0.2">
      <c r="A71" s="217" t="s">
        <v>305</v>
      </c>
      <c r="B71" s="347">
        <f t="shared" ref="B71:AP71" si="20">-B70*$B$36</f>
        <v>-13729.99</v>
      </c>
      <c r="C71" s="347">
        <f t="shared" si="20"/>
        <v>916.01492479443755</v>
      </c>
      <c r="D71" s="347">
        <f t="shared" si="20"/>
        <v>938.28615163580389</v>
      </c>
      <c r="E71" s="347">
        <f t="shared" si="20"/>
        <v>961.49277000450752</v>
      </c>
      <c r="F71" s="347">
        <f t="shared" si="20"/>
        <v>985.67406634469705</v>
      </c>
      <c r="G71" s="347">
        <f t="shared" si="20"/>
        <v>1010.8709771311742</v>
      </c>
      <c r="H71" s="347">
        <f t="shared" si="20"/>
        <v>1037.1261581706838</v>
      </c>
      <c r="I71" s="347">
        <f t="shared" si="20"/>
        <v>1064.4840568138522</v>
      </c>
      <c r="J71" s="347">
        <f t="shared" si="20"/>
        <v>1092.9909872000342</v>
      </c>
      <c r="K71" s="347">
        <f t="shared" si="20"/>
        <v>1122.6952086624358</v>
      </c>
      <c r="L71" s="347">
        <f t="shared" si="20"/>
        <v>1153.6470074262581</v>
      </c>
      <c r="M71" s="347">
        <f t="shared" si="20"/>
        <v>1185.898781738161</v>
      </c>
      <c r="N71" s="347">
        <f t="shared" si="20"/>
        <v>1219.5051305711638</v>
      </c>
      <c r="O71" s="347">
        <f t="shared" si="20"/>
        <v>1254.5229460551527</v>
      </c>
      <c r="P71" s="347">
        <f t="shared" si="20"/>
        <v>1291.0115097894691</v>
      </c>
      <c r="Q71" s="347">
        <f t="shared" si="20"/>
        <v>1329.0325932006269</v>
      </c>
      <c r="R71" s="347">
        <f t="shared" si="20"/>
        <v>1368.6505621150532</v>
      </c>
      <c r="S71" s="347">
        <f t="shared" si="20"/>
        <v>1409.9324857238853</v>
      </c>
      <c r="T71" s="347">
        <f t="shared" si="20"/>
        <v>1452.9482501242887</v>
      </c>
      <c r="U71" s="347">
        <f t="shared" si="20"/>
        <v>1497.7706766295089</v>
      </c>
      <c r="V71" s="347">
        <f t="shared" si="20"/>
        <v>1544.4756450479481</v>
      </c>
      <c r="W71" s="347">
        <f t="shared" si="20"/>
        <v>1593.1422221399621</v>
      </c>
      <c r="X71" s="347">
        <f t="shared" si="20"/>
        <v>1643.8527954698402</v>
      </c>
      <c r="Y71" s="347">
        <f t="shared" si="20"/>
        <v>1696.6932128795736</v>
      </c>
      <c r="Z71" s="347">
        <f t="shared" si="20"/>
        <v>1751.7529278205159</v>
      </c>
      <c r="AA71" s="347">
        <f t="shared" si="20"/>
        <v>1809.1251507889779</v>
      </c>
      <c r="AB71" s="347">
        <f t="shared" si="20"/>
        <v>1868.9070071221151</v>
      </c>
      <c r="AC71" s="347">
        <f t="shared" si="20"/>
        <v>1931.1997014212438</v>
      </c>
      <c r="AD71" s="347">
        <f t="shared" si="20"/>
        <v>1996.1086888809361</v>
      </c>
      <c r="AE71" s="347">
        <f t="shared" si="20"/>
        <v>2063.7438538139354</v>
      </c>
      <c r="AF71" s="347">
        <f t="shared" si="20"/>
        <v>2134.2196956741209</v>
      </c>
      <c r="AG71" s="347">
        <f t="shared" si="20"/>
        <v>2207.655522892434</v>
      </c>
      <c r="AH71" s="347">
        <f t="shared" si="20"/>
        <v>2284.1756548539161</v>
      </c>
      <c r="AI71" s="347">
        <f t="shared" si="20"/>
        <v>2363.9096323577805</v>
      </c>
      <c r="AJ71" s="347">
        <f t="shared" si="20"/>
        <v>2446.9924369168075</v>
      </c>
      <c r="AK71" s="347">
        <f t="shared" si="20"/>
        <v>2533.5647192673136</v>
      </c>
      <c r="AL71" s="347">
        <f t="shared" si="20"/>
        <v>2623.773037476541</v>
      </c>
      <c r="AM71" s="347">
        <f t="shared" si="20"/>
        <v>2717.7701050505561</v>
      </c>
      <c r="AN71" s="347">
        <f t="shared" si="20"/>
        <v>2815.7150494626794</v>
      </c>
      <c r="AO71" s="347">
        <f t="shared" si="20"/>
        <v>2917.7736815401122</v>
      </c>
      <c r="AP71" s="347">
        <f t="shared" si="20"/>
        <v>3024.1187761647971</v>
      </c>
    </row>
    <row r="72" spans="1:45" ht="15" thickBot="1" x14ac:dyDescent="0.25">
      <c r="A72" s="222" t="s">
        <v>310</v>
      </c>
      <c r="B72" s="223">
        <f t="shared" ref="B72:AO72" si="21">B70+B71</f>
        <v>54919.96</v>
      </c>
      <c r="C72" s="223">
        <f t="shared" si="21"/>
        <v>-3664.0596991777502</v>
      </c>
      <c r="D72" s="223">
        <f t="shared" si="21"/>
        <v>-3753.1446065432151</v>
      </c>
      <c r="E72" s="223">
        <f t="shared" si="21"/>
        <v>-3845.9710800180301</v>
      </c>
      <c r="F72" s="223">
        <f t="shared" si="21"/>
        <v>-3942.6962653787878</v>
      </c>
      <c r="G72" s="223">
        <f t="shared" si="21"/>
        <v>-4043.4839085246967</v>
      </c>
      <c r="H72" s="223">
        <f t="shared" si="21"/>
        <v>-4148.5046326827342</v>
      </c>
      <c r="I72" s="223">
        <f t="shared" si="21"/>
        <v>-4257.936227255409</v>
      </c>
      <c r="J72" s="223">
        <f t="shared" si="21"/>
        <v>-4371.9639488001367</v>
      </c>
      <c r="K72" s="223">
        <f t="shared" si="21"/>
        <v>-4490.7808346497422</v>
      </c>
      <c r="L72" s="223">
        <f t="shared" si="21"/>
        <v>-4614.5880297050326</v>
      </c>
      <c r="M72" s="223">
        <f t="shared" si="21"/>
        <v>-4743.5951269526431</v>
      </c>
      <c r="N72" s="223">
        <f t="shared" si="21"/>
        <v>-4878.0205222846544</v>
      </c>
      <c r="O72" s="223">
        <f t="shared" si="21"/>
        <v>-5018.09178422061</v>
      </c>
      <c r="P72" s="223">
        <f t="shared" si="21"/>
        <v>-5164.0460391578763</v>
      </c>
      <c r="Q72" s="223">
        <f t="shared" si="21"/>
        <v>-5316.1303728025068</v>
      </c>
      <c r="R72" s="223">
        <f t="shared" si="21"/>
        <v>-5474.6022484602126</v>
      </c>
      <c r="S72" s="223">
        <f t="shared" si="21"/>
        <v>-5639.7299428955412</v>
      </c>
      <c r="T72" s="223">
        <f t="shared" si="21"/>
        <v>-5811.7930004971549</v>
      </c>
      <c r="U72" s="223">
        <f t="shared" si="21"/>
        <v>-5991.0827065180356</v>
      </c>
      <c r="V72" s="223">
        <f t="shared" si="21"/>
        <v>-6177.9025801917924</v>
      </c>
      <c r="W72" s="223">
        <f t="shared" si="21"/>
        <v>-6372.5688885598483</v>
      </c>
      <c r="X72" s="223">
        <f t="shared" si="21"/>
        <v>-6575.4111818793608</v>
      </c>
      <c r="Y72" s="223">
        <f t="shared" si="21"/>
        <v>-6786.7728515182944</v>
      </c>
      <c r="Z72" s="223">
        <f t="shared" si="21"/>
        <v>-7007.0117112820635</v>
      </c>
      <c r="AA72" s="223">
        <f t="shared" si="21"/>
        <v>-7236.5006031559114</v>
      </c>
      <c r="AB72" s="223">
        <f t="shared" si="21"/>
        <v>-7475.6280284884606</v>
      </c>
      <c r="AC72" s="223">
        <f t="shared" si="21"/>
        <v>-7724.7988056849745</v>
      </c>
      <c r="AD72" s="223">
        <f t="shared" si="21"/>
        <v>-7984.4347555237446</v>
      </c>
      <c r="AE72" s="223">
        <f t="shared" si="21"/>
        <v>-8254.9754152557416</v>
      </c>
      <c r="AF72" s="223">
        <f t="shared" si="21"/>
        <v>-8536.8787826964835</v>
      </c>
      <c r="AG72" s="223">
        <f t="shared" si="21"/>
        <v>-8830.6220915697359</v>
      </c>
      <c r="AH72" s="223">
        <f t="shared" si="21"/>
        <v>-9136.7026194156642</v>
      </c>
      <c r="AI72" s="223">
        <f t="shared" si="21"/>
        <v>-9455.6385294311222</v>
      </c>
      <c r="AJ72" s="223">
        <f t="shared" si="21"/>
        <v>-9787.96974766723</v>
      </c>
      <c r="AK72" s="223">
        <f t="shared" si="21"/>
        <v>-10134.258877069255</v>
      </c>
      <c r="AL72" s="223">
        <f t="shared" si="21"/>
        <v>-10495.092149906162</v>
      </c>
      <c r="AM72" s="223">
        <f t="shared" si="21"/>
        <v>-10871.080420202223</v>
      </c>
      <c r="AN72" s="223">
        <f t="shared" si="21"/>
        <v>-11262.860197850718</v>
      </c>
      <c r="AO72" s="223">
        <f t="shared" si="21"/>
        <v>-11671.094726160449</v>
      </c>
      <c r="AP72" s="223">
        <f>AP70+AP71</f>
        <v>-12096.475104659188</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8">
        <f t="shared" ref="B75:AO75" si="24">B68</f>
        <v>68649.95</v>
      </c>
      <c r="C75" s="348">
        <f t="shared" si="24"/>
        <v>-4580.0746239721875</v>
      </c>
      <c r="D75" s="348">
        <f>D68</f>
        <v>-4691.430758179019</v>
      </c>
      <c r="E75" s="348">
        <f t="shared" si="24"/>
        <v>-4807.4638500225374</v>
      </c>
      <c r="F75" s="348">
        <f t="shared" si="24"/>
        <v>-4928.3703317234849</v>
      </c>
      <c r="G75" s="348">
        <f t="shared" si="24"/>
        <v>-5054.3548856558709</v>
      </c>
      <c r="H75" s="348">
        <f t="shared" si="24"/>
        <v>-5185.6307908534181</v>
      </c>
      <c r="I75" s="348">
        <f t="shared" si="24"/>
        <v>-5322.4202840692615</v>
      </c>
      <c r="J75" s="348">
        <f t="shared" si="24"/>
        <v>-5464.9549360001711</v>
      </c>
      <c r="K75" s="348">
        <f t="shared" si="24"/>
        <v>-5613.4760433121783</v>
      </c>
      <c r="L75" s="348">
        <f t="shared" si="24"/>
        <v>-5768.2350371312905</v>
      </c>
      <c r="M75" s="348">
        <f t="shared" si="24"/>
        <v>-5929.4939086908043</v>
      </c>
      <c r="N75" s="348">
        <f t="shared" si="24"/>
        <v>-6097.5256528558184</v>
      </c>
      <c r="O75" s="348">
        <f t="shared" si="24"/>
        <v>-6272.6147302757627</v>
      </c>
      <c r="P75" s="348">
        <f t="shared" si="24"/>
        <v>-6455.0575489473449</v>
      </c>
      <c r="Q75" s="348">
        <f t="shared" si="24"/>
        <v>-6645.162966003134</v>
      </c>
      <c r="R75" s="348">
        <f t="shared" si="24"/>
        <v>-6843.2528105752654</v>
      </c>
      <c r="S75" s="348">
        <f t="shared" si="24"/>
        <v>-7049.6624286194265</v>
      </c>
      <c r="T75" s="348">
        <f t="shared" si="24"/>
        <v>-7264.7412506214432</v>
      </c>
      <c r="U75" s="348">
        <f t="shared" si="24"/>
        <v>-7488.8533831475443</v>
      </c>
      <c r="V75" s="348">
        <f t="shared" si="24"/>
        <v>-7722.3782252397405</v>
      </c>
      <c r="W75" s="348">
        <f t="shared" si="24"/>
        <v>-7965.71111069981</v>
      </c>
      <c r="X75" s="348">
        <f t="shared" si="24"/>
        <v>-8219.263977349201</v>
      </c>
      <c r="Y75" s="348">
        <f t="shared" si="24"/>
        <v>-8483.4660643978677</v>
      </c>
      <c r="Z75" s="348">
        <f t="shared" si="24"/>
        <v>-8758.7646391025792</v>
      </c>
      <c r="AA75" s="348">
        <f t="shared" si="24"/>
        <v>-9045.6257539448889</v>
      </c>
      <c r="AB75" s="348">
        <f t="shared" si="24"/>
        <v>-9344.5350356105755</v>
      </c>
      <c r="AC75" s="348">
        <f t="shared" si="24"/>
        <v>-9655.9985071062183</v>
      </c>
      <c r="AD75" s="348">
        <f t="shared" si="24"/>
        <v>-9980.5434444046805</v>
      </c>
      <c r="AE75" s="348">
        <f t="shared" si="24"/>
        <v>-10318.719269069677</v>
      </c>
      <c r="AF75" s="348">
        <f t="shared" si="24"/>
        <v>-10671.098478370604</v>
      </c>
      <c r="AG75" s="348">
        <f t="shared" si="24"/>
        <v>-11038.277614462169</v>
      </c>
      <c r="AH75" s="348">
        <f t="shared" si="24"/>
        <v>-11420.87827426958</v>
      </c>
      <c r="AI75" s="348">
        <f t="shared" si="24"/>
        <v>-11819.548161788902</v>
      </c>
      <c r="AJ75" s="348">
        <f t="shared" si="24"/>
        <v>-12234.962184584037</v>
      </c>
      <c r="AK75" s="348">
        <f t="shared" si="24"/>
        <v>-12667.823596336568</v>
      </c>
      <c r="AL75" s="348">
        <f t="shared" si="24"/>
        <v>-13118.865187382704</v>
      </c>
      <c r="AM75" s="348">
        <f t="shared" si="24"/>
        <v>-13588.850525252779</v>
      </c>
      <c r="AN75" s="348">
        <f t="shared" si="24"/>
        <v>-14078.575247313396</v>
      </c>
      <c r="AO75" s="348">
        <f t="shared" si="24"/>
        <v>-14588.86840770056</v>
      </c>
      <c r="AP75" s="348">
        <f>AP68</f>
        <v>-15120.593880823984</v>
      </c>
    </row>
    <row r="76" spans="1:45" x14ac:dyDescent="0.2">
      <c r="A76" s="217" t="s">
        <v>307</v>
      </c>
      <c r="B76" s="347">
        <f t="shared" ref="B76:AO76" si="25">-B67</f>
        <v>0</v>
      </c>
      <c r="C76" s="347">
        <f>-C67</f>
        <v>1928.7380952380952</v>
      </c>
      <c r="D76" s="347">
        <f t="shared" si="25"/>
        <v>1928.7380952380952</v>
      </c>
      <c r="E76" s="347">
        <f t="shared" si="25"/>
        <v>1928.7380952380952</v>
      </c>
      <c r="F76" s="347">
        <f>-C67</f>
        <v>1928.7380952380952</v>
      </c>
      <c r="G76" s="347">
        <f t="shared" si="25"/>
        <v>1928.7380952380952</v>
      </c>
      <c r="H76" s="347">
        <f t="shared" si="25"/>
        <v>1928.7380952380952</v>
      </c>
      <c r="I76" s="347">
        <f t="shared" si="25"/>
        <v>1928.7380952380952</v>
      </c>
      <c r="J76" s="347">
        <f t="shared" si="25"/>
        <v>1928.7380952380952</v>
      </c>
      <c r="K76" s="347">
        <f t="shared" si="25"/>
        <v>1928.7380952380952</v>
      </c>
      <c r="L76" s="347">
        <f>-L67</f>
        <v>1928.7380952380952</v>
      </c>
      <c r="M76" s="347">
        <f>-M67</f>
        <v>1928.7380952380952</v>
      </c>
      <c r="N76" s="347">
        <f t="shared" si="25"/>
        <v>1928.7380952380952</v>
      </c>
      <c r="O76" s="347">
        <f t="shared" si="25"/>
        <v>1928.7380952380952</v>
      </c>
      <c r="P76" s="347">
        <f t="shared" si="25"/>
        <v>1928.7380952380952</v>
      </c>
      <c r="Q76" s="347">
        <f t="shared" si="25"/>
        <v>1928.7380952380952</v>
      </c>
      <c r="R76" s="347">
        <f t="shared" si="25"/>
        <v>1928.7380952380952</v>
      </c>
      <c r="S76" s="347">
        <f t="shared" si="25"/>
        <v>1928.7380952380952</v>
      </c>
      <c r="T76" s="347">
        <f t="shared" si="25"/>
        <v>1928.7380952380952</v>
      </c>
      <c r="U76" s="347">
        <f t="shared" si="25"/>
        <v>1928.7380952380952</v>
      </c>
      <c r="V76" s="347">
        <f t="shared" si="25"/>
        <v>1928.7380952380952</v>
      </c>
      <c r="W76" s="347">
        <f t="shared" si="25"/>
        <v>1928.7380952380952</v>
      </c>
      <c r="X76" s="347">
        <f t="shared" si="25"/>
        <v>1928.7380952380952</v>
      </c>
      <c r="Y76" s="347">
        <f t="shared" si="25"/>
        <v>1928.7380952380952</v>
      </c>
      <c r="Z76" s="347">
        <f t="shared" si="25"/>
        <v>1928.7380952380952</v>
      </c>
      <c r="AA76" s="347">
        <f t="shared" si="25"/>
        <v>1928.7380952380952</v>
      </c>
      <c r="AB76" s="347">
        <f t="shared" si="25"/>
        <v>1928.7380952380952</v>
      </c>
      <c r="AC76" s="347">
        <f t="shared" si="25"/>
        <v>1928.7380952380952</v>
      </c>
      <c r="AD76" s="347">
        <f t="shared" si="25"/>
        <v>1928.7380952380952</v>
      </c>
      <c r="AE76" s="347">
        <f t="shared" si="25"/>
        <v>1928.7380952380952</v>
      </c>
      <c r="AF76" s="347">
        <f t="shared" si="25"/>
        <v>1928.7380952380952</v>
      </c>
      <c r="AG76" s="347">
        <f t="shared" si="25"/>
        <v>1928.7380952380952</v>
      </c>
      <c r="AH76" s="347">
        <f t="shared" si="25"/>
        <v>1928.7380952380952</v>
      </c>
      <c r="AI76" s="347">
        <f t="shared" si="25"/>
        <v>1928.7380952380952</v>
      </c>
      <c r="AJ76" s="347">
        <f t="shared" si="25"/>
        <v>1928.7380952380952</v>
      </c>
      <c r="AK76" s="347">
        <f t="shared" si="25"/>
        <v>1928.7380952380952</v>
      </c>
      <c r="AL76" s="347">
        <f t="shared" si="25"/>
        <v>1928.7380952380952</v>
      </c>
      <c r="AM76" s="347">
        <f t="shared" si="25"/>
        <v>1928.7380952380952</v>
      </c>
      <c r="AN76" s="347">
        <f t="shared" si="25"/>
        <v>1928.7380952380952</v>
      </c>
      <c r="AO76" s="347">
        <f t="shared" si="25"/>
        <v>1928.7380952380952</v>
      </c>
      <c r="AP76" s="347">
        <f>-AP67</f>
        <v>1928.7380952380952</v>
      </c>
    </row>
    <row r="77" spans="1:45" x14ac:dyDescent="0.2">
      <c r="A77" s="217" t="s">
        <v>306</v>
      </c>
      <c r="B77" s="347">
        <f t="shared" ref="B77:AO77" si="26">B69</f>
        <v>0</v>
      </c>
      <c r="C77" s="347">
        <f t="shared" si="26"/>
        <v>0</v>
      </c>
      <c r="D77" s="347">
        <f t="shared" si="26"/>
        <v>0</v>
      </c>
      <c r="E77" s="347">
        <f t="shared" si="26"/>
        <v>0</v>
      </c>
      <c r="F77" s="347">
        <f t="shared" si="26"/>
        <v>0</v>
      </c>
      <c r="G77" s="347">
        <f t="shared" si="26"/>
        <v>0</v>
      </c>
      <c r="H77" s="347">
        <f t="shared" si="26"/>
        <v>0</v>
      </c>
      <c r="I77" s="347">
        <f t="shared" si="26"/>
        <v>0</v>
      </c>
      <c r="J77" s="347">
        <f t="shared" si="26"/>
        <v>0</v>
      </c>
      <c r="K77" s="347">
        <f t="shared" si="26"/>
        <v>0</v>
      </c>
      <c r="L77" s="347">
        <f t="shared" si="26"/>
        <v>0</v>
      </c>
      <c r="M77" s="347">
        <f t="shared" si="26"/>
        <v>0</v>
      </c>
      <c r="N77" s="347">
        <f t="shared" si="26"/>
        <v>0</v>
      </c>
      <c r="O77" s="347">
        <f t="shared" si="26"/>
        <v>0</v>
      </c>
      <c r="P77" s="347">
        <f t="shared" si="26"/>
        <v>0</v>
      </c>
      <c r="Q77" s="347">
        <f t="shared" si="26"/>
        <v>0</v>
      </c>
      <c r="R77" s="347">
        <f t="shared" si="26"/>
        <v>0</v>
      </c>
      <c r="S77" s="347">
        <f t="shared" si="26"/>
        <v>0</v>
      </c>
      <c r="T77" s="347">
        <f t="shared" si="26"/>
        <v>0</v>
      </c>
      <c r="U77" s="347">
        <f t="shared" si="26"/>
        <v>0</v>
      </c>
      <c r="V77" s="347">
        <f t="shared" si="26"/>
        <v>0</v>
      </c>
      <c r="W77" s="347">
        <f t="shared" si="26"/>
        <v>0</v>
      </c>
      <c r="X77" s="347">
        <f t="shared" si="26"/>
        <v>0</v>
      </c>
      <c r="Y77" s="347">
        <f t="shared" si="26"/>
        <v>0</v>
      </c>
      <c r="Z77" s="347">
        <f t="shared" si="26"/>
        <v>0</v>
      </c>
      <c r="AA77" s="347">
        <f t="shared" si="26"/>
        <v>0</v>
      </c>
      <c r="AB77" s="347">
        <f t="shared" si="26"/>
        <v>0</v>
      </c>
      <c r="AC77" s="347">
        <f t="shared" si="26"/>
        <v>0</v>
      </c>
      <c r="AD77" s="347">
        <f t="shared" si="26"/>
        <v>0</v>
      </c>
      <c r="AE77" s="347">
        <f t="shared" si="26"/>
        <v>0</v>
      </c>
      <c r="AF77" s="347">
        <f t="shared" si="26"/>
        <v>0</v>
      </c>
      <c r="AG77" s="347">
        <f t="shared" si="26"/>
        <v>0</v>
      </c>
      <c r="AH77" s="347">
        <f t="shared" si="26"/>
        <v>0</v>
      </c>
      <c r="AI77" s="347">
        <f t="shared" si="26"/>
        <v>0</v>
      </c>
      <c r="AJ77" s="347">
        <f t="shared" si="26"/>
        <v>0</v>
      </c>
      <c r="AK77" s="347">
        <f t="shared" si="26"/>
        <v>0</v>
      </c>
      <c r="AL77" s="347">
        <f t="shared" si="26"/>
        <v>0</v>
      </c>
      <c r="AM77" s="347">
        <f t="shared" si="26"/>
        <v>0</v>
      </c>
      <c r="AN77" s="347">
        <f t="shared" si="26"/>
        <v>0</v>
      </c>
      <c r="AO77" s="347">
        <f t="shared" si="26"/>
        <v>0</v>
      </c>
      <c r="AP77" s="347">
        <f>AP69</f>
        <v>0</v>
      </c>
    </row>
    <row r="78" spans="1:45" x14ac:dyDescent="0.2">
      <c r="A78" s="217" t="s">
        <v>305</v>
      </c>
      <c r="B78" s="347">
        <f>IF(SUM($B$71:B71)+SUM($A$78:A78)&gt;0,0,SUM($B$71:B71)-SUM($A$78:A78))</f>
        <v>-13729.99</v>
      </c>
      <c r="C78" s="347">
        <f>IF(SUM($B$71:C71)+SUM($A$78:B78)&gt;0,0,SUM($B$71:C71)-SUM($A$78:B78))</f>
        <v>916.01492479443732</v>
      </c>
      <c r="D78" s="347">
        <f>IF(SUM($B$71:D71)+SUM($A$78:C78)&gt;0,0,SUM($B$71:D71)-SUM($A$78:C78))</f>
        <v>938.28615163580434</v>
      </c>
      <c r="E78" s="347">
        <f>IF(SUM($B$71:E71)+SUM($A$78:D78)&gt;0,0,SUM($B$71:E71)-SUM($A$78:D78))</f>
        <v>961.4927700045082</v>
      </c>
      <c r="F78" s="347">
        <f>IF(SUM($B$71:F71)+SUM($A$78:E78)&gt;0,0,SUM($B$71:F71)-SUM($A$78:E78))</f>
        <v>985.67406634469626</v>
      </c>
      <c r="G78" s="347">
        <f>IF(SUM($B$71:G71)+SUM($A$78:F78)&gt;0,0,SUM($B$71:G71)-SUM($A$78:F78))</f>
        <v>1010.8709771311733</v>
      </c>
      <c r="H78" s="347">
        <f>IF(SUM($B$71:H71)+SUM($A$78:G78)&gt;0,0,SUM($B$71:H71)-SUM($A$78:G78))</f>
        <v>1037.126158170684</v>
      </c>
      <c r="I78" s="347">
        <f>IF(SUM($B$71:I71)+SUM($A$78:H78)&gt;0,0,SUM($B$71:I71)-SUM($A$78:H78))</f>
        <v>1064.4840568138525</v>
      </c>
      <c r="J78" s="347">
        <f>IF(SUM($B$71:J71)+SUM($A$78:I78)&gt;0,0,SUM($B$71:J71)-SUM($A$78:I78))</f>
        <v>1092.9909872000344</v>
      </c>
      <c r="K78" s="347">
        <f>IF(SUM($B$71:K71)+SUM($A$78:J78)&gt;0,0,SUM($B$71:K71)-SUM($A$78:J78))</f>
        <v>1122.695208662436</v>
      </c>
      <c r="L78" s="347">
        <f>IF(SUM($B$71:L71)+SUM($A$78:K78)&gt;0,0,SUM($B$71:L71)-SUM($A$78:K78))</f>
        <v>1153.6470074262579</v>
      </c>
      <c r="M78" s="347">
        <f>IF(SUM($B$71:M71)+SUM($A$78:L78)&gt;0,0,SUM($B$71:M71)-SUM($A$78:L78))</f>
        <v>1185.8987817381612</v>
      </c>
      <c r="N78" s="347">
        <f>IF(SUM($B$71:N71)+SUM($A$78:M78)&gt;0,0,SUM($B$71:N71)-SUM($A$78:M78))</f>
        <v>1219.5051305711638</v>
      </c>
      <c r="O78" s="347">
        <f>IF(SUM($B$71:O71)+SUM($A$78:N78)&gt;0,0,SUM($B$71:O71)-SUM($A$78:N78))</f>
        <v>1254.5229460551527</v>
      </c>
      <c r="P78" s="347">
        <f>IF(SUM($B$71:P71)+SUM($A$78:O78)&gt;0,0,SUM($B$71:P71)-SUM($A$78:O78))</f>
        <v>0</v>
      </c>
      <c r="Q78" s="347">
        <f>IF(SUM($B$71:Q71)+SUM($A$78:P78)&gt;0,0,SUM($B$71:Q71)-SUM($A$78:P78))</f>
        <v>0</v>
      </c>
      <c r="R78" s="347">
        <f>IF(SUM($B$71:R71)+SUM($A$78:Q78)&gt;0,0,SUM($B$71:R71)-SUM($A$78:Q78))</f>
        <v>0</v>
      </c>
      <c r="S78" s="347">
        <f>IF(SUM($B$71:S71)+SUM($A$78:R78)&gt;0,0,SUM($B$71:S71)-SUM($A$78:R78))</f>
        <v>0</v>
      </c>
      <c r="T78" s="347">
        <f>IF(SUM($B$71:T71)+SUM($A$78:S78)&gt;0,0,SUM($B$71:T71)-SUM($A$78:S78))</f>
        <v>0</v>
      </c>
      <c r="U78" s="347">
        <f>IF(SUM($B$71:U71)+SUM($A$78:T78)&gt;0,0,SUM($B$71:U71)-SUM($A$78:T78))</f>
        <v>0</v>
      </c>
      <c r="V78" s="347">
        <f>IF(SUM($B$71:V71)+SUM($A$78:U78)&gt;0,0,SUM($B$71:V71)-SUM($A$78:U78))</f>
        <v>0</v>
      </c>
      <c r="W78" s="347">
        <f>IF(SUM($B$71:W71)+SUM($A$78:V78)&gt;0,0,SUM($B$71:W71)-SUM($A$78:V78))</f>
        <v>0</v>
      </c>
      <c r="X78" s="347">
        <f>IF(SUM($B$71:X71)+SUM($A$78:W78)&gt;0,0,SUM($B$71:X71)-SUM($A$78:W78))</f>
        <v>0</v>
      </c>
      <c r="Y78" s="347">
        <f>IF(SUM($B$71:Y71)+SUM($A$78:X78)&gt;0,0,SUM($B$71:Y71)-SUM($A$78:X78))</f>
        <v>0</v>
      </c>
      <c r="Z78" s="347">
        <f>IF(SUM($B$71:Z71)+SUM($A$78:Y78)&gt;0,0,SUM($B$71:Z71)-SUM($A$78:Y78))</f>
        <v>0</v>
      </c>
      <c r="AA78" s="347">
        <f>IF(SUM($B$71:AA71)+SUM($A$78:Z78)&gt;0,0,SUM($B$71:AA71)-SUM($A$78:Z78))</f>
        <v>0</v>
      </c>
      <c r="AB78" s="347">
        <f>IF(SUM($B$71:AB71)+SUM($A$78:AA78)&gt;0,0,SUM($B$71:AB71)-SUM($A$78:AA78))</f>
        <v>0</v>
      </c>
      <c r="AC78" s="347">
        <f>IF(SUM($B$71:AC71)+SUM($A$78:AB78)&gt;0,0,SUM($B$71:AC71)-SUM($A$78:AB78))</f>
        <v>0</v>
      </c>
      <c r="AD78" s="347">
        <f>IF(SUM($B$71:AD71)+SUM($A$78:AC78)&gt;0,0,SUM($B$71:AD71)-SUM($A$78:AC78))</f>
        <v>0</v>
      </c>
      <c r="AE78" s="347">
        <f>IF(SUM($B$71:AE71)+SUM($A$78:AD78)&gt;0,0,SUM($B$71:AE71)-SUM($A$78:AD78))</f>
        <v>0</v>
      </c>
      <c r="AF78" s="347">
        <f>IF(SUM($B$71:AF71)+SUM($A$78:AE78)&gt;0,0,SUM($B$71:AF71)-SUM($A$78:AE78))</f>
        <v>0</v>
      </c>
      <c r="AG78" s="347">
        <f>IF(SUM($B$71:AG71)+SUM($A$78:AF78)&gt;0,0,SUM($B$71:AG71)-SUM($A$78:AF78))</f>
        <v>0</v>
      </c>
      <c r="AH78" s="347">
        <f>IF(SUM($B$71:AH71)+SUM($A$78:AG78)&gt;0,0,SUM($B$71:AH71)-SUM($A$78:AG78))</f>
        <v>0</v>
      </c>
      <c r="AI78" s="347">
        <f>IF(SUM($B$71:AI71)+SUM($A$78:AH78)&gt;0,0,SUM($B$71:AI71)-SUM($A$78:AH78))</f>
        <v>0</v>
      </c>
      <c r="AJ78" s="347">
        <f>IF(SUM($B$71:AJ71)+SUM($A$78:AI78)&gt;0,0,SUM($B$71:AJ71)-SUM($A$78:AI78))</f>
        <v>0</v>
      </c>
      <c r="AK78" s="347">
        <f>IF(SUM($B$71:AK71)+SUM($A$78:AJ78)&gt;0,0,SUM($B$71:AK71)-SUM($A$78:AJ78))</f>
        <v>0</v>
      </c>
      <c r="AL78" s="347">
        <f>IF(SUM($B$71:AL71)+SUM($A$78:AK78)&gt;0,0,SUM($B$71:AL71)-SUM($A$78:AK78))</f>
        <v>0</v>
      </c>
      <c r="AM78" s="347">
        <f>IF(SUM($B$71:AM71)+SUM($A$78:AL78)&gt;0,0,SUM($B$71:AM71)-SUM($A$78:AL78))</f>
        <v>0</v>
      </c>
      <c r="AN78" s="347">
        <f>IF(SUM($B$71:AN71)+SUM($A$78:AM78)&gt;0,0,SUM($B$71:AN71)-SUM($A$78:AM78))</f>
        <v>0</v>
      </c>
      <c r="AO78" s="347">
        <f>IF(SUM($B$71:AO71)+SUM($A$78:AN78)&gt;0,0,SUM($B$71:AO71)-SUM($A$78:AN78))</f>
        <v>0</v>
      </c>
      <c r="AP78" s="347">
        <f>IF(SUM($B$71:AP71)+SUM($A$78:AO78)&gt;0,0,SUM($B$71:AP71)-SUM($A$78:AO78))</f>
        <v>0</v>
      </c>
    </row>
    <row r="79" spans="1:45" x14ac:dyDescent="0.2">
      <c r="A79" s="217" t="s">
        <v>304</v>
      </c>
      <c r="B79" s="347">
        <f>IF(((SUM($B$59:B59)+SUM($B$61:B64))+SUM($B$81:B81))&lt;0,((SUM($B$59:B59)+SUM($B$61:B64))+SUM($B$81:B81))*0.18-SUM($A$79:A79),IF(SUM(A$79:$B79)&lt;0,0-SUM(A$79:$B79),0))</f>
        <v>-9.0000000005238685E-3</v>
      </c>
      <c r="C79" s="347">
        <f>IF(((SUM($B$59:C59)+SUM($B$61:C64))+SUM($B$81:C81))&lt;0,((SUM($B$59:C59)+SUM($B$61:C64))+SUM($B$81:C81))*0.18-SUM($A$79:B79),IF(SUM($B$79:B79)&lt;0,0-SUM($B$79:B79),0))</f>
        <v>-477.24057517213544</v>
      </c>
      <c r="D79" s="347">
        <f>IF(((SUM($B$59:D59)+SUM($B$61:D64))+SUM($B$81:D81))&lt;0,((SUM($B$59:D59)+SUM($B$61:D64))+SUM($B$81:D81))*0.18-SUM($A$79:C79),IF(SUM($B$79:C79)&lt;0,0-SUM($B$79:C79),0))</f>
        <v>-497.28467932936707</v>
      </c>
      <c r="E79" s="347">
        <f>IF(((SUM($B$59:E59)+SUM($B$61:E64))+SUM($B$81:E81))&lt;0,((SUM($B$59:E59)+SUM($B$61:E64))+SUM($B$81:E81))*0.18-SUM($A$79:D79),IF(SUM($B$79:D79)&lt;0,0-SUM($B$79:D79),0))</f>
        <v>-518.17063586119957</v>
      </c>
      <c r="F79" s="347">
        <f>IF(((SUM($B$59:F59)+SUM($B$61:F64))+SUM($B$81:F81))&lt;0,((SUM($B$59:F59)+SUM($B$61:F64))+SUM($B$81:F81))*0.18-SUM($A$79:E79),IF(SUM($B$79:E79)&lt;0,0-SUM($B$79:E79),0))</f>
        <v>-539.93380256737032</v>
      </c>
      <c r="G79" s="347">
        <f>IF(((SUM($B$59:G59)+SUM($B$61:G64))+SUM($B$81:G81))&lt;0,((SUM($B$59:G59)+SUM($B$61:G64))+SUM($B$81:G81))*0.18-SUM($A$79:F79),IF(SUM($B$79:F79)&lt;0,0-SUM($B$79:F79),0))</f>
        <v>-562.61102227519996</v>
      </c>
      <c r="H79" s="347">
        <f>IF(((SUM($B$59:H59)+SUM($B$61:H64))+SUM($B$81:H81))&lt;0,((SUM($B$59:H59)+SUM($B$61:H64))+SUM($B$81:H81))*0.18-SUM($A$79:G79),IF(SUM($B$79:G79)&lt;0,0-SUM($B$79:G79),0))</f>
        <v>-586.24068521075833</v>
      </c>
      <c r="I79" s="347">
        <f>IF(((SUM($B$59:I59)+SUM($B$61:I64))+SUM($B$81:I81))&lt;0,((SUM($B$59:I59)+SUM($B$61:I64))+SUM($B$81:I81))*0.18-SUM($A$79:H79),IF(SUM($B$79:H79)&lt;0,0-SUM($B$79:H79),0))</f>
        <v>-610.86279398961005</v>
      </c>
      <c r="J79" s="347">
        <f>IF(((SUM($B$59:J59)+SUM($B$61:J64))+SUM($B$81:J81))&lt;0,((SUM($B$59:J59)+SUM($B$61:J64))+SUM($B$81:J81))*0.18-SUM($A$79:I79),IF(SUM($B$79:I79)&lt;0,0-SUM($B$79:I79),0))</f>
        <v>-636.51903133717406</v>
      </c>
      <c r="K79" s="347">
        <f>IF(((SUM($B$59:K59)+SUM($B$61:K64))+SUM($B$81:K81))&lt;0,((SUM($B$59:K59)+SUM($B$61:K64))+SUM($B$81:K81))*0.18-SUM($A$79:J79),IF(SUM($B$79:J79)&lt;0,0-SUM($B$79:J79),0))</f>
        <v>-663.25283065333406</v>
      </c>
      <c r="L79" s="347">
        <f>IF(((SUM($B$59:L59)+SUM($B$61:L64))+SUM($B$81:L81))&lt;0,((SUM($B$59:L59)+SUM($B$61:L64))+SUM($B$81:L81))*0.18-SUM($A$79:K79),IF(SUM($B$79:K79)&lt;0,0-SUM($B$79:K79),0))</f>
        <v>-691.10944954077604</v>
      </c>
      <c r="M79" s="347">
        <f>IF(((SUM($B$59:M59)+SUM($B$61:M64))+SUM($B$81:M81))&lt;0,((SUM($B$59:M59)+SUM($B$61:M64))+SUM($B$81:M81))*0.18-SUM($A$79:L79),IF(SUM($B$79:L79)&lt;0,0-SUM($B$79:L79),0))</f>
        <v>-720.13604642148675</v>
      </c>
      <c r="N79" s="347">
        <f>IF(((SUM($B$59:N59)+SUM($B$61:N64))+SUM($B$81:N81))&lt;0,((SUM($B$59:N59)+SUM($B$61:N64))+SUM($B$81:N81))*0.18-SUM($A$79:M79),IF(SUM($B$79:M79)&lt;0,0-SUM($B$79:M79),0))</f>
        <v>-750.38176037119047</v>
      </c>
      <c r="O79" s="347">
        <f>IF(((SUM($B$59:O59)+SUM($B$61:O64))+SUM($B$81:O81))&lt;0,((SUM($B$59:O59)+SUM($B$61:O64))+SUM($B$81:O81))*0.18-SUM($A$79:N79),IF(SUM($B$79:N79)&lt;0,0-SUM($B$79:N79),0))</f>
        <v>-781.89779430678027</v>
      </c>
      <c r="P79" s="347">
        <f>IF(((SUM($B$59:P59)+SUM($B$61:P64))+SUM($B$81:P81))&lt;0,((SUM($B$59:P59)+SUM($B$61:P64))+SUM($B$81:P81))*0.18-SUM($A$79:O79),IF(SUM($B$79:O79)&lt;0,0-SUM($B$79:O79),0))</f>
        <v>-814.73750166766513</v>
      </c>
      <c r="Q79" s="347">
        <f>IF(((SUM($B$59:Q59)+SUM($B$61:Q64))+SUM($B$81:Q81))&lt;0,((SUM($B$59:Q59)+SUM($B$61:Q64))+SUM($B$81:Q81))*0.18-SUM($A$79:P79),IF(SUM($B$79:P79)&lt;0,0-SUM($B$79:P79),0))</f>
        <v>-848.95647673770691</v>
      </c>
      <c r="R79" s="347">
        <f>IF(((SUM($B$59:R59)+SUM($B$61:R64))+SUM($B$81:R81))&lt;0,((SUM($B$59:R59)+SUM($B$61:R64))+SUM($B$81:R81))*0.18-SUM($A$79:Q79),IF(SUM($B$79:Q79)&lt;0,0-SUM($B$79:Q79),0))</f>
        <v>-884.61264876069072</v>
      </c>
      <c r="S79" s="347">
        <f>IF(((SUM($B$59:S59)+SUM($B$61:S64))+SUM($B$81:S81))&lt;0,((SUM($B$59:S59)+SUM($B$61:S64))+SUM($B$81:S81))*0.18-SUM($A$79:R79),IF(SUM($B$79:R79)&lt;0,0-SUM($B$79:R79),0))</f>
        <v>-921.76638000863932</v>
      </c>
      <c r="T79" s="347">
        <f>IF(((SUM($B$59:T59)+SUM($B$61:T64))+SUM($B$81:T81))&lt;0,((SUM($B$59:T59)+SUM($B$61:T64))+SUM($B$81:T81))*0.18-SUM($A$79:S79),IF(SUM($B$79:S79)&lt;0,0-SUM($B$79:S79),0))</f>
        <v>-960.48056796900346</v>
      </c>
      <c r="U79" s="347">
        <f>IF(((SUM($B$59:U59)+SUM($B$61:U64))+SUM($B$81:U81))&lt;0,((SUM($B$59:U59)+SUM($B$61:U64))+SUM($B$81:U81))*0.18-SUM($A$79:T79),IF(SUM($B$79:T79)&lt;0,0-SUM($B$79:T79),0))</f>
        <v>-1000.8207518236995</v>
      </c>
      <c r="V79" s="347">
        <f>IF(((SUM($B$59:V59)+SUM($B$61:V64))+SUM($B$81:V81))&lt;0,((SUM($B$59:V59)+SUM($B$61:V64))+SUM($B$81:V81))*0.18-SUM($A$79:U79),IF(SUM($B$79:U79)&lt;0,0-SUM($B$79:U79),0))</f>
        <v>-1042.8552234002964</v>
      </c>
      <c r="W79" s="347">
        <f>IF(((SUM($B$59:W59)+SUM($B$61:W64))+SUM($B$81:W81))&lt;0,((SUM($B$59:W59)+SUM($B$61:W64))+SUM($B$81:W81))*0.18-SUM($A$79:V79),IF(SUM($B$79:V79)&lt;0,0-SUM($B$79:V79),0))</f>
        <v>-1086.6551427831073</v>
      </c>
      <c r="X79" s="347">
        <f>IF(((SUM($B$59:X59)+SUM($B$61:X64))+SUM($B$81:X81))&lt;0,((SUM($B$59:X59)+SUM($B$61:X64))+SUM($B$81:X81))*0.18-SUM($A$79:W79),IF(SUM($B$79:W79)&lt;0,0-SUM($B$79:W79),0))</f>
        <v>-1132.2946587799979</v>
      </c>
      <c r="Y79" s="347">
        <f>IF(((SUM($B$59:Y59)+SUM($B$61:Y64))+SUM($B$81:Y81))&lt;0,((SUM($B$59:Y59)+SUM($B$61:Y64))+SUM($B$81:Y81))*0.18-SUM($A$79:X79),IF(SUM($B$79:X79)&lt;0,0-SUM($B$79:X79),0))</f>
        <v>-1179.8510344487622</v>
      </c>
      <c r="Z79" s="347">
        <f>IF(((SUM($B$59:Z59)+SUM($B$61:Z64))+SUM($B$81:Z81))&lt;0,((SUM($B$59:Z59)+SUM($B$61:Z64))+SUM($B$81:Z81))*0.18-SUM($A$79:Y79),IF(SUM($B$79:Y79)&lt;0,0-SUM($B$79:Y79),0))</f>
        <v>-1229.4047778956083</v>
      </c>
      <c r="AA79" s="347">
        <f>IF(((SUM($B$59:AA59)+SUM($B$61:AA64))+SUM($B$81:AA81))&lt;0,((SUM($B$59:AA59)+SUM($B$61:AA64))+SUM($B$81:AA81))*0.18-SUM($A$79:Z79),IF(SUM($B$79:Z79)&lt;0,0-SUM($B$79:Z79),0))</f>
        <v>-1281.0397785672212</v>
      </c>
      <c r="AB79" s="347">
        <f>IF(((SUM($B$59:AB59)+SUM($B$61:AB64))+SUM($B$81:AB81))&lt;0,((SUM($B$59:AB59)+SUM($B$61:AB64))+SUM($B$81:AB81))*0.18-SUM($A$79:AA79),IF(SUM($B$79:AA79)&lt;0,0-SUM($B$79:AA79),0))</f>
        <v>-1334.8434492670458</v>
      </c>
      <c r="AC79" s="347">
        <f>IF(((SUM($B$59:AC59)+SUM($B$61:AC64))+SUM($B$81:AC81))&lt;0,((SUM($B$59:AC59)+SUM($B$61:AC64))+SUM($B$81:AC81))*0.18-SUM($A$79:AB79),IF(SUM($B$79:AB79)&lt;0,0-SUM($B$79:AB79),0))</f>
        <v>-1390.9068741362644</v>
      </c>
      <c r="AD79" s="347">
        <f>IF(((SUM($B$59:AD59)+SUM($B$61:AD64))+SUM($B$81:AD81))&lt;0,((SUM($B$59:AD59)+SUM($B$61:AD64))+SUM($B$81:AD81))*0.18-SUM($A$79:AC79),IF(SUM($B$79:AC79)&lt;0,0-SUM($B$79:AC79),0))</f>
        <v>-1449.3249628499834</v>
      </c>
      <c r="AE79" s="347">
        <f>IF(((SUM($B$59:AE59)+SUM($B$61:AE64))+SUM($B$81:AE81))&lt;0,((SUM($B$59:AE59)+SUM($B$61:AE64))+SUM($B$81:AE81))*0.18-SUM($A$79:AD79),IF(SUM($B$79:AD79)&lt;0,0-SUM($B$79:AD79),0))</f>
        <v>-1510.1966112896916</v>
      </c>
      <c r="AF79" s="347">
        <f>IF(((SUM($B$59:AF59)+SUM($B$61:AF64))+SUM($B$81:AF81))&lt;0,((SUM($B$59:AF59)+SUM($B$61:AF64))+SUM($B$81:AF81))*0.18-SUM($A$79:AE79),IF(SUM($B$79:AE79)&lt;0,0-SUM($B$79:AE79),0))</f>
        <v>-1573.6248689638451</v>
      </c>
      <c r="AG79" s="347">
        <f>IF(((SUM($B$59:AG59)+SUM($B$61:AG64))+SUM($B$81:AG81))&lt;0,((SUM($B$59:AG59)+SUM($B$61:AG64))+SUM($B$81:AG81))*0.18-SUM($A$79:AF79),IF(SUM($B$79:AF79)&lt;0,0-SUM($B$79:AF79),0))</f>
        <v>-1639.7171134603341</v>
      </c>
      <c r="AH79" s="347">
        <f>IF(((SUM($B$59:AH59)+SUM($B$61:AH64))+SUM($B$81:AH81))&lt;0,((SUM($B$59:AH59)+SUM($B$61:AH64))+SUM($B$81:AH81))*0.18-SUM($A$79:AG79),IF(SUM($B$79:AG79)&lt;0,0-SUM($B$79:AG79),0))</f>
        <v>-1708.5852322256651</v>
      </c>
      <c r="AI79" s="347">
        <f>IF(((SUM($B$59:AI59)+SUM($B$61:AI64))+SUM($B$81:AI81))&lt;0,((SUM($B$59:AI59)+SUM($B$61:AI64))+SUM($B$81:AI81))*0.18-SUM($A$79:AH79),IF(SUM($B$79:AH79)&lt;0,0-SUM($B$79:AH79),0))</f>
        <v>-1780.345811979143</v>
      </c>
      <c r="AJ79" s="347">
        <f>IF(((SUM($B$59:AJ59)+SUM($B$61:AJ64))+SUM($B$81:AJ81))&lt;0,((SUM($B$59:AJ59)+SUM($B$61:AJ64))+SUM($B$81:AJ81))*0.18-SUM($A$79:AI79),IF(SUM($B$79:AI79)&lt;0,0-SUM($B$79:AI79),0))</f>
        <v>-1855.1203360822692</v>
      </c>
      <c r="AK79" s="347">
        <f>IF(((SUM($B$59:AK59)+SUM($B$61:AK64))+SUM($B$81:AK81))&lt;0,((SUM($B$59:AK59)+SUM($B$61:AK64))+SUM($B$81:AK81))*0.18-SUM($A$79:AJ79),IF(SUM($B$79:AJ79)&lt;0,0-SUM($B$79:AJ79),0))</f>
        <v>-1933.0353901977287</v>
      </c>
      <c r="AL79" s="347">
        <f>IF(((SUM($B$59:AL59)+SUM($B$61:AL64))+SUM($B$81:AL81))&lt;0,((SUM($B$59:AL59)+SUM($B$61:AL64))+SUM($B$81:AL81))*0.18-SUM($A$79:AK79),IF(SUM($B$79:AK79)&lt;0,0-SUM($B$79:AK79),0))</f>
        <v>-2014.2228765860345</v>
      </c>
      <c r="AM79" s="347">
        <f>IF(((SUM($B$59:AM59)+SUM($B$61:AM64))+SUM($B$81:AM81))&lt;0,((SUM($B$59:AM59)+SUM($B$61:AM64))+SUM($B$81:AM81))*0.18-SUM($A$79:AL79),IF(SUM($B$79:AL79)&lt;0,0-SUM($B$79:AL79),0))</f>
        <v>-2098.8202374026368</v>
      </c>
      <c r="AN79" s="347">
        <f>IF(((SUM($B$59:AN59)+SUM($B$61:AN64))+SUM($B$81:AN81))&lt;0,((SUM($B$59:AN59)+SUM($B$61:AN64))+SUM($B$81:AN81))*0.18-SUM($A$79:AM79),IF(SUM($B$79:AM79)&lt;0,0-SUM($B$79:AM79),0))</f>
        <v>-2186.9706873735558</v>
      </c>
      <c r="AO79" s="347">
        <f>IF(((SUM($B$59:AO59)+SUM($B$61:AO64))+SUM($B$81:AO81))&lt;0,((SUM($B$59:AO59)+SUM($B$61:AO64))+SUM($B$81:AO81))*0.18-SUM($A$79:AN79),IF(SUM($B$79:AN79)&lt;0,0-SUM($B$79:AN79),0))</f>
        <v>-2278.8234562432408</v>
      </c>
      <c r="AP79" s="347">
        <f>IF(((SUM($B$59:AP59)+SUM($B$61:AP64))+SUM($B$81:AP81))&lt;0,((SUM($B$59:AP59)+SUM($B$61:AP64))+SUM($B$81:AP81))*0.18-SUM($A$79:AO79),IF(SUM($B$79:AO79)&lt;0,0-SUM($B$79:AO79),0))</f>
        <v>-2374.534041405459</v>
      </c>
    </row>
    <row r="80" spans="1:45" x14ac:dyDescent="0.2">
      <c r="A80" s="217" t="s">
        <v>303</v>
      </c>
      <c r="B80" s="347">
        <f>-B59*(B39)</f>
        <v>0</v>
      </c>
      <c r="C80" s="347">
        <f t="shared" ref="C80:AP80" si="27">-(C59-B59)*$B$39</f>
        <v>0</v>
      </c>
      <c r="D80" s="347">
        <f t="shared" si="27"/>
        <v>0</v>
      </c>
      <c r="E80" s="347">
        <f t="shared" si="27"/>
        <v>0</v>
      </c>
      <c r="F80" s="347">
        <f t="shared" si="27"/>
        <v>0</v>
      </c>
      <c r="G80" s="347">
        <f t="shared" si="27"/>
        <v>0</v>
      </c>
      <c r="H80" s="347">
        <f t="shared" si="27"/>
        <v>0</v>
      </c>
      <c r="I80" s="347">
        <f t="shared" si="27"/>
        <v>0</v>
      </c>
      <c r="J80" s="347">
        <f t="shared" si="27"/>
        <v>0</v>
      </c>
      <c r="K80" s="347">
        <f t="shared" si="27"/>
        <v>0</v>
      </c>
      <c r="L80" s="347">
        <f t="shared" si="27"/>
        <v>0</v>
      </c>
      <c r="M80" s="347">
        <f t="shared" si="27"/>
        <v>0</v>
      </c>
      <c r="N80" s="347">
        <f t="shared" si="27"/>
        <v>0</v>
      </c>
      <c r="O80" s="347">
        <f t="shared" si="27"/>
        <v>0</v>
      </c>
      <c r="P80" s="347">
        <f t="shared" si="27"/>
        <v>0</v>
      </c>
      <c r="Q80" s="347">
        <f t="shared" si="27"/>
        <v>0</v>
      </c>
      <c r="R80" s="347">
        <f t="shared" si="27"/>
        <v>0</v>
      </c>
      <c r="S80" s="347">
        <f t="shared" si="27"/>
        <v>0</v>
      </c>
      <c r="T80" s="347">
        <f t="shared" si="27"/>
        <v>0</v>
      </c>
      <c r="U80" s="347">
        <f t="shared" si="27"/>
        <v>0</v>
      </c>
      <c r="V80" s="347">
        <f t="shared" si="27"/>
        <v>0</v>
      </c>
      <c r="W80" s="347">
        <f t="shared" si="27"/>
        <v>0</v>
      </c>
      <c r="X80" s="347">
        <f t="shared" si="27"/>
        <v>0</v>
      </c>
      <c r="Y80" s="347">
        <f t="shared" si="27"/>
        <v>0</v>
      </c>
      <c r="Z80" s="347">
        <f t="shared" si="27"/>
        <v>0</v>
      </c>
      <c r="AA80" s="347">
        <f t="shared" si="27"/>
        <v>0</v>
      </c>
      <c r="AB80" s="347">
        <f t="shared" si="27"/>
        <v>0</v>
      </c>
      <c r="AC80" s="347">
        <f t="shared" si="27"/>
        <v>0</v>
      </c>
      <c r="AD80" s="347">
        <f t="shared" si="27"/>
        <v>0</v>
      </c>
      <c r="AE80" s="347">
        <f t="shared" si="27"/>
        <v>0</v>
      </c>
      <c r="AF80" s="347">
        <f t="shared" si="27"/>
        <v>0</v>
      </c>
      <c r="AG80" s="347">
        <f t="shared" si="27"/>
        <v>0</v>
      </c>
      <c r="AH80" s="347">
        <f t="shared" si="27"/>
        <v>0</v>
      </c>
      <c r="AI80" s="347">
        <f t="shared" si="27"/>
        <v>0</v>
      </c>
      <c r="AJ80" s="347">
        <f t="shared" si="27"/>
        <v>0</v>
      </c>
      <c r="AK80" s="347">
        <f t="shared" si="27"/>
        <v>0</v>
      </c>
      <c r="AL80" s="347">
        <f t="shared" si="27"/>
        <v>0</v>
      </c>
      <c r="AM80" s="347">
        <f t="shared" si="27"/>
        <v>0</v>
      </c>
      <c r="AN80" s="347">
        <f t="shared" si="27"/>
        <v>0</v>
      </c>
      <c r="AO80" s="347">
        <f t="shared" si="27"/>
        <v>0</v>
      </c>
      <c r="AP80" s="347">
        <f t="shared" si="27"/>
        <v>0</v>
      </c>
    </row>
    <row r="81" spans="1:45" x14ac:dyDescent="0.2">
      <c r="A81" s="217" t="s">
        <v>540</v>
      </c>
      <c r="B81" s="347">
        <f>-$B$126</f>
        <v>-68650</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220">
        <f>SUM(B81:AP81)</f>
        <v>-68650</v>
      </c>
      <c r="AR81" s="221"/>
    </row>
    <row r="82" spans="1:45" x14ac:dyDescent="0.2">
      <c r="A82" s="217" t="s">
        <v>302</v>
      </c>
      <c r="B82" s="347">
        <f t="shared" ref="B82:AO82" si="28">B54-B55</f>
        <v>0</v>
      </c>
      <c r="C82" s="347">
        <f t="shared" si="28"/>
        <v>0</v>
      </c>
      <c r="D82" s="347">
        <f t="shared" si="28"/>
        <v>0</v>
      </c>
      <c r="E82" s="347">
        <f t="shared" si="28"/>
        <v>0</v>
      </c>
      <c r="F82" s="347">
        <f t="shared" si="28"/>
        <v>0</v>
      </c>
      <c r="G82" s="347">
        <f t="shared" si="28"/>
        <v>0</v>
      </c>
      <c r="H82" s="347">
        <f t="shared" si="28"/>
        <v>0</v>
      </c>
      <c r="I82" s="347">
        <f t="shared" si="28"/>
        <v>0</v>
      </c>
      <c r="J82" s="347">
        <f t="shared" si="28"/>
        <v>0</v>
      </c>
      <c r="K82" s="347">
        <f t="shared" si="28"/>
        <v>0</v>
      </c>
      <c r="L82" s="347">
        <f t="shared" si="28"/>
        <v>0</v>
      </c>
      <c r="M82" s="347">
        <f t="shared" si="28"/>
        <v>0</v>
      </c>
      <c r="N82" s="347">
        <f t="shared" si="28"/>
        <v>0</v>
      </c>
      <c r="O82" s="347">
        <f t="shared" si="28"/>
        <v>0</v>
      </c>
      <c r="P82" s="347">
        <f t="shared" si="28"/>
        <v>0</v>
      </c>
      <c r="Q82" s="347">
        <f t="shared" si="28"/>
        <v>0</v>
      </c>
      <c r="R82" s="347">
        <f t="shared" si="28"/>
        <v>0</v>
      </c>
      <c r="S82" s="347">
        <f t="shared" si="28"/>
        <v>0</v>
      </c>
      <c r="T82" s="347">
        <f t="shared" si="28"/>
        <v>0</v>
      </c>
      <c r="U82" s="347">
        <f t="shared" si="28"/>
        <v>0</v>
      </c>
      <c r="V82" s="347">
        <f t="shared" si="28"/>
        <v>0</v>
      </c>
      <c r="W82" s="347">
        <f t="shared" si="28"/>
        <v>0</v>
      </c>
      <c r="X82" s="347">
        <f t="shared" si="28"/>
        <v>0</v>
      </c>
      <c r="Y82" s="347">
        <f t="shared" si="28"/>
        <v>0</v>
      </c>
      <c r="Z82" s="347">
        <f t="shared" si="28"/>
        <v>0</v>
      </c>
      <c r="AA82" s="347">
        <f t="shared" si="28"/>
        <v>0</v>
      </c>
      <c r="AB82" s="347">
        <f t="shared" si="28"/>
        <v>0</v>
      </c>
      <c r="AC82" s="347">
        <f t="shared" si="28"/>
        <v>0</v>
      </c>
      <c r="AD82" s="347">
        <f t="shared" si="28"/>
        <v>0</v>
      </c>
      <c r="AE82" s="347">
        <f t="shared" si="28"/>
        <v>0</v>
      </c>
      <c r="AF82" s="347">
        <f t="shared" si="28"/>
        <v>0</v>
      </c>
      <c r="AG82" s="347">
        <f t="shared" si="28"/>
        <v>0</v>
      </c>
      <c r="AH82" s="347">
        <f t="shared" si="28"/>
        <v>0</v>
      </c>
      <c r="AI82" s="347">
        <f t="shared" si="28"/>
        <v>0</v>
      </c>
      <c r="AJ82" s="347">
        <f t="shared" si="28"/>
        <v>0</v>
      </c>
      <c r="AK82" s="347">
        <f t="shared" si="28"/>
        <v>0</v>
      </c>
      <c r="AL82" s="347">
        <f t="shared" si="28"/>
        <v>0</v>
      </c>
      <c r="AM82" s="347">
        <f t="shared" si="28"/>
        <v>0</v>
      </c>
      <c r="AN82" s="347">
        <f t="shared" si="28"/>
        <v>0</v>
      </c>
      <c r="AO82" s="347">
        <f t="shared" si="28"/>
        <v>0</v>
      </c>
      <c r="AP82" s="347">
        <f>AP54-AP55</f>
        <v>0</v>
      </c>
    </row>
    <row r="83" spans="1:45" ht="14.25" x14ac:dyDescent="0.2">
      <c r="A83" s="218" t="s">
        <v>301</v>
      </c>
      <c r="B83" s="348">
        <f>SUM(B75:B82)</f>
        <v>-13730.048999999999</v>
      </c>
      <c r="C83" s="348">
        <f t="shared" ref="C83:V83" si="29">SUM(C75:C82)</f>
        <v>-2212.5621791117901</v>
      </c>
      <c r="D83" s="348">
        <f t="shared" si="29"/>
        <v>-2321.6911906344862</v>
      </c>
      <c r="E83" s="348">
        <f t="shared" si="29"/>
        <v>-2435.4036206411333</v>
      </c>
      <c r="F83" s="348">
        <f t="shared" si="29"/>
        <v>-2553.8919727080638</v>
      </c>
      <c r="G83" s="348">
        <f t="shared" si="29"/>
        <v>-2677.3568355618022</v>
      </c>
      <c r="H83" s="348">
        <f t="shared" si="29"/>
        <v>-2806.0072226553971</v>
      </c>
      <c r="I83" s="348">
        <f t="shared" si="29"/>
        <v>-2940.0609260069236</v>
      </c>
      <c r="J83" s="348">
        <f t="shared" si="29"/>
        <v>-3079.7448848992153</v>
      </c>
      <c r="K83" s="348">
        <f t="shared" si="29"/>
        <v>-3225.2955700649809</v>
      </c>
      <c r="L83" s="348">
        <f t="shared" si="29"/>
        <v>-3376.9593840077132</v>
      </c>
      <c r="M83" s="348">
        <f t="shared" si="29"/>
        <v>-3534.9930781360345</v>
      </c>
      <c r="N83" s="348">
        <f t="shared" si="29"/>
        <v>-3699.6641874177494</v>
      </c>
      <c r="O83" s="348">
        <f t="shared" si="29"/>
        <v>-3871.2514832892948</v>
      </c>
      <c r="P83" s="348">
        <f t="shared" si="29"/>
        <v>-5341.0569553769146</v>
      </c>
      <c r="Q83" s="348">
        <f t="shared" si="29"/>
        <v>-5565.3813475027455</v>
      </c>
      <c r="R83" s="348">
        <f t="shared" si="29"/>
        <v>-5799.1273640978607</v>
      </c>
      <c r="S83" s="348">
        <f t="shared" si="29"/>
        <v>-6042.6907133899704</v>
      </c>
      <c r="T83" s="348">
        <f t="shared" si="29"/>
        <v>-6296.4837233523513</v>
      </c>
      <c r="U83" s="348">
        <f t="shared" si="29"/>
        <v>-6560.9360397331484</v>
      </c>
      <c r="V83" s="348">
        <f t="shared" si="29"/>
        <v>-6836.4953534019414</v>
      </c>
      <c r="W83" s="348">
        <f>SUM(W75:W82)</f>
        <v>-7123.6281582448219</v>
      </c>
      <c r="X83" s="348">
        <f>SUM(X75:X82)</f>
        <v>-7422.8205408911035</v>
      </c>
      <c r="Y83" s="348">
        <f>SUM(Y75:Y82)</f>
        <v>-7734.5790036085345</v>
      </c>
      <c r="Z83" s="348">
        <f>SUM(Z75:Z82)</f>
        <v>-8059.431321760092</v>
      </c>
      <c r="AA83" s="348">
        <f t="shared" ref="AA83:AP83" si="30">SUM(AA75:AA82)</f>
        <v>-8397.9274372740147</v>
      </c>
      <c r="AB83" s="348">
        <f t="shared" si="30"/>
        <v>-8750.6403896395259</v>
      </c>
      <c r="AC83" s="348">
        <f t="shared" si="30"/>
        <v>-9118.1672860043873</v>
      </c>
      <c r="AD83" s="348">
        <f t="shared" si="30"/>
        <v>-9501.1303120165685</v>
      </c>
      <c r="AE83" s="348">
        <f t="shared" si="30"/>
        <v>-9900.1777851212737</v>
      </c>
      <c r="AF83" s="348">
        <f t="shared" si="30"/>
        <v>-10315.985252096354</v>
      </c>
      <c r="AG83" s="348">
        <f t="shared" si="30"/>
        <v>-10749.256632684408</v>
      </c>
      <c r="AH83" s="348">
        <f t="shared" si="30"/>
        <v>-11200.72541125715</v>
      </c>
      <c r="AI83" s="348">
        <f t="shared" si="30"/>
        <v>-11671.155878529949</v>
      </c>
      <c r="AJ83" s="348">
        <f t="shared" si="30"/>
        <v>-12161.344425428211</v>
      </c>
      <c r="AK83" s="348">
        <f t="shared" si="30"/>
        <v>-12672.120891296201</v>
      </c>
      <c r="AL83" s="348">
        <f t="shared" si="30"/>
        <v>-13204.349968730643</v>
      </c>
      <c r="AM83" s="348">
        <f t="shared" si="30"/>
        <v>-13758.932667417321</v>
      </c>
      <c r="AN83" s="348">
        <f t="shared" si="30"/>
        <v>-14336.807839448857</v>
      </c>
      <c r="AO83" s="348">
        <f t="shared" si="30"/>
        <v>-14938.953768705705</v>
      </c>
      <c r="AP83" s="348">
        <f t="shared" si="30"/>
        <v>-15566.389826991348</v>
      </c>
    </row>
    <row r="84" spans="1:45" ht="14.25" x14ac:dyDescent="0.2">
      <c r="A84" s="218" t="s">
        <v>300</v>
      </c>
      <c r="B84" s="348">
        <f>SUM($B$83:B83)</f>
        <v>-13730.048999999999</v>
      </c>
      <c r="C84" s="348">
        <f>SUM($B$83:C83)</f>
        <v>-15942.611179111789</v>
      </c>
      <c r="D84" s="348">
        <f>SUM($B$83:D83)</f>
        <v>-18264.302369746274</v>
      </c>
      <c r="E84" s="348">
        <f>SUM($B$83:E83)</f>
        <v>-20699.705990387407</v>
      </c>
      <c r="F84" s="348">
        <f>SUM($B$83:F83)</f>
        <v>-23253.597963095472</v>
      </c>
      <c r="G84" s="348">
        <f>SUM($B$83:G83)</f>
        <v>-25930.954798657272</v>
      </c>
      <c r="H84" s="348">
        <f>SUM($B$83:H83)</f>
        <v>-28736.962021312669</v>
      </c>
      <c r="I84" s="348">
        <f>SUM($B$83:I83)</f>
        <v>-31677.022947319594</v>
      </c>
      <c r="J84" s="348">
        <f>SUM($B$83:J83)</f>
        <v>-34756.767832218808</v>
      </c>
      <c r="K84" s="348">
        <f>SUM($B$83:K83)</f>
        <v>-37982.063402283791</v>
      </c>
      <c r="L84" s="348">
        <f>SUM($B$83:L83)</f>
        <v>-41359.022786291505</v>
      </c>
      <c r="M84" s="348">
        <f>SUM($B$83:M83)</f>
        <v>-44894.015864427536</v>
      </c>
      <c r="N84" s="348">
        <f>SUM($B$83:N83)</f>
        <v>-48593.680051845287</v>
      </c>
      <c r="O84" s="348">
        <f>SUM($B$83:O83)</f>
        <v>-52464.931535134579</v>
      </c>
      <c r="P84" s="348">
        <f>SUM($B$83:P83)</f>
        <v>-57805.988490511496</v>
      </c>
      <c r="Q84" s="348">
        <f>SUM($B$83:Q83)</f>
        <v>-63371.369838014245</v>
      </c>
      <c r="R84" s="348">
        <f>SUM($B$83:R83)</f>
        <v>-69170.497202112107</v>
      </c>
      <c r="S84" s="348">
        <f>SUM($B$83:S83)</f>
        <v>-75213.187915502072</v>
      </c>
      <c r="T84" s="348">
        <f>SUM($B$83:T83)</f>
        <v>-81509.67163885443</v>
      </c>
      <c r="U84" s="348">
        <f>SUM($B$83:U83)</f>
        <v>-88070.607678587578</v>
      </c>
      <c r="V84" s="348">
        <f>SUM($B$83:V83)</f>
        <v>-94907.103031989522</v>
      </c>
      <c r="W84" s="348">
        <f>SUM($B$83:W83)</f>
        <v>-102030.73119023435</v>
      </c>
      <c r="X84" s="348">
        <f>SUM($B$83:X83)</f>
        <v>-109453.55173112545</v>
      </c>
      <c r="Y84" s="348">
        <f>SUM($B$83:Y83)</f>
        <v>-117188.13073473399</v>
      </c>
      <c r="Z84" s="348">
        <f>SUM($B$83:Z83)</f>
        <v>-125247.56205649408</v>
      </c>
      <c r="AA84" s="348">
        <f>SUM($B$83:AA83)</f>
        <v>-133645.48949376808</v>
      </c>
      <c r="AB84" s="348">
        <f>SUM($B$83:AB83)</f>
        <v>-142396.12988340762</v>
      </c>
      <c r="AC84" s="348">
        <f>SUM($B$83:AC83)</f>
        <v>-151514.29716941199</v>
      </c>
      <c r="AD84" s="348">
        <f>SUM($B$83:AD83)</f>
        <v>-161015.42748142855</v>
      </c>
      <c r="AE84" s="348">
        <f>SUM($B$83:AE83)</f>
        <v>-170915.60526654983</v>
      </c>
      <c r="AF84" s="348">
        <f>SUM($B$83:AF83)</f>
        <v>-181231.59051864618</v>
      </c>
      <c r="AG84" s="348">
        <f>SUM($B$83:AG83)</f>
        <v>-191980.84715133058</v>
      </c>
      <c r="AH84" s="348">
        <f>SUM($B$83:AH83)</f>
        <v>-203181.57256258774</v>
      </c>
      <c r="AI84" s="348">
        <f>SUM($B$83:AI83)</f>
        <v>-214852.72844111768</v>
      </c>
      <c r="AJ84" s="348">
        <f>SUM($B$83:AJ83)</f>
        <v>-227014.0728665459</v>
      </c>
      <c r="AK84" s="348">
        <f>SUM($B$83:AK83)</f>
        <v>-239686.19375784209</v>
      </c>
      <c r="AL84" s="348">
        <f>SUM($B$83:AL83)</f>
        <v>-252890.54372657274</v>
      </c>
      <c r="AM84" s="348">
        <f>SUM($B$83:AM83)</f>
        <v>-266649.47639399004</v>
      </c>
      <c r="AN84" s="348">
        <f>SUM($B$83:AN83)</f>
        <v>-280986.2842334389</v>
      </c>
      <c r="AO84" s="348">
        <f>SUM($B$83:AO83)</f>
        <v>-295925.23800214462</v>
      </c>
      <c r="AP84" s="348">
        <f>SUM($B$83:AP83)</f>
        <v>-311491.62782913598</v>
      </c>
    </row>
    <row r="85" spans="1:45" x14ac:dyDescent="0.2">
      <c r="A85" s="217" t="s">
        <v>541</v>
      </c>
      <c r="B85" s="349">
        <f t="shared" ref="B85:AP85" si="31">1/POWER((1+$B$44),B73)</f>
        <v>0.43207415462612664</v>
      </c>
      <c r="C85" s="349">
        <f t="shared" si="31"/>
        <v>0.35856776317520883</v>
      </c>
      <c r="D85" s="349">
        <f t="shared" si="31"/>
        <v>0.29756660844415667</v>
      </c>
      <c r="E85" s="349">
        <f t="shared" si="31"/>
        <v>0.24694324352212174</v>
      </c>
      <c r="F85" s="349">
        <f t="shared" si="31"/>
        <v>0.20493215230051592</v>
      </c>
      <c r="G85" s="349">
        <f t="shared" si="31"/>
        <v>0.1700681761830008</v>
      </c>
      <c r="H85" s="349">
        <f t="shared" si="31"/>
        <v>0.14113541591950271</v>
      </c>
      <c r="I85" s="349">
        <f t="shared" si="31"/>
        <v>0.11712482648921385</v>
      </c>
      <c r="J85" s="349">
        <f t="shared" si="31"/>
        <v>9.719902613212765E-2</v>
      </c>
      <c r="K85" s="349">
        <f t="shared" si="31"/>
        <v>8.0663092225832109E-2</v>
      </c>
      <c r="L85" s="349">
        <f t="shared" si="31"/>
        <v>6.6940325498615838E-2</v>
      </c>
      <c r="M85" s="349">
        <f t="shared" si="31"/>
        <v>5.5552137343249659E-2</v>
      </c>
      <c r="N85" s="349">
        <f t="shared" si="31"/>
        <v>4.6101358791078552E-2</v>
      </c>
      <c r="O85" s="349">
        <f t="shared" si="31"/>
        <v>3.825838903823945E-2</v>
      </c>
      <c r="P85" s="349">
        <f t="shared" si="31"/>
        <v>3.174970044667174E-2</v>
      </c>
      <c r="Q85" s="349">
        <f t="shared" si="31"/>
        <v>2.6348299125868668E-2</v>
      </c>
      <c r="R85" s="349">
        <f t="shared" si="31"/>
        <v>2.1865808403210511E-2</v>
      </c>
      <c r="S85" s="349">
        <f t="shared" si="31"/>
        <v>1.814589908980126E-2</v>
      </c>
      <c r="T85" s="349">
        <f t="shared" si="31"/>
        <v>1.5058837418922204E-2</v>
      </c>
      <c r="U85" s="349">
        <f t="shared" si="31"/>
        <v>1.2496960513628384E-2</v>
      </c>
      <c r="V85" s="349">
        <f t="shared" si="31"/>
        <v>1.0370921588073345E-2</v>
      </c>
      <c r="W85" s="349">
        <f t="shared" si="31"/>
        <v>8.6065739320110735E-3</v>
      </c>
      <c r="X85" s="349">
        <f t="shared" si="31"/>
        <v>7.1423850058183183E-3</v>
      </c>
      <c r="Y85" s="349">
        <f t="shared" si="31"/>
        <v>5.9272904612600145E-3</v>
      </c>
      <c r="Z85" s="349">
        <f t="shared" si="31"/>
        <v>4.9189132458589318E-3</v>
      </c>
      <c r="AA85" s="349">
        <f t="shared" si="31"/>
        <v>4.082085681210732E-3</v>
      </c>
      <c r="AB85" s="349">
        <f t="shared" si="31"/>
        <v>3.3876229719591129E-3</v>
      </c>
      <c r="AC85" s="349">
        <f t="shared" si="31"/>
        <v>2.8113053709204251E-3</v>
      </c>
      <c r="AD85" s="349">
        <f t="shared" si="31"/>
        <v>2.3330335028385286E-3</v>
      </c>
      <c r="AE85" s="349">
        <f t="shared" si="31"/>
        <v>1.9361273882477412E-3</v>
      </c>
      <c r="AF85" s="349">
        <f t="shared" si="31"/>
        <v>1.6067447205375444E-3</v>
      </c>
      <c r="AG85" s="349">
        <f t="shared" si="31"/>
        <v>1.3333981083299121E-3</v>
      </c>
      <c r="AH85" s="349">
        <f t="shared" si="31"/>
        <v>1.1065544467468149E-3</v>
      </c>
      <c r="AI85" s="349">
        <f t="shared" si="31"/>
        <v>9.1830244543304122E-4</v>
      </c>
      <c r="AJ85" s="349">
        <f t="shared" si="31"/>
        <v>7.6207671820169396E-4</v>
      </c>
      <c r="AK85" s="349">
        <f t="shared" si="31"/>
        <v>6.3242881178563804E-4</v>
      </c>
      <c r="AL85" s="349">
        <f t="shared" si="31"/>
        <v>5.2483718820384888E-4</v>
      </c>
      <c r="AM85" s="349">
        <f t="shared" si="31"/>
        <v>4.3554953377912764E-4</v>
      </c>
      <c r="AN85" s="349">
        <f t="shared" si="31"/>
        <v>3.6145189525238806E-4</v>
      </c>
      <c r="AO85" s="349">
        <f t="shared" si="31"/>
        <v>2.9996007904762516E-4</v>
      </c>
      <c r="AP85" s="349">
        <f t="shared" si="31"/>
        <v>2.4892952618060153E-4</v>
      </c>
    </row>
    <row r="86" spans="1:45" ht="28.5" x14ac:dyDescent="0.2">
      <c r="A86" s="216" t="s">
        <v>299</v>
      </c>
      <c r="B86" s="348">
        <f>B83*B85</f>
        <v>-5932.3993146502953</v>
      </c>
      <c r="C86" s="348">
        <f>C83*C85</f>
        <v>-793.35347145018034</v>
      </c>
      <c r="D86" s="348">
        <f t="shared" ref="D86:AO86" si="32">D83*D85</f>
        <v>-690.85777345178008</v>
      </c>
      <c r="E86" s="348">
        <f t="shared" si="32"/>
        <v>-601.40646936664041</v>
      </c>
      <c r="F86" s="348">
        <f t="shared" si="32"/>
        <v>-523.37457871007393</v>
      </c>
      <c r="G86" s="348">
        <f t="shared" si="32"/>
        <v>-455.33319401508606</v>
      </c>
      <c r="H86" s="348">
        <f t="shared" si="32"/>
        <v>-396.02699644259809</v>
      </c>
      <c r="I86" s="348">
        <f t="shared" si="32"/>
        <v>-344.35412582627833</v>
      </c>
      <c r="J86" s="348">
        <f t="shared" si="32"/>
        <v>-299.34820354760529</v>
      </c>
      <c r="K86" s="348">
        <f t="shared" si="32"/>
        <v>-260.16231402371932</v>
      </c>
      <c r="L86" s="348">
        <f t="shared" si="32"/>
        <v>-226.05476036108155</v>
      </c>
      <c r="M86" s="348">
        <f t="shared" si="32"/>
        <v>-196.37642098404987</v>
      </c>
      <c r="N86" s="348">
        <f t="shared" si="32"/>
        <v>-170.55954611064976</v>
      </c>
      <c r="O86" s="348">
        <f t="shared" si="32"/>
        <v>-148.10784531254336</v>
      </c>
      <c r="P86" s="348">
        <f t="shared" si="32"/>
        <v>-169.57695840182964</v>
      </c>
      <c r="Q86" s="348">
        <f t="shared" si="32"/>
        <v>-146.63833249353237</v>
      </c>
      <c r="R86" s="348">
        <f t="shared" si="32"/>
        <v>-126.80260784917903</v>
      </c>
      <c r="S86" s="348">
        <f t="shared" si="32"/>
        <v>-109.65005591605359</v>
      </c>
      <c r="T86" s="348">
        <f t="shared" si="32"/>
        <v>-94.817724700852992</v>
      </c>
      <c r="U86" s="348">
        <f t="shared" si="32"/>
        <v>-81.991758620986545</v>
      </c>
      <c r="V86" s="348">
        <f t="shared" si="32"/>
        <v>-70.900757247359309</v>
      </c>
      <c r="W86" s="348">
        <f t="shared" si="32"/>
        <v>-61.310032408089938</v>
      </c>
      <c r="X86" s="348">
        <f t="shared" si="32"/>
        <v>-53.016642132140838</v>
      </c>
      <c r="Y86" s="348">
        <f t="shared" si="32"/>
        <v>-45.845096349950857</v>
      </c>
      <c r="Z86" s="348">
        <f t="shared" si="32"/>
        <v>-39.643643482696078</v>
      </c>
      <c r="AA86" s="348">
        <f t="shared" si="32"/>
        <v>-34.281059343542992</v>
      </c>
      <c r="AB86" s="348">
        <f t="shared" si="32"/>
        <v>-29.643870403296098</v>
      </c>
      <c r="AC86" s="348">
        <f t="shared" si="32"/>
        <v>-25.633952664095048</v>
      </c>
      <c r="AD86" s="348">
        <f t="shared" si="32"/>
        <v>-22.166455332769338</v>
      </c>
      <c r="AE86" s="348">
        <f t="shared" si="32"/>
        <v>-19.168005358295158</v>
      </c>
      <c r="AF86" s="348">
        <f t="shared" si="32"/>
        <v>-16.575154840948986</v>
      </c>
      <c r="AG86" s="348">
        <f t="shared" si="32"/>
        <v>-14.33303845997415</v>
      </c>
      <c r="AH86" s="348">
        <f t="shared" si="32"/>
        <v>-12.394212510616647</v>
      </c>
      <c r="AI86" s="348">
        <f t="shared" si="32"/>
        <v>-10.717650984284267</v>
      </c>
      <c r="AJ86" s="348">
        <f t="shared" si="32"/>
        <v>-9.2678774486507969</v>
      </c>
      <c r="AK86" s="348">
        <f t="shared" si="32"/>
        <v>-8.0142143580864165</v>
      </c>
      <c r="AL86" s="348">
        <f t="shared" si="32"/>
        <v>-6.9301339096481707</v>
      </c>
      <c r="AM86" s="348">
        <f t="shared" si="32"/>
        <v>-5.9926967085920229</v>
      </c>
      <c r="AN86" s="348">
        <f t="shared" si="32"/>
        <v>-5.1820663654380841</v>
      </c>
      <c r="AO86" s="348">
        <f t="shared" si="32"/>
        <v>-4.4810897533497815</v>
      </c>
      <c r="AP86" s="348">
        <f>AP83*AP85</f>
        <v>-3.8749340439754922</v>
      </c>
    </row>
    <row r="87" spans="1:45" ht="14.25" x14ac:dyDescent="0.2">
      <c r="A87" s="216" t="s">
        <v>298</v>
      </c>
      <c r="B87" s="348">
        <f>SUM($B$86:B86)</f>
        <v>-5932.3993146502953</v>
      </c>
      <c r="C87" s="348">
        <f>SUM($B$86:C86)</f>
        <v>-6725.7527861004755</v>
      </c>
      <c r="D87" s="348">
        <f>SUM($B$86:D86)</f>
        <v>-7416.6105595522558</v>
      </c>
      <c r="E87" s="348">
        <f>SUM($B$86:E86)</f>
        <v>-8018.0170289188964</v>
      </c>
      <c r="F87" s="348">
        <f>SUM($B$86:F86)</f>
        <v>-8541.3916076289697</v>
      </c>
      <c r="G87" s="348">
        <f>SUM($B$86:G86)</f>
        <v>-8996.7248016440553</v>
      </c>
      <c r="H87" s="348">
        <f>SUM($B$86:H86)</f>
        <v>-9392.7517980866542</v>
      </c>
      <c r="I87" s="348">
        <f>SUM($B$86:I86)</f>
        <v>-9737.1059239129318</v>
      </c>
      <c r="J87" s="348">
        <f>SUM($B$86:J86)</f>
        <v>-10036.454127460536</v>
      </c>
      <c r="K87" s="348">
        <f>SUM($B$86:K86)</f>
        <v>-10296.616441484255</v>
      </c>
      <c r="L87" s="348">
        <f>SUM($B$86:L86)</f>
        <v>-10522.671201845336</v>
      </c>
      <c r="M87" s="348">
        <f>SUM($B$86:M86)</f>
        <v>-10719.047622829386</v>
      </c>
      <c r="N87" s="348">
        <f>SUM($B$86:N86)</f>
        <v>-10889.607168940036</v>
      </c>
      <c r="O87" s="348">
        <f>SUM($B$86:O86)</f>
        <v>-11037.715014252579</v>
      </c>
      <c r="P87" s="348">
        <f>SUM($B$86:P86)</f>
        <v>-11207.291972654408</v>
      </c>
      <c r="Q87" s="348">
        <f>SUM($B$86:Q86)</f>
        <v>-11353.93030514794</v>
      </c>
      <c r="R87" s="348">
        <f>SUM($B$86:R86)</f>
        <v>-11480.732912997119</v>
      </c>
      <c r="S87" s="348">
        <f>SUM($B$86:S86)</f>
        <v>-11590.382968913173</v>
      </c>
      <c r="T87" s="348">
        <f>SUM($B$86:T86)</f>
        <v>-11685.200693614026</v>
      </c>
      <c r="U87" s="348">
        <f>SUM($B$86:U86)</f>
        <v>-11767.192452235013</v>
      </c>
      <c r="V87" s="348">
        <f>SUM($B$86:V86)</f>
        <v>-11838.093209482373</v>
      </c>
      <c r="W87" s="348">
        <f>SUM($B$86:W86)</f>
        <v>-11899.403241890463</v>
      </c>
      <c r="X87" s="348">
        <f>SUM($B$86:X86)</f>
        <v>-11952.419884022604</v>
      </c>
      <c r="Y87" s="348">
        <f>SUM($B$86:Y86)</f>
        <v>-11998.264980372554</v>
      </c>
      <c r="Z87" s="348">
        <f>SUM($B$86:Z86)</f>
        <v>-12037.90862385525</v>
      </c>
      <c r="AA87" s="348">
        <f>SUM($B$86:AA86)</f>
        <v>-12072.189683198792</v>
      </c>
      <c r="AB87" s="348">
        <f>SUM($B$86:AB86)</f>
        <v>-12101.833553602088</v>
      </c>
      <c r="AC87" s="348">
        <f>SUM($B$86:AC86)</f>
        <v>-12127.467506266183</v>
      </c>
      <c r="AD87" s="348">
        <f>SUM($B$86:AD86)</f>
        <v>-12149.633961598953</v>
      </c>
      <c r="AE87" s="348">
        <f>SUM($B$86:AE86)</f>
        <v>-12168.801966957248</v>
      </c>
      <c r="AF87" s="348">
        <f>SUM($B$86:AF86)</f>
        <v>-12185.377121798198</v>
      </c>
      <c r="AG87" s="348">
        <f>SUM($B$86:AG86)</f>
        <v>-12199.710160258172</v>
      </c>
      <c r="AH87" s="348">
        <f>SUM($B$86:AH86)</f>
        <v>-12212.104372768788</v>
      </c>
      <c r="AI87" s="348">
        <f>SUM($B$86:AI86)</f>
        <v>-12222.822023753073</v>
      </c>
      <c r="AJ87" s="348">
        <f>SUM($B$86:AJ86)</f>
        <v>-12232.089901201723</v>
      </c>
      <c r="AK87" s="348">
        <f>SUM($B$86:AK86)</f>
        <v>-12240.10411555981</v>
      </c>
      <c r="AL87" s="348">
        <f>SUM($B$86:AL86)</f>
        <v>-12247.034249469458</v>
      </c>
      <c r="AM87" s="348">
        <f>SUM($B$86:AM86)</f>
        <v>-12253.02694617805</v>
      </c>
      <c r="AN87" s="348">
        <f>SUM($B$86:AN86)</f>
        <v>-12258.209012543488</v>
      </c>
      <c r="AO87" s="348">
        <f>SUM($B$86:AO86)</f>
        <v>-12262.690102296838</v>
      </c>
      <c r="AP87" s="348">
        <f>SUM($B$86:AP86)</f>
        <v>-12266.565036340813</v>
      </c>
    </row>
    <row r="88" spans="1:45" ht="14.25" x14ac:dyDescent="0.2">
      <c r="A88" s="216" t="s">
        <v>297</v>
      </c>
      <c r="B88" s="350">
        <f>IF((ISERR(IRR($B$83:B83))),0,IF(IRR($B$83:B83)&lt;0,0,IRR($B$83:B83)))</f>
        <v>0</v>
      </c>
      <c r="C88" s="350">
        <f>IF((ISERR(IRR($B$83:C83))),0,IF(IRR($B$83:C83)&lt;0,0,IRR($B$83:C83)))</f>
        <v>0</v>
      </c>
      <c r="D88" s="350">
        <f>IF((ISERR(IRR($B$83:D83))),0,IF(IRR($B$83:D83)&lt;0,0,IRR($B$83:D83)))</f>
        <v>0</v>
      </c>
      <c r="E88" s="350">
        <f>IF((ISERR(IRR($B$83:E83))),0,IF(IRR($B$83:E83)&lt;0,0,IRR($B$83:E83)))</f>
        <v>0</v>
      </c>
      <c r="F88" s="350">
        <f>IF((ISERR(IRR($B$83:F83))),0,IF(IRR($B$83:F83)&lt;0,0,IRR($B$83:F83)))</f>
        <v>0</v>
      </c>
      <c r="G88" s="350">
        <f>IF((ISERR(IRR($B$83:G83))),0,IF(IRR($B$83:G83)&lt;0,0,IRR($B$83:G83)))</f>
        <v>0</v>
      </c>
      <c r="H88" s="350">
        <f>IF((ISERR(IRR($B$83:H83))),0,IF(IRR($B$83:H83)&lt;0,0,IRR($B$83:H83)))</f>
        <v>0</v>
      </c>
      <c r="I88" s="350">
        <f>IF((ISERR(IRR($B$83:I83))),0,IF(IRR($B$83:I83)&lt;0,0,IRR($B$83:I83)))</f>
        <v>0</v>
      </c>
      <c r="J88" s="350">
        <f>IF((ISERR(IRR($B$83:J83))),0,IF(IRR($B$83:J83)&lt;0,0,IRR($B$83:J83)))</f>
        <v>0</v>
      </c>
      <c r="K88" s="350">
        <f>IF((ISERR(IRR($B$83:K83))),0,IF(IRR($B$83:K83)&lt;0,0,IRR($B$83:K83)))</f>
        <v>0</v>
      </c>
      <c r="L88" s="350">
        <f>IF((ISERR(IRR($B$83:L83))),0,IF(IRR($B$83:L83)&lt;0,0,IRR($B$83:L83)))</f>
        <v>0</v>
      </c>
      <c r="M88" s="350">
        <f>IF((ISERR(IRR($B$83:M83))),0,IF(IRR($B$83:M83)&lt;0,0,IRR($B$83:M83)))</f>
        <v>0</v>
      </c>
      <c r="N88" s="350">
        <f>IF((ISERR(IRR($B$83:N83))),0,IF(IRR($B$83:N83)&lt;0,0,IRR($B$83:N83)))</f>
        <v>0</v>
      </c>
      <c r="O88" s="350">
        <f>IF((ISERR(IRR($B$83:O83))),0,IF(IRR($B$83:O83)&lt;0,0,IRR($B$83:O83)))</f>
        <v>0</v>
      </c>
      <c r="P88" s="350">
        <f>IF((ISERR(IRR($B$83:P83))),0,IF(IRR($B$83:P83)&lt;0,0,IRR($B$83:P83)))</f>
        <v>0</v>
      </c>
      <c r="Q88" s="350">
        <f>IF((ISERR(IRR($B$83:Q83))),0,IF(IRR($B$83:Q83)&lt;0,0,IRR($B$83:Q83)))</f>
        <v>0</v>
      </c>
      <c r="R88" s="350">
        <f>IF((ISERR(IRR($B$83:R83))),0,IF(IRR($B$83:R83)&lt;0,0,IRR($B$83:R83)))</f>
        <v>0</v>
      </c>
      <c r="S88" s="350">
        <f>IF((ISERR(IRR($B$83:S83))),0,IF(IRR($B$83:S83)&lt;0,0,IRR($B$83:S83)))</f>
        <v>0</v>
      </c>
      <c r="T88" s="350">
        <f>IF((ISERR(IRR($B$83:T83))),0,IF(IRR($B$83:T83)&lt;0,0,IRR($B$83:T83)))</f>
        <v>0</v>
      </c>
      <c r="U88" s="350">
        <f>IF((ISERR(IRR($B$83:U83))),0,IF(IRR($B$83:U83)&lt;0,0,IRR($B$83:U83)))</f>
        <v>0</v>
      </c>
      <c r="V88" s="350">
        <f>IF((ISERR(IRR($B$83:V83))),0,IF(IRR($B$83:V83)&lt;0,0,IRR($B$83:V83)))</f>
        <v>0</v>
      </c>
      <c r="W88" s="350">
        <f>IF((ISERR(IRR($B$83:W83))),0,IF(IRR($B$83:W83)&lt;0,0,IRR($B$83:W83)))</f>
        <v>0</v>
      </c>
      <c r="X88" s="350">
        <f>IF((ISERR(IRR($B$83:X83))),0,IF(IRR($B$83:X83)&lt;0,0,IRR($B$83:X83)))</f>
        <v>0</v>
      </c>
      <c r="Y88" s="350">
        <f>IF((ISERR(IRR($B$83:Y83))),0,IF(IRR($B$83:Y83)&lt;0,0,IRR($B$83:Y83)))</f>
        <v>0</v>
      </c>
      <c r="Z88" s="350">
        <f>IF((ISERR(IRR($B$83:Z83))),0,IF(IRR($B$83:Z83)&lt;0,0,IRR($B$83:Z83)))</f>
        <v>0</v>
      </c>
      <c r="AA88" s="350">
        <f>IF((ISERR(IRR($B$83:AA83))),0,IF(IRR($B$83:AA83)&lt;0,0,IRR($B$83:AA83)))</f>
        <v>0</v>
      </c>
      <c r="AB88" s="350">
        <f>IF((ISERR(IRR($B$83:AB83))),0,IF(IRR($B$83:AB83)&lt;0,0,IRR($B$83:AB83)))</f>
        <v>0</v>
      </c>
      <c r="AC88" s="350">
        <f>IF((ISERR(IRR($B$83:AC83))),0,IF(IRR($B$83:AC83)&lt;0,0,IRR($B$83:AC83)))</f>
        <v>0</v>
      </c>
      <c r="AD88" s="350">
        <f>IF((ISERR(IRR($B$83:AD83))),0,IF(IRR($B$83:AD83)&lt;0,0,IRR($B$83:AD83)))</f>
        <v>0</v>
      </c>
      <c r="AE88" s="350">
        <f>IF((ISERR(IRR($B$83:AE83))),0,IF(IRR($B$83:AE83)&lt;0,0,IRR($B$83:AE83)))</f>
        <v>0</v>
      </c>
      <c r="AF88" s="350">
        <f>IF((ISERR(IRR($B$83:AF83))),0,IF(IRR($B$83:AF83)&lt;0,0,IRR($B$83:AF83)))</f>
        <v>0</v>
      </c>
      <c r="AG88" s="350">
        <f>IF((ISERR(IRR($B$83:AG83))),0,IF(IRR($B$83:AG83)&lt;0,0,IRR($B$83:AG83)))</f>
        <v>0</v>
      </c>
      <c r="AH88" s="350">
        <f>IF((ISERR(IRR($B$83:AH83))),0,IF(IRR($B$83:AH83)&lt;0,0,IRR($B$83:AH83)))</f>
        <v>0</v>
      </c>
      <c r="AI88" s="350">
        <f>IF((ISERR(IRR($B$83:AI83))),0,IF(IRR($B$83:AI83)&lt;0,0,IRR($B$83:AI83)))</f>
        <v>0</v>
      </c>
      <c r="AJ88" s="350">
        <f>IF((ISERR(IRR($B$83:AJ83))),0,IF(IRR($B$83:AJ83)&lt;0,0,IRR($B$83:AJ83)))</f>
        <v>0</v>
      </c>
      <c r="AK88" s="350">
        <f>IF((ISERR(IRR($B$83:AK83))),0,IF(IRR($B$83:AK83)&lt;0,0,IRR($B$83:AK83)))</f>
        <v>0</v>
      </c>
      <c r="AL88" s="350">
        <f>IF((ISERR(IRR($B$83:AL83))),0,IF(IRR($B$83:AL83)&lt;0,0,IRR($B$83:AL83)))</f>
        <v>0</v>
      </c>
      <c r="AM88" s="350">
        <f>IF((ISERR(IRR($B$83:AM83))),0,IF(IRR($B$83:AM83)&lt;0,0,IRR($B$83:AM83)))</f>
        <v>0</v>
      </c>
      <c r="AN88" s="350">
        <f>IF((ISERR(IRR($B$83:AN83))),0,IF(IRR($B$83:AN83)&lt;0,0,IRR($B$83:AN83)))</f>
        <v>0</v>
      </c>
      <c r="AO88" s="350">
        <f>IF((ISERR(IRR($B$83:AO83))),0,IF(IRR($B$83:AO83)&lt;0,0,IRR($B$83:AO83)))</f>
        <v>0</v>
      </c>
      <c r="AP88" s="350">
        <f>IF((ISERR(IRR($B$83:AP83))),0,IF(IRR($B$83:AP83)&lt;0,0,IRR($B$83:AP83)))</f>
        <v>0</v>
      </c>
    </row>
    <row r="89" spans="1:45" ht="14.25" x14ac:dyDescent="0.2">
      <c r="A89" s="216" t="s">
        <v>296</v>
      </c>
      <c r="B89" s="351">
        <f>IF(AND(B84&gt;0,A84&lt;0),(B74-(B84/(B84-A84))),0)</f>
        <v>0</v>
      </c>
      <c r="C89" s="351">
        <f t="shared" ref="C89:AP89" si="33">IF(AND(C84&gt;0,B84&lt;0),(C74-(C84/(C84-B84))),0)</f>
        <v>0</v>
      </c>
      <c r="D89" s="351">
        <f t="shared" si="33"/>
        <v>0</v>
      </c>
      <c r="E89" s="351">
        <f t="shared" si="33"/>
        <v>0</v>
      </c>
      <c r="F89" s="351">
        <f t="shared" si="33"/>
        <v>0</v>
      </c>
      <c r="G89" s="351">
        <f t="shared" si="33"/>
        <v>0</v>
      </c>
      <c r="H89" s="351">
        <f>IF(AND(H84&gt;0,G84&lt;0),(H74-(H84/(H84-G84))),0)</f>
        <v>0</v>
      </c>
      <c r="I89" s="351">
        <f t="shared" si="33"/>
        <v>0</v>
      </c>
      <c r="J89" s="351">
        <f t="shared" si="33"/>
        <v>0</v>
      </c>
      <c r="K89" s="351">
        <f t="shared" si="33"/>
        <v>0</v>
      </c>
      <c r="L89" s="351">
        <f t="shared" si="33"/>
        <v>0</v>
      </c>
      <c r="M89" s="351">
        <f t="shared" si="33"/>
        <v>0</v>
      </c>
      <c r="N89" s="351">
        <f t="shared" si="33"/>
        <v>0</v>
      </c>
      <c r="O89" s="351">
        <f t="shared" si="33"/>
        <v>0</v>
      </c>
      <c r="P89" s="351">
        <f t="shared" si="33"/>
        <v>0</v>
      </c>
      <c r="Q89" s="351">
        <f t="shared" si="33"/>
        <v>0</v>
      </c>
      <c r="R89" s="351">
        <f t="shared" si="33"/>
        <v>0</v>
      </c>
      <c r="S89" s="351">
        <f t="shared" si="33"/>
        <v>0</v>
      </c>
      <c r="T89" s="351">
        <f t="shared" si="33"/>
        <v>0</v>
      </c>
      <c r="U89" s="351">
        <f t="shared" si="33"/>
        <v>0</v>
      </c>
      <c r="V89" s="351">
        <f t="shared" si="33"/>
        <v>0</v>
      </c>
      <c r="W89" s="351">
        <f t="shared" si="33"/>
        <v>0</v>
      </c>
      <c r="X89" s="351">
        <f t="shared" si="33"/>
        <v>0</v>
      </c>
      <c r="Y89" s="351">
        <f t="shared" si="33"/>
        <v>0</v>
      </c>
      <c r="Z89" s="351">
        <f t="shared" si="33"/>
        <v>0</v>
      </c>
      <c r="AA89" s="351">
        <f t="shared" si="33"/>
        <v>0</v>
      </c>
      <c r="AB89" s="351">
        <f t="shared" si="33"/>
        <v>0</v>
      </c>
      <c r="AC89" s="351">
        <f t="shared" si="33"/>
        <v>0</v>
      </c>
      <c r="AD89" s="351">
        <f t="shared" si="33"/>
        <v>0</v>
      </c>
      <c r="AE89" s="351">
        <f t="shared" si="33"/>
        <v>0</v>
      </c>
      <c r="AF89" s="351">
        <f t="shared" si="33"/>
        <v>0</v>
      </c>
      <c r="AG89" s="351">
        <f t="shared" si="33"/>
        <v>0</v>
      </c>
      <c r="AH89" s="351">
        <f t="shared" si="33"/>
        <v>0</v>
      </c>
      <c r="AI89" s="351">
        <f t="shared" si="33"/>
        <v>0</v>
      </c>
      <c r="AJ89" s="351">
        <f t="shared" si="33"/>
        <v>0</v>
      </c>
      <c r="AK89" s="351">
        <f t="shared" si="33"/>
        <v>0</v>
      </c>
      <c r="AL89" s="351">
        <f t="shared" si="33"/>
        <v>0</v>
      </c>
      <c r="AM89" s="351">
        <f t="shared" si="33"/>
        <v>0</v>
      </c>
      <c r="AN89" s="351">
        <f t="shared" si="33"/>
        <v>0</v>
      </c>
      <c r="AO89" s="351">
        <f t="shared" si="33"/>
        <v>0</v>
      </c>
      <c r="AP89" s="351">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6"/>
      <c r="C92" s="116"/>
      <c r="D92" s="116"/>
      <c r="E92" s="116"/>
      <c r="F92" s="116"/>
      <c r="G92" s="116"/>
      <c r="H92" s="116"/>
      <c r="I92" s="116"/>
      <c r="J92" s="116"/>
      <c r="K92" s="116"/>
      <c r="L92" s="230">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82" t="s">
        <v>542</v>
      </c>
      <c r="B97" s="482"/>
      <c r="C97" s="482"/>
      <c r="D97" s="482"/>
      <c r="E97" s="482"/>
      <c r="F97" s="482"/>
      <c r="G97" s="482"/>
      <c r="H97" s="482"/>
      <c r="I97" s="482"/>
      <c r="J97" s="482"/>
      <c r="K97" s="482"/>
      <c r="L97" s="482"/>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543</v>
      </c>
      <c r="B99" s="233">
        <f>B81*B85</f>
        <v>-29661.890715083595</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-29661.890715083595</v>
      </c>
      <c r="AR99" s="236"/>
      <c r="AS99" s="236"/>
    </row>
    <row r="100" spans="1:71" s="240" customFormat="1" x14ac:dyDescent="0.2">
      <c r="A100" s="238">
        <f>AQ99</f>
        <v>-29661.890715083595</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-12266.565036340813</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544</v>
      </c>
      <c r="B102" s="352">
        <f>(A101+-A100)/-A100</f>
        <v>0.586453704041764</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3" t="s">
        <v>545</v>
      </c>
      <c r="B104" s="353" t="s">
        <v>546</v>
      </c>
      <c r="C104" s="353" t="s">
        <v>547</v>
      </c>
      <c r="D104" s="353" t="s">
        <v>548</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4">
        <f>G30/1000/1000</f>
        <v>-1.0522671201845336E-2</v>
      </c>
      <c r="B105" s="355">
        <f>L88</f>
        <v>0</v>
      </c>
      <c r="C105" s="356" t="str">
        <f>G28</f>
        <v>не окупается</v>
      </c>
      <c r="D105" s="356" t="str">
        <f>G29</f>
        <v>не окупается</v>
      </c>
      <c r="E105" s="245" t="s">
        <v>549</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7"/>
      <c r="B107" s="358">
        <v>2016</v>
      </c>
      <c r="C107" s="358">
        <v>2017</v>
      </c>
      <c r="D107" s="359">
        <f t="shared" ref="D107:AP107" si="37">C107+1</f>
        <v>2018</v>
      </c>
      <c r="E107" s="359">
        <f t="shared" si="37"/>
        <v>2019</v>
      </c>
      <c r="F107" s="359">
        <f t="shared" si="37"/>
        <v>2020</v>
      </c>
      <c r="G107" s="359">
        <f t="shared" si="37"/>
        <v>2021</v>
      </c>
      <c r="H107" s="359">
        <f t="shared" si="37"/>
        <v>2022</v>
      </c>
      <c r="I107" s="359">
        <f t="shared" si="37"/>
        <v>2023</v>
      </c>
      <c r="J107" s="359">
        <f t="shared" si="37"/>
        <v>2024</v>
      </c>
      <c r="K107" s="359">
        <f t="shared" si="37"/>
        <v>2025</v>
      </c>
      <c r="L107" s="359">
        <f t="shared" si="37"/>
        <v>2026</v>
      </c>
      <c r="M107" s="359">
        <f t="shared" si="37"/>
        <v>2027</v>
      </c>
      <c r="N107" s="359">
        <f t="shared" si="37"/>
        <v>2028</v>
      </c>
      <c r="O107" s="359">
        <f t="shared" si="37"/>
        <v>2029</v>
      </c>
      <c r="P107" s="359">
        <f t="shared" si="37"/>
        <v>2030</v>
      </c>
      <c r="Q107" s="359">
        <f t="shared" si="37"/>
        <v>2031</v>
      </c>
      <c r="R107" s="359">
        <f t="shared" si="37"/>
        <v>2032</v>
      </c>
      <c r="S107" s="359">
        <f t="shared" si="37"/>
        <v>2033</v>
      </c>
      <c r="T107" s="359">
        <f t="shared" si="37"/>
        <v>2034</v>
      </c>
      <c r="U107" s="359">
        <f t="shared" si="37"/>
        <v>2035</v>
      </c>
      <c r="V107" s="359">
        <f t="shared" si="37"/>
        <v>2036</v>
      </c>
      <c r="W107" s="359">
        <f t="shared" si="37"/>
        <v>2037</v>
      </c>
      <c r="X107" s="359">
        <f t="shared" si="37"/>
        <v>2038</v>
      </c>
      <c r="Y107" s="359">
        <f t="shared" si="37"/>
        <v>2039</v>
      </c>
      <c r="Z107" s="359">
        <f t="shared" si="37"/>
        <v>2040</v>
      </c>
      <c r="AA107" s="359">
        <f t="shared" si="37"/>
        <v>2041</v>
      </c>
      <c r="AB107" s="359">
        <f t="shared" si="37"/>
        <v>2042</v>
      </c>
      <c r="AC107" s="359">
        <f t="shared" si="37"/>
        <v>2043</v>
      </c>
      <c r="AD107" s="359">
        <f t="shared" si="37"/>
        <v>2044</v>
      </c>
      <c r="AE107" s="359">
        <f t="shared" si="37"/>
        <v>2045</v>
      </c>
      <c r="AF107" s="359">
        <f t="shared" si="37"/>
        <v>2046</v>
      </c>
      <c r="AG107" s="359">
        <f t="shared" si="37"/>
        <v>2047</v>
      </c>
      <c r="AH107" s="359">
        <f t="shared" si="37"/>
        <v>2048</v>
      </c>
      <c r="AI107" s="359">
        <f t="shared" si="37"/>
        <v>2049</v>
      </c>
      <c r="AJ107" s="359">
        <f t="shared" si="37"/>
        <v>2050</v>
      </c>
      <c r="AK107" s="359">
        <f t="shared" si="37"/>
        <v>2051</v>
      </c>
      <c r="AL107" s="359">
        <f t="shared" si="37"/>
        <v>2052</v>
      </c>
      <c r="AM107" s="359">
        <f t="shared" si="37"/>
        <v>2053</v>
      </c>
      <c r="AN107" s="359">
        <f t="shared" si="37"/>
        <v>2054</v>
      </c>
      <c r="AO107" s="359">
        <f t="shared" si="37"/>
        <v>2055</v>
      </c>
      <c r="AP107" s="359">
        <f t="shared" si="37"/>
        <v>2056</v>
      </c>
      <c r="AT107" s="240"/>
      <c r="AU107" s="240"/>
      <c r="AV107" s="240"/>
      <c r="AW107" s="240"/>
      <c r="AX107" s="240"/>
      <c r="AY107" s="240"/>
      <c r="AZ107" s="240"/>
      <c r="BA107" s="240"/>
      <c r="BB107" s="240"/>
      <c r="BC107" s="240"/>
      <c r="BD107" s="240"/>
      <c r="BE107" s="240"/>
      <c r="BF107" s="240"/>
      <c r="BG107" s="240"/>
    </row>
    <row r="108" spans="1:71" ht="12.75" x14ac:dyDescent="0.2">
      <c r="A108" s="360" t="s">
        <v>550</v>
      </c>
      <c r="B108" s="361"/>
      <c r="C108" s="361">
        <f>C109*$B$111*$B$112*1000</f>
        <v>0</v>
      </c>
      <c r="D108" s="361">
        <f t="shared" ref="D108:AP108" si="38">D109*$B$111*$B$112*1000</f>
        <v>0</v>
      </c>
      <c r="E108" s="361">
        <f>E109*$B$111*$B$112*1000</f>
        <v>0</v>
      </c>
      <c r="F108" s="361">
        <f t="shared" si="38"/>
        <v>0</v>
      </c>
      <c r="G108" s="361">
        <f t="shared" si="38"/>
        <v>0</v>
      </c>
      <c r="H108" s="361">
        <f t="shared" si="38"/>
        <v>0</v>
      </c>
      <c r="I108" s="361">
        <f t="shared" si="38"/>
        <v>0</v>
      </c>
      <c r="J108" s="361">
        <f t="shared" si="38"/>
        <v>0</v>
      </c>
      <c r="K108" s="361">
        <f t="shared" si="38"/>
        <v>0</v>
      </c>
      <c r="L108" s="361">
        <f t="shared" si="38"/>
        <v>0</v>
      </c>
      <c r="M108" s="361">
        <f t="shared" si="38"/>
        <v>0</v>
      </c>
      <c r="N108" s="361">
        <f t="shared" si="38"/>
        <v>0</v>
      </c>
      <c r="O108" s="361">
        <f t="shared" si="38"/>
        <v>0</v>
      </c>
      <c r="P108" s="361">
        <f t="shared" si="38"/>
        <v>0</v>
      </c>
      <c r="Q108" s="361">
        <f t="shared" si="38"/>
        <v>0</v>
      </c>
      <c r="R108" s="361">
        <f t="shared" si="38"/>
        <v>0</v>
      </c>
      <c r="S108" s="361">
        <f t="shared" si="38"/>
        <v>0</v>
      </c>
      <c r="T108" s="361">
        <f t="shared" si="38"/>
        <v>0</v>
      </c>
      <c r="U108" s="361">
        <f t="shared" si="38"/>
        <v>0</v>
      </c>
      <c r="V108" s="361">
        <f t="shared" si="38"/>
        <v>0</v>
      </c>
      <c r="W108" s="361">
        <f t="shared" si="38"/>
        <v>0</v>
      </c>
      <c r="X108" s="361">
        <f t="shared" si="38"/>
        <v>0</v>
      </c>
      <c r="Y108" s="361">
        <f t="shared" si="38"/>
        <v>0</v>
      </c>
      <c r="Z108" s="361">
        <f t="shared" si="38"/>
        <v>0</v>
      </c>
      <c r="AA108" s="361">
        <f t="shared" si="38"/>
        <v>0</v>
      </c>
      <c r="AB108" s="361">
        <f t="shared" si="38"/>
        <v>0</v>
      </c>
      <c r="AC108" s="361">
        <f t="shared" si="38"/>
        <v>0</v>
      </c>
      <c r="AD108" s="361">
        <f t="shared" si="38"/>
        <v>0</v>
      </c>
      <c r="AE108" s="361">
        <f t="shared" si="38"/>
        <v>0</v>
      </c>
      <c r="AF108" s="361">
        <f t="shared" si="38"/>
        <v>0</v>
      </c>
      <c r="AG108" s="361">
        <f t="shared" si="38"/>
        <v>0</v>
      </c>
      <c r="AH108" s="361">
        <f t="shared" si="38"/>
        <v>0</v>
      </c>
      <c r="AI108" s="361">
        <f t="shared" si="38"/>
        <v>0</v>
      </c>
      <c r="AJ108" s="361">
        <f t="shared" si="38"/>
        <v>0</v>
      </c>
      <c r="AK108" s="361">
        <f t="shared" si="38"/>
        <v>0</v>
      </c>
      <c r="AL108" s="361">
        <f t="shared" si="38"/>
        <v>0</v>
      </c>
      <c r="AM108" s="361">
        <f t="shared" si="38"/>
        <v>0</v>
      </c>
      <c r="AN108" s="361">
        <f t="shared" si="38"/>
        <v>0</v>
      </c>
      <c r="AO108" s="361">
        <f t="shared" si="38"/>
        <v>0</v>
      </c>
      <c r="AP108" s="361">
        <f t="shared" si="38"/>
        <v>0</v>
      </c>
      <c r="AT108" s="240"/>
      <c r="AU108" s="240"/>
      <c r="AV108" s="240"/>
      <c r="AW108" s="240"/>
      <c r="AX108" s="240"/>
      <c r="AY108" s="240"/>
      <c r="AZ108" s="240"/>
      <c r="BA108" s="240"/>
      <c r="BB108" s="240"/>
      <c r="BC108" s="240"/>
      <c r="BD108" s="240"/>
      <c r="BE108" s="240"/>
      <c r="BF108" s="240"/>
      <c r="BG108" s="240"/>
    </row>
    <row r="109" spans="1:71" ht="12.75" x14ac:dyDescent="0.2">
      <c r="A109" s="360" t="s">
        <v>551</v>
      </c>
      <c r="B109" s="359"/>
      <c r="C109" s="359">
        <f>B109+$I$120*C113</f>
        <v>0</v>
      </c>
      <c r="D109" s="359">
        <f>C109+$I$120*D113</f>
        <v>0</v>
      </c>
      <c r="E109" s="359">
        <f t="shared" ref="E109:AP109" si="39">D109+$I$120*E113</f>
        <v>0</v>
      </c>
      <c r="F109" s="359">
        <f t="shared" si="39"/>
        <v>0</v>
      </c>
      <c r="G109" s="359">
        <f t="shared" si="39"/>
        <v>0</v>
      </c>
      <c r="H109" s="359">
        <f t="shared" si="39"/>
        <v>0</v>
      </c>
      <c r="I109" s="359">
        <f t="shared" si="39"/>
        <v>0</v>
      </c>
      <c r="J109" s="359">
        <f t="shared" si="39"/>
        <v>0</v>
      </c>
      <c r="K109" s="359">
        <f t="shared" si="39"/>
        <v>0</v>
      </c>
      <c r="L109" s="359">
        <f t="shared" si="39"/>
        <v>0</v>
      </c>
      <c r="M109" s="359">
        <f t="shared" si="39"/>
        <v>0</v>
      </c>
      <c r="N109" s="359">
        <f t="shared" si="39"/>
        <v>0</v>
      </c>
      <c r="O109" s="359">
        <f t="shared" si="39"/>
        <v>0</v>
      </c>
      <c r="P109" s="359">
        <f t="shared" si="39"/>
        <v>0</v>
      </c>
      <c r="Q109" s="359">
        <f t="shared" si="39"/>
        <v>0</v>
      </c>
      <c r="R109" s="359">
        <f t="shared" si="39"/>
        <v>0</v>
      </c>
      <c r="S109" s="359">
        <f t="shared" si="39"/>
        <v>0</v>
      </c>
      <c r="T109" s="359">
        <f t="shared" si="39"/>
        <v>0</v>
      </c>
      <c r="U109" s="359">
        <f t="shared" si="39"/>
        <v>0</v>
      </c>
      <c r="V109" s="359">
        <f t="shared" si="39"/>
        <v>0</v>
      </c>
      <c r="W109" s="359">
        <f t="shared" si="39"/>
        <v>0</v>
      </c>
      <c r="X109" s="359">
        <f t="shared" si="39"/>
        <v>0</v>
      </c>
      <c r="Y109" s="359">
        <f t="shared" si="39"/>
        <v>0</v>
      </c>
      <c r="Z109" s="359">
        <f t="shared" si="39"/>
        <v>0</v>
      </c>
      <c r="AA109" s="359">
        <f t="shared" si="39"/>
        <v>0</v>
      </c>
      <c r="AB109" s="359">
        <f t="shared" si="39"/>
        <v>0</v>
      </c>
      <c r="AC109" s="359">
        <f t="shared" si="39"/>
        <v>0</v>
      </c>
      <c r="AD109" s="359">
        <f t="shared" si="39"/>
        <v>0</v>
      </c>
      <c r="AE109" s="359">
        <f t="shared" si="39"/>
        <v>0</v>
      </c>
      <c r="AF109" s="359">
        <f t="shared" si="39"/>
        <v>0</v>
      </c>
      <c r="AG109" s="359">
        <f t="shared" si="39"/>
        <v>0</v>
      </c>
      <c r="AH109" s="359">
        <f t="shared" si="39"/>
        <v>0</v>
      </c>
      <c r="AI109" s="359">
        <f t="shared" si="39"/>
        <v>0</v>
      </c>
      <c r="AJ109" s="359">
        <f t="shared" si="39"/>
        <v>0</v>
      </c>
      <c r="AK109" s="359">
        <f t="shared" si="39"/>
        <v>0</v>
      </c>
      <c r="AL109" s="359">
        <f t="shared" si="39"/>
        <v>0</v>
      </c>
      <c r="AM109" s="359">
        <f t="shared" si="39"/>
        <v>0</v>
      </c>
      <c r="AN109" s="359">
        <f t="shared" si="39"/>
        <v>0</v>
      </c>
      <c r="AO109" s="359">
        <f t="shared" si="39"/>
        <v>0</v>
      </c>
      <c r="AP109" s="359">
        <f t="shared" si="39"/>
        <v>0</v>
      </c>
      <c r="AT109" s="240"/>
      <c r="AU109" s="240"/>
      <c r="AV109" s="240"/>
      <c r="AW109" s="240"/>
      <c r="AX109" s="240"/>
      <c r="AY109" s="240"/>
      <c r="AZ109" s="240"/>
      <c r="BA109" s="240"/>
      <c r="BB109" s="240"/>
      <c r="BC109" s="240"/>
      <c r="BD109" s="240"/>
      <c r="BE109" s="240"/>
      <c r="BF109" s="240"/>
      <c r="BG109" s="240"/>
    </row>
    <row r="110" spans="1:71" ht="12.75" x14ac:dyDescent="0.2">
      <c r="A110" s="360" t="s">
        <v>552</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240"/>
      <c r="AU110" s="240"/>
      <c r="AV110" s="240"/>
      <c r="AW110" s="240"/>
      <c r="AX110" s="240"/>
      <c r="AY110" s="240"/>
      <c r="AZ110" s="240"/>
      <c r="BA110" s="240"/>
      <c r="BB110" s="240"/>
      <c r="BC110" s="240"/>
      <c r="BD110" s="240"/>
      <c r="BE110" s="240"/>
      <c r="BF110" s="240"/>
      <c r="BG110" s="240"/>
    </row>
    <row r="111" spans="1:71" ht="12.75" x14ac:dyDescent="0.2">
      <c r="A111" s="360" t="s">
        <v>553</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240"/>
      <c r="AU111" s="240"/>
      <c r="AV111" s="240"/>
      <c r="AW111" s="240"/>
      <c r="AX111" s="240"/>
      <c r="AY111" s="240"/>
      <c r="AZ111" s="240"/>
      <c r="BA111" s="240"/>
      <c r="BB111" s="240"/>
      <c r="BC111" s="240"/>
      <c r="BD111" s="240"/>
      <c r="BE111" s="240"/>
      <c r="BF111" s="240"/>
      <c r="BG111" s="240"/>
    </row>
    <row r="112" spans="1:71" ht="12.75" x14ac:dyDescent="0.2">
      <c r="A112" s="360" t="s">
        <v>554</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240"/>
      <c r="AU112" s="240"/>
      <c r="AV112" s="240"/>
      <c r="AW112" s="240"/>
      <c r="AX112" s="240"/>
      <c r="AY112" s="240"/>
      <c r="AZ112" s="240"/>
      <c r="BA112" s="240"/>
      <c r="BB112" s="240"/>
      <c r="BC112" s="240"/>
      <c r="BD112" s="240"/>
      <c r="BE112" s="240"/>
      <c r="BF112" s="240"/>
      <c r="BG112" s="240"/>
    </row>
    <row r="113" spans="1:71" ht="15" x14ac:dyDescent="0.2">
      <c r="A113" s="363" t="s">
        <v>555</v>
      </c>
      <c r="B113" s="364">
        <v>0</v>
      </c>
      <c r="C113" s="365">
        <v>0.33</v>
      </c>
      <c r="D113" s="365">
        <v>0.33</v>
      </c>
      <c r="E113" s="365">
        <v>0.34</v>
      </c>
      <c r="F113" s="364">
        <v>0</v>
      </c>
      <c r="G113" s="364">
        <v>0</v>
      </c>
      <c r="H113" s="364">
        <v>0</v>
      </c>
      <c r="I113" s="364">
        <v>0</v>
      </c>
      <c r="J113" s="364">
        <v>0</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7"/>
      <c r="B116" s="483" t="s">
        <v>556</v>
      </c>
      <c r="C116" s="484"/>
      <c r="D116" s="483" t="s">
        <v>557</v>
      </c>
      <c r="E116" s="484"/>
      <c r="F116" s="357"/>
      <c r="G116" s="357"/>
      <c r="H116" s="357"/>
      <c r="I116" s="357"/>
      <c r="J116" s="357"/>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0" t="s">
        <v>558</v>
      </c>
      <c r="B117" s="366"/>
      <c r="C117" s="357" t="s">
        <v>559</v>
      </c>
      <c r="D117" s="366"/>
      <c r="E117" s="357" t="s">
        <v>559</v>
      </c>
      <c r="F117" s="357"/>
      <c r="G117" s="357"/>
      <c r="H117" s="357"/>
      <c r="I117" s="357"/>
      <c r="J117" s="357"/>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0" t="s">
        <v>558</v>
      </c>
      <c r="B118" s="357">
        <f>$B$110*B117</f>
        <v>0</v>
      </c>
      <c r="C118" s="357" t="s">
        <v>126</v>
      </c>
      <c r="D118" s="357">
        <f>$B$110*D117</f>
        <v>0</v>
      </c>
      <c r="E118" s="357" t="s">
        <v>126</v>
      </c>
      <c r="F118" s="360" t="s">
        <v>560</v>
      </c>
      <c r="G118" s="357">
        <f>D117-B117</f>
        <v>0</v>
      </c>
      <c r="H118" s="357" t="s">
        <v>559</v>
      </c>
      <c r="I118" s="367">
        <f>$B$110*G118</f>
        <v>0</v>
      </c>
      <c r="J118" s="357"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7"/>
      <c r="B119" s="357"/>
      <c r="C119" s="357"/>
      <c r="D119" s="357"/>
      <c r="E119" s="357"/>
      <c r="F119" s="360" t="s">
        <v>561</v>
      </c>
      <c r="G119" s="357">
        <f>I119/$B$110</f>
        <v>0</v>
      </c>
      <c r="H119" s="357" t="s">
        <v>559</v>
      </c>
      <c r="I119" s="366"/>
      <c r="J119" s="357"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8"/>
      <c r="B120" s="369"/>
      <c r="C120" s="369"/>
      <c r="D120" s="369"/>
      <c r="E120" s="369"/>
      <c r="F120" s="370" t="s">
        <v>562</v>
      </c>
      <c r="G120" s="367">
        <f>G118</f>
        <v>0</v>
      </c>
      <c r="H120" s="357" t="s">
        <v>559</v>
      </c>
      <c r="I120" s="362">
        <f>I118</f>
        <v>0</v>
      </c>
      <c r="J120" s="357"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1" t="s">
        <v>563</v>
      </c>
      <c r="B122" s="372">
        <v>6.8650000000000003E-2</v>
      </c>
      <c r="C122" s="245"/>
      <c r="D122" s="475" t="s">
        <v>340</v>
      </c>
      <c r="E122" s="321" t="s">
        <v>641</v>
      </c>
      <c r="F122" s="322">
        <v>35</v>
      </c>
      <c r="G122" s="476" t="s">
        <v>642</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1" t="s">
        <v>340</v>
      </c>
      <c r="B123" s="373">
        <v>35</v>
      </c>
      <c r="C123" s="245"/>
      <c r="D123" s="475"/>
      <c r="E123" s="321" t="s">
        <v>638</v>
      </c>
      <c r="F123" s="322">
        <v>30</v>
      </c>
      <c r="G123" s="476"/>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1" t="s">
        <v>564</v>
      </c>
      <c r="B124" s="373" t="s">
        <v>532</v>
      </c>
      <c r="C124" s="248" t="s">
        <v>565</v>
      </c>
      <c r="D124" s="475"/>
      <c r="E124" s="321" t="s">
        <v>643</v>
      </c>
      <c r="F124" s="322">
        <v>30</v>
      </c>
      <c r="G124" s="476"/>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3"/>
      <c r="B125" s="324"/>
      <c r="C125" s="249"/>
      <c r="D125" s="475"/>
      <c r="E125" s="321" t="s">
        <v>644</v>
      </c>
      <c r="F125" s="322">
        <v>30</v>
      </c>
      <c r="G125" s="476"/>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1" t="s">
        <v>566</v>
      </c>
      <c r="B126" s="374">
        <f>$B$122*1000*1000</f>
        <v>68650</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1" t="s">
        <v>567</v>
      </c>
      <c r="B127" s="375">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1" t="s">
        <v>568</v>
      </c>
      <c r="B129" s="376">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5"/>
      <c r="B130" s="326"/>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8" t="s">
        <v>645</v>
      </c>
      <c r="B131" s="379">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1" t="s">
        <v>569</v>
      </c>
      <c r="C134" s="250" t="s">
        <v>646</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1"/>
      <c r="B135" s="377">
        <v>2016</v>
      </c>
      <c r="C135" s="377">
        <f>B135+1</f>
        <v>2017</v>
      </c>
      <c r="D135" s="377">
        <f t="shared" ref="D135:AY135" si="40">C135+1</f>
        <v>2018</v>
      </c>
      <c r="E135" s="377">
        <f t="shared" si="40"/>
        <v>2019</v>
      </c>
      <c r="F135" s="377">
        <f t="shared" si="40"/>
        <v>2020</v>
      </c>
      <c r="G135" s="377">
        <f t="shared" si="40"/>
        <v>2021</v>
      </c>
      <c r="H135" s="377">
        <f t="shared" si="40"/>
        <v>2022</v>
      </c>
      <c r="I135" s="377">
        <f t="shared" si="40"/>
        <v>2023</v>
      </c>
      <c r="J135" s="377">
        <f t="shared" si="40"/>
        <v>2024</v>
      </c>
      <c r="K135" s="377">
        <f t="shared" si="40"/>
        <v>2025</v>
      </c>
      <c r="L135" s="377">
        <f t="shared" si="40"/>
        <v>2026</v>
      </c>
      <c r="M135" s="377">
        <f t="shared" si="40"/>
        <v>2027</v>
      </c>
      <c r="N135" s="377">
        <f t="shared" si="40"/>
        <v>2028</v>
      </c>
      <c r="O135" s="377">
        <f t="shared" si="40"/>
        <v>2029</v>
      </c>
      <c r="P135" s="377">
        <f t="shared" si="40"/>
        <v>2030</v>
      </c>
      <c r="Q135" s="377">
        <f t="shared" si="40"/>
        <v>2031</v>
      </c>
      <c r="R135" s="377">
        <f t="shared" si="40"/>
        <v>2032</v>
      </c>
      <c r="S135" s="377">
        <f t="shared" si="40"/>
        <v>2033</v>
      </c>
      <c r="T135" s="377">
        <f t="shared" si="40"/>
        <v>2034</v>
      </c>
      <c r="U135" s="377">
        <f t="shared" si="40"/>
        <v>2035</v>
      </c>
      <c r="V135" s="377">
        <f t="shared" si="40"/>
        <v>2036</v>
      </c>
      <c r="W135" s="377">
        <f t="shared" si="40"/>
        <v>2037</v>
      </c>
      <c r="X135" s="377">
        <f t="shared" si="40"/>
        <v>2038</v>
      </c>
      <c r="Y135" s="377">
        <f t="shared" si="40"/>
        <v>2039</v>
      </c>
      <c r="Z135" s="377">
        <f t="shared" si="40"/>
        <v>2040</v>
      </c>
      <c r="AA135" s="377">
        <f t="shared" si="40"/>
        <v>2041</v>
      </c>
      <c r="AB135" s="377">
        <f t="shared" si="40"/>
        <v>2042</v>
      </c>
      <c r="AC135" s="377">
        <f t="shared" si="40"/>
        <v>2043</v>
      </c>
      <c r="AD135" s="377">
        <f t="shared" si="40"/>
        <v>2044</v>
      </c>
      <c r="AE135" s="377">
        <f t="shared" si="40"/>
        <v>2045</v>
      </c>
      <c r="AF135" s="377">
        <f t="shared" si="40"/>
        <v>2046</v>
      </c>
      <c r="AG135" s="377">
        <f t="shared" si="40"/>
        <v>2047</v>
      </c>
      <c r="AH135" s="377">
        <f t="shared" si="40"/>
        <v>2048</v>
      </c>
      <c r="AI135" s="377">
        <f t="shared" si="40"/>
        <v>2049</v>
      </c>
      <c r="AJ135" s="377">
        <f t="shared" si="40"/>
        <v>2050</v>
      </c>
      <c r="AK135" s="377">
        <f t="shared" si="40"/>
        <v>2051</v>
      </c>
      <c r="AL135" s="377">
        <f t="shared" si="40"/>
        <v>2052</v>
      </c>
      <c r="AM135" s="377">
        <f t="shared" si="40"/>
        <v>2053</v>
      </c>
      <c r="AN135" s="377">
        <f t="shared" si="40"/>
        <v>2054</v>
      </c>
      <c r="AO135" s="377">
        <f t="shared" si="40"/>
        <v>2055</v>
      </c>
      <c r="AP135" s="377">
        <f t="shared" si="40"/>
        <v>2056</v>
      </c>
      <c r="AQ135" s="377">
        <f t="shared" si="40"/>
        <v>2057</v>
      </c>
      <c r="AR135" s="377">
        <f t="shared" si="40"/>
        <v>2058</v>
      </c>
      <c r="AS135" s="377">
        <f t="shared" si="40"/>
        <v>2059</v>
      </c>
      <c r="AT135" s="377">
        <f t="shared" si="40"/>
        <v>2060</v>
      </c>
      <c r="AU135" s="377">
        <f t="shared" si="40"/>
        <v>2061</v>
      </c>
      <c r="AV135" s="377">
        <f t="shared" si="40"/>
        <v>2062</v>
      </c>
      <c r="AW135" s="377">
        <f t="shared" si="40"/>
        <v>2063</v>
      </c>
      <c r="AX135" s="377">
        <f t="shared" si="40"/>
        <v>2064</v>
      </c>
      <c r="AY135" s="377">
        <f t="shared" si="40"/>
        <v>2065</v>
      </c>
    </row>
    <row r="136" spans="1:71" ht="12.75" x14ac:dyDescent="0.2">
      <c r="A136" s="371" t="s">
        <v>570</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204" customFormat="1" ht="15" x14ac:dyDescent="0.2">
      <c r="A137" s="371" t="s">
        <v>571</v>
      </c>
      <c r="B137" s="327"/>
      <c r="C137" s="382">
        <f>(1+B137)*(1+C136)-1</f>
        <v>0</v>
      </c>
      <c r="D137" s="382">
        <f>(1+C137)*(1+D136)-1</f>
        <v>4.6000000000000041E-2</v>
      </c>
      <c r="E137" s="382">
        <f>(1+D137)*(1+E136)-1</f>
        <v>9.2024000000000106E-2</v>
      </c>
      <c r="F137" s="382">
        <f t="shared" ref="F137:AY137" si="42">(1+E137)*(1+F136)-1</f>
        <v>0.13788900800000015</v>
      </c>
      <c r="G137" s="382">
        <f>(1+F137)*(1+G136)-1</f>
        <v>0.18568034633600017</v>
      </c>
      <c r="H137" s="382">
        <f t="shared" si="42"/>
        <v>0.2354789208821122</v>
      </c>
      <c r="I137" s="382">
        <f t="shared" si="42"/>
        <v>0.28736903555916093</v>
      </c>
      <c r="J137" s="382">
        <f t="shared" si="42"/>
        <v>0.34143853505264565</v>
      </c>
      <c r="K137" s="382">
        <f t="shared" si="42"/>
        <v>0.39777895352485682</v>
      </c>
      <c r="L137" s="382">
        <f t="shared" si="42"/>
        <v>0.45648566957290093</v>
      </c>
      <c r="M137" s="382">
        <f t="shared" si="42"/>
        <v>0.51765806769496292</v>
      </c>
      <c r="N137" s="382">
        <f t="shared" si="42"/>
        <v>0.58139970653815132</v>
      </c>
      <c r="O137" s="382">
        <f t="shared" si="42"/>
        <v>0.64781849421275384</v>
      </c>
      <c r="P137" s="382">
        <f t="shared" si="42"/>
        <v>0.71702687096968964</v>
      </c>
      <c r="Q137" s="382">
        <f t="shared" si="42"/>
        <v>0.78914199955041675</v>
      </c>
      <c r="R137" s="382">
        <f t="shared" si="42"/>
        <v>0.86428596353153431</v>
      </c>
      <c r="S137" s="382">
        <f t="shared" si="42"/>
        <v>0.94258597399985877</v>
      </c>
      <c r="T137" s="382">
        <f t="shared" si="42"/>
        <v>1.0241745849078527</v>
      </c>
      <c r="U137" s="382">
        <f t="shared" si="42"/>
        <v>1.1091899174739828</v>
      </c>
      <c r="V137" s="382">
        <f t="shared" si="42"/>
        <v>1.19777589400789</v>
      </c>
      <c r="W137" s="382">
        <f t="shared" si="42"/>
        <v>1.2900824815562215</v>
      </c>
      <c r="X137" s="382">
        <f t="shared" si="42"/>
        <v>1.3862659457815827</v>
      </c>
      <c r="Y137" s="382">
        <f t="shared" si="42"/>
        <v>1.4864891155044093</v>
      </c>
      <c r="Z137" s="382">
        <f t="shared" si="42"/>
        <v>1.5909216583555947</v>
      </c>
      <c r="AA137" s="382">
        <f t="shared" si="42"/>
        <v>1.6997403680065299</v>
      </c>
      <c r="AB137" s="382">
        <f t="shared" si="42"/>
        <v>1.8131294634628041</v>
      </c>
      <c r="AC137" s="382">
        <f t="shared" si="42"/>
        <v>1.9312809009282419</v>
      </c>
      <c r="AD137" s="382">
        <f t="shared" si="42"/>
        <v>2.0543946987672284</v>
      </c>
      <c r="AE137" s="382">
        <f t="shared" si="42"/>
        <v>2.1826792761154521</v>
      </c>
      <c r="AF137" s="382">
        <f t="shared" si="42"/>
        <v>2.3163518057123014</v>
      </c>
      <c r="AG137" s="382">
        <f t="shared" si="42"/>
        <v>2.4556385815522184</v>
      </c>
      <c r="AH137" s="382">
        <f t="shared" si="42"/>
        <v>2.6007754019774119</v>
      </c>
      <c r="AI137" s="382">
        <f t="shared" si="42"/>
        <v>2.7520079688604633</v>
      </c>
      <c r="AJ137" s="382">
        <f t="shared" si="42"/>
        <v>2.909592303552603</v>
      </c>
      <c r="AK137" s="382">
        <f t="shared" si="42"/>
        <v>3.0737951803018122</v>
      </c>
      <c r="AL137" s="382">
        <f t="shared" si="42"/>
        <v>3.2448945778744882</v>
      </c>
      <c r="AM137" s="382">
        <f t="shared" si="42"/>
        <v>3.4231801501452166</v>
      </c>
      <c r="AN137" s="382">
        <f t="shared" si="42"/>
        <v>3.6089537164513157</v>
      </c>
      <c r="AO137" s="382">
        <f t="shared" si="42"/>
        <v>3.8025297725422709</v>
      </c>
      <c r="AP137" s="382">
        <f t="shared" si="42"/>
        <v>4.0042360229890468</v>
      </c>
      <c r="AQ137" s="382">
        <f t="shared" si="42"/>
        <v>4.2144139359545871</v>
      </c>
      <c r="AR137" s="382">
        <f t="shared" si="42"/>
        <v>4.4334193212646804</v>
      </c>
      <c r="AS137" s="382">
        <f t="shared" si="42"/>
        <v>4.6616229327577976</v>
      </c>
      <c r="AT137" s="382">
        <f t="shared" si="42"/>
        <v>4.8994110959336252</v>
      </c>
      <c r="AU137" s="382">
        <f t="shared" si="42"/>
        <v>5.147186361962838</v>
      </c>
      <c r="AV137" s="382">
        <f t="shared" si="42"/>
        <v>5.4053681891652774</v>
      </c>
      <c r="AW137" s="382">
        <f>(1+AV137)*(1+AW136)-1</f>
        <v>5.6743936531102195</v>
      </c>
      <c r="AX137" s="382">
        <f t="shared" si="42"/>
        <v>5.9547181865408492</v>
      </c>
      <c r="AY137" s="382">
        <f t="shared" si="42"/>
        <v>6.2468163503755649</v>
      </c>
    </row>
    <row r="138" spans="1:71" s="204" customFormat="1" x14ac:dyDescent="0.2">
      <c r="A138" s="252"/>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70"/>
    </row>
    <row r="139" spans="1:71" ht="12.75" x14ac:dyDescent="0.2">
      <c r="A139" s="247"/>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3">
        <v>0</v>
      </c>
      <c r="C140" s="383">
        <v>0</v>
      </c>
      <c r="D140" s="383">
        <v>1</v>
      </c>
      <c r="E140" s="383">
        <f>D140+1</f>
        <v>2</v>
      </c>
      <c r="F140" s="383">
        <f t="shared" si="43"/>
        <v>3</v>
      </c>
      <c r="G140" s="383">
        <f t="shared" si="43"/>
        <v>4</v>
      </c>
      <c r="H140" s="383">
        <f t="shared" si="43"/>
        <v>5</v>
      </c>
      <c r="I140" s="383">
        <f t="shared" si="43"/>
        <v>6</v>
      </c>
      <c r="J140" s="383">
        <f t="shared" si="43"/>
        <v>7</v>
      </c>
      <c r="K140" s="383">
        <f t="shared" si="43"/>
        <v>8</v>
      </c>
      <c r="L140" s="383">
        <f t="shared" si="43"/>
        <v>9</v>
      </c>
      <c r="M140" s="383">
        <f t="shared" si="43"/>
        <v>10</v>
      </c>
      <c r="N140" s="383">
        <f t="shared" si="43"/>
        <v>11</v>
      </c>
      <c r="O140" s="383">
        <f t="shared" si="43"/>
        <v>12</v>
      </c>
      <c r="P140" s="383">
        <f t="shared" si="43"/>
        <v>13</v>
      </c>
      <c r="Q140" s="383">
        <f t="shared" si="43"/>
        <v>14</v>
      </c>
      <c r="R140" s="383">
        <f t="shared" si="43"/>
        <v>15</v>
      </c>
      <c r="S140" s="383">
        <f t="shared" si="43"/>
        <v>16</v>
      </c>
      <c r="T140" s="383">
        <f t="shared" si="44"/>
        <v>17</v>
      </c>
      <c r="U140" s="383">
        <f t="shared" si="44"/>
        <v>18</v>
      </c>
      <c r="V140" s="383">
        <f t="shared" si="44"/>
        <v>19</v>
      </c>
      <c r="W140" s="383">
        <f t="shared" si="44"/>
        <v>20</v>
      </c>
      <c r="X140" s="383">
        <f t="shared" si="44"/>
        <v>21</v>
      </c>
      <c r="Y140" s="383">
        <f t="shared" si="44"/>
        <v>22</v>
      </c>
      <c r="Z140" s="383">
        <f t="shared" si="44"/>
        <v>23</v>
      </c>
      <c r="AA140" s="383">
        <f t="shared" si="44"/>
        <v>24</v>
      </c>
      <c r="AB140" s="383">
        <f t="shared" si="44"/>
        <v>25</v>
      </c>
      <c r="AC140" s="383">
        <f t="shared" si="44"/>
        <v>26</v>
      </c>
      <c r="AD140" s="383">
        <f t="shared" si="44"/>
        <v>27</v>
      </c>
      <c r="AE140" s="383">
        <f t="shared" si="44"/>
        <v>28</v>
      </c>
      <c r="AF140" s="383">
        <f t="shared" si="44"/>
        <v>29</v>
      </c>
      <c r="AG140" s="383">
        <f t="shared" si="44"/>
        <v>30</v>
      </c>
      <c r="AH140" s="383">
        <f t="shared" si="44"/>
        <v>31</v>
      </c>
      <c r="AI140" s="383">
        <f t="shared" si="44"/>
        <v>32</v>
      </c>
      <c r="AJ140" s="383">
        <f t="shared" si="45"/>
        <v>33</v>
      </c>
      <c r="AK140" s="383">
        <f t="shared" si="45"/>
        <v>34</v>
      </c>
      <c r="AL140" s="383">
        <f t="shared" si="45"/>
        <v>35</v>
      </c>
      <c r="AM140" s="383">
        <f t="shared" si="45"/>
        <v>36</v>
      </c>
      <c r="AN140" s="383">
        <f t="shared" si="45"/>
        <v>37</v>
      </c>
      <c r="AO140" s="383">
        <f t="shared" si="45"/>
        <v>38</v>
      </c>
      <c r="AP140" s="383">
        <f>AO140+1</f>
        <v>39</v>
      </c>
      <c r="AQ140" s="383">
        <f t="shared" si="45"/>
        <v>40</v>
      </c>
      <c r="AR140" s="383">
        <f t="shared" si="45"/>
        <v>41</v>
      </c>
      <c r="AS140" s="383">
        <f t="shared" si="45"/>
        <v>42</v>
      </c>
      <c r="AT140" s="383">
        <f t="shared" si="45"/>
        <v>43</v>
      </c>
      <c r="AU140" s="383">
        <f t="shared" si="45"/>
        <v>44</v>
      </c>
      <c r="AV140" s="383">
        <f t="shared" si="45"/>
        <v>45</v>
      </c>
      <c r="AW140" s="383">
        <f t="shared" si="45"/>
        <v>46</v>
      </c>
      <c r="AX140" s="383">
        <f t="shared" si="45"/>
        <v>47</v>
      </c>
      <c r="AY140" s="383">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4">
        <f>AVERAGE(A140:B140)</f>
        <v>0</v>
      </c>
      <c r="C141" s="384">
        <f>AVERAGE(B140:C140)</f>
        <v>0</v>
      </c>
      <c r="D141" s="384">
        <f>AVERAGE(C140:D140)</f>
        <v>0.5</v>
      </c>
      <c r="E141" s="384">
        <f>AVERAGE(D140:E140)</f>
        <v>1.5</v>
      </c>
      <c r="F141" s="384">
        <f t="shared" ref="F141:AO141" si="46">AVERAGE(E140:F140)</f>
        <v>2.5</v>
      </c>
      <c r="G141" s="384">
        <f t="shared" si="46"/>
        <v>3.5</v>
      </c>
      <c r="H141" s="384">
        <f t="shared" si="46"/>
        <v>4.5</v>
      </c>
      <c r="I141" s="384">
        <f t="shared" si="46"/>
        <v>5.5</v>
      </c>
      <c r="J141" s="384">
        <f t="shared" si="46"/>
        <v>6.5</v>
      </c>
      <c r="K141" s="384">
        <f t="shared" si="46"/>
        <v>7.5</v>
      </c>
      <c r="L141" s="384">
        <f t="shared" si="46"/>
        <v>8.5</v>
      </c>
      <c r="M141" s="384">
        <f t="shared" si="46"/>
        <v>9.5</v>
      </c>
      <c r="N141" s="384">
        <f t="shared" si="46"/>
        <v>10.5</v>
      </c>
      <c r="O141" s="384">
        <f t="shared" si="46"/>
        <v>11.5</v>
      </c>
      <c r="P141" s="384">
        <f t="shared" si="46"/>
        <v>12.5</v>
      </c>
      <c r="Q141" s="384">
        <f t="shared" si="46"/>
        <v>13.5</v>
      </c>
      <c r="R141" s="384">
        <f t="shared" si="46"/>
        <v>14.5</v>
      </c>
      <c r="S141" s="384">
        <f t="shared" si="46"/>
        <v>15.5</v>
      </c>
      <c r="T141" s="384">
        <f t="shared" si="46"/>
        <v>16.5</v>
      </c>
      <c r="U141" s="384">
        <f t="shared" si="46"/>
        <v>17.5</v>
      </c>
      <c r="V141" s="384">
        <f t="shared" si="46"/>
        <v>18.5</v>
      </c>
      <c r="W141" s="384">
        <f t="shared" si="46"/>
        <v>19.5</v>
      </c>
      <c r="X141" s="384">
        <f t="shared" si="46"/>
        <v>20.5</v>
      </c>
      <c r="Y141" s="384">
        <f t="shared" si="46"/>
        <v>21.5</v>
      </c>
      <c r="Z141" s="384">
        <f t="shared" si="46"/>
        <v>22.5</v>
      </c>
      <c r="AA141" s="384">
        <f t="shared" si="46"/>
        <v>23.5</v>
      </c>
      <c r="AB141" s="384">
        <f t="shared" si="46"/>
        <v>24.5</v>
      </c>
      <c r="AC141" s="384">
        <f t="shared" si="46"/>
        <v>25.5</v>
      </c>
      <c r="AD141" s="384">
        <f t="shared" si="46"/>
        <v>26.5</v>
      </c>
      <c r="AE141" s="384">
        <f t="shared" si="46"/>
        <v>27.5</v>
      </c>
      <c r="AF141" s="384">
        <f t="shared" si="46"/>
        <v>28.5</v>
      </c>
      <c r="AG141" s="384">
        <f t="shared" si="46"/>
        <v>29.5</v>
      </c>
      <c r="AH141" s="384">
        <f t="shared" si="46"/>
        <v>30.5</v>
      </c>
      <c r="AI141" s="384">
        <f t="shared" si="46"/>
        <v>31.5</v>
      </c>
      <c r="AJ141" s="384">
        <f t="shared" si="46"/>
        <v>32.5</v>
      </c>
      <c r="AK141" s="384">
        <f t="shared" si="46"/>
        <v>33.5</v>
      </c>
      <c r="AL141" s="384">
        <f t="shared" si="46"/>
        <v>34.5</v>
      </c>
      <c r="AM141" s="384">
        <f t="shared" si="46"/>
        <v>35.5</v>
      </c>
      <c r="AN141" s="384">
        <f t="shared" si="46"/>
        <v>36.5</v>
      </c>
      <c r="AO141" s="384">
        <f t="shared" si="46"/>
        <v>37.5</v>
      </c>
      <c r="AP141" s="384">
        <f>AVERAGE(AO140:AP140)</f>
        <v>38.5</v>
      </c>
      <c r="AQ141" s="384">
        <f t="shared" ref="AQ141:AY141" si="47">AVERAGE(AP140:AQ140)</f>
        <v>39.5</v>
      </c>
      <c r="AR141" s="384">
        <f t="shared" si="47"/>
        <v>40.5</v>
      </c>
      <c r="AS141" s="384">
        <f t="shared" si="47"/>
        <v>41.5</v>
      </c>
      <c r="AT141" s="384">
        <f t="shared" si="47"/>
        <v>42.5</v>
      </c>
      <c r="AU141" s="384">
        <f t="shared" si="47"/>
        <v>43.5</v>
      </c>
      <c r="AV141" s="384">
        <f t="shared" si="47"/>
        <v>44.5</v>
      </c>
      <c r="AW141" s="384">
        <f t="shared" si="47"/>
        <v>45.5</v>
      </c>
      <c r="AX141" s="384">
        <f t="shared" si="47"/>
        <v>46.5</v>
      </c>
      <c r="AY141" s="384">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60" workbookViewId="0">
      <selection activeCell="I44" sqref="I44:J44"/>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4" t="str">
        <f>'2. паспорт  ТП'!A4:S4</f>
        <v>Год раскрытия информации: 2023 год</v>
      </c>
      <c r="B5" s="414"/>
      <c r="C5" s="414"/>
      <c r="D5" s="414"/>
      <c r="E5" s="414"/>
      <c r="F5" s="414"/>
      <c r="G5" s="414"/>
      <c r="H5" s="414"/>
      <c r="I5" s="414"/>
      <c r="J5" s="414"/>
      <c r="K5" s="414"/>
      <c r="L5" s="414"/>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27" t="s">
        <v>7</v>
      </c>
      <c r="B7" s="427"/>
      <c r="C7" s="427"/>
      <c r="D7" s="427"/>
      <c r="E7" s="427"/>
      <c r="F7" s="427"/>
      <c r="G7" s="427"/>
      <c r="H7" s="427"/>
      <c r="I7" s="427"/>
      <c r="J7" s="427"/>
      <c r="K7" s="427"/>
      <c r="L7" s="427"/>
    </row>
    <row r="8" spans="1:44" ht="18.75" x14ac:dyDescent="0.25">
      <c r="A8" s="427"/>
      <c r="B8" s="427"/>
      <c r="C8" s="427"/>
      <c r="D8" s="427"/>
      <c r="E8" s="427"/>
      <c r="F8" s="427"/>
      <c r="G8" s="427"/>
      <c r="H8" s="427"/>
      <c r="I8" s="427"/>
      <c r="J8" s="427"/>
      <c r="K8" s="427"/>
      <c r="L8" s="427"/>
    </row>
    <row r="9" spans="1:44" x14ac:dyDescent="0.25">
      <c r="A9" s="421" t="str">
        <f>'1. паспорт местоположение'!A9:C9</f>
        <v>Акционерное общество "Россети Янтарь"</v>
      </c>
      <c r="B9" s="421"/>
      <c r="C9" s="421"/>
      <c r="D9" s="421"/>
      <c r="E9" s="421"/>
      <c r="F9" s="421"/>
      <c r="G9" s="421"/>
      <c r="H9" s="421"/>
      <c r="I9" s="421"/>
      <c r="J9" s="421"/>
      <c r="K9" s="421"/>
      <c r="L9" s="421"/>
    </row>
    <row r="10" spans="1:44" x14ac:dyDescent="0.25">
      <c r="A10" s="423" t="s">
        <v>6</v>
      </c>
      <c r="B10" s="423"/>
      <c r="C10" s="423"/>
      <c r="D10" s="423"/>
      <c r="E10" s="423"/>
      <c r="F10" s="423"/>
      <c r="G10" s="423"/>
      <c r="H10" s="423"/>
      <c r="I10" s="423"/>
      <c r="J10" s="423"/>
      <c r="K10" s="423"/>
      <c r="L10" s="423"/>
    </row>
    <row r="11" spans="1:44" ht="18.75" x14ac:dyDescent="0.25">
      <c r="A11" s="427"/>
      <c r="B11" s="427"/>
      <c r="C11" s="427"/>
      <c r="D11" s="427"/>
      <c r="E11" s="427"/>
      <c r="F11" s="427"/>
      <c r="G11" s="427"/>
      <c r="H11" s="427"/>
      <c r="I11" s="427"/>
      <c r="J11" s="427"/>
      <c r="K11" s="427"/>
      <c r="L11" s="427"/>
    </row>
    <row r="12" spans="1:44" x14ac:dyDescent="0.25">
      <c r="A12" s="421" t="str">
        <f>'1. паспорт местоположение'!A12:C12</f>
        <v>M_21-1785</v>
      </c>
      <c r="B12" s="421"/>
      <c r="C12" s="421"/>
      <c r="D12" s="421"/>
      <c r="E12" s="421"/>
      <c r="F12" s="421"/>
      <c r="G12" s="421"/>
      <c r="H12" s="421"/>
      <c r="I12" s="421"/>
      <c r="J12" s="421"/>
      <c r="K12" s="421"/>
      <c r="L12" s="421"/>
    </row>
    <row r="13" spans="1:44" x14ac:dyDescent="0.25">
      <c r="A13" s="423" t="s">
        <v>5</v>
      </c>
      <c r="B13" s="423"/>
      <c r="C13" s="423"/>
      <c r="D13" s="423"/>
      <c r="E13" s="423"/>
      <c r="F13" s="423"/>
      <c r="G13" s="423"/>
      <c r="H13" s="423"/>
      <c r="I13" s="423"/>
      <c r="J13" s="423"/>
      <c r="K13" s="423"/>
      <c r="L13" s="423"/>
    </row>
    <row r="14" spans="1:44" ht="18.75" x14ac:dyDescent="0.25">
      <c r="A14" s="428"/>
      <c r="B14" s="428"/>
      <c r="C14" s="428"/>
      <c r="D14" s="428"/>
      <c r="E14" s="428"/>
      <c r="F14" s="428"/>
      <c r="G14" s="428"/>
      <c r="H14" s="428"/>
      <c r="I14" s="428"/>
      <c r="J14" s="428"/>
      <c r="K14" s="428"/>
      <c r="L14" s="428"/>
    </row>
    <row r="15" spans="1:44" x14ac:dyDescent="0.25">
      <c r="A15" s="421" t="str">
        <f>'1. паспорт местоположение'!A15</f>
        <v>Переустройство ВЛ 0,4 кВ от ТП 47-04 (инв.511502706) в п. Малое Исаково, пер. Калининградский Гурьевский ГО</v>
      </c>
      <c r="B15" s="421"/>
      <c r="C15" s="421"/>
      <c r="D15" s="421"/>
      <c r="E15" s="421"/>
      <c r="F15" s="421"/>
      <c r="G15" s="421"/>
      <c r="H15" s="421"/>
      <c r="I15" s="421"/>
      <c r="J15" s="421"/>
      <c r="K15" s="421"/>
      <c r="L15" s="421"/>
    </row>
    <row r="16" spans="1:44" x14ac:dyDescent="0.25">
      <c r="A16" s="423" t="s">
        <v>4</v>
      </c>
      <c r="B16" s="423"/>
      <c r="C16" s="423"/>
      <c r="D16" s="423"/>
      <c r="E16" s="423"/>
      <c r="F16" s="423"/>
      <c r="G16" s="423"/>
      <c r="H16" s="423"/>
      <c r="I16" s="423"/>
      <c r="J16" s="423"/>
      <c r="K16" s="423"/>
      <c r="L16" s="423"/>
    </row>
    <row r="17" spans="1:12" ht="15.75" customHeight="1" x14ac:dyDescent="0.25">
      <c r="L17" s="97"/>
    </row>
    <row r="18" spans="1:12" x14ac:dyDescent="0.25">
      <c r="K18" s="96"/>
    </row>
    <row r="19" spans="1:12" ht="15.75" customHeight="1" x14ac:dyDescent="0.25">
      <c r="A19" s="485" t="s">
        <v>495</v>
      </c>
      <c r="B19" s="485"/>
      <c r="C19" s="485"/>
      <c r="D19" s="485"/>
      <c r="E19" s="485"/>
      <c r="F19" s="485"/>
      <c r="G19" s="485"/>
      <c r="H19" s="485"/>
      <c r="I19" s="485"/>
      <c r="J19" s="485"/>
      <c r="K19" s="485"/>
      <c r="L19" s="485"/>
    </row>
    <row r="20" spans="1:12" x14ac:dyDescent="0.25">
      <c r="A20" s="65"/>
      <c r="B20" s="65"/>
      <c r="C20" s="95"/>
      <c r="D20" s="95"/>
      <c r="E20" s="95"/>
      <c r="F20" s="95"/>
      <c r="G20" s="95"/>
      <c r="H20" s="95"/>
      <c r="I20" s="95"/>
      <c r="J20" s="95"/>
      <c r="K20" s="95"/>
      <c r="L20" s="95"/>
    </row>
    <row r="21" spans="1:12" ht="28.5" customHeight="1" x14ac:dyDescent="0.25">
      <c r="A21" s="486" t="s">
        <v>218</v>
      </c>
      <c r="B21" s="486" t="s">
        <v>217</v>
      </c>
      <c r="C21" s="492" t="s">
        <v>427</v>
      </c>
      <c r="D21" s="492"/>
      <c r="E21" s="492"/>
      <c r="F21" s="492"/>
      <c r="G21" s="492"/>
      <c r="H21" s="492"/>
      <c r="I21" s="487" t="s">
        <v>216</v>
      </c>
      <c r="J21" s="489" t="s">
        <v>429</v>
      </c>
      <c r="K21" s="486" t="s">
        <v>215</v>
      </c>
      <c r="L21" s="488" t="s">
        <v>428</v>
      </c>
    </row>
    <row r="22" spans="1:12" ht="58.5" customHeight="1" x14ac:dyDescent="0.25">
      <c r="A22" s="486"/>
      <c r="B22" s="486"/>
      <c r="C22" s="493" t="s">
        <v>2</v>
      </c>
      <c r="D22" s="493"/>
      <c r="E22" s="494" t="s">
        <v>636</v>
      </c>
      <c r="F22" s="495"/>
      <c r="G22" s="494" t="s">
        <v>639</v>
      </c>
      <c r="H22" s="495"/>
      <c r="I22" s="487"/>
      <c r="J22" s="490"/>
      <c r="K22" s="486"/>
      <c r="L22" s="488"/>
    </row>
    <row r="23" spans="1:12" ht="31.5" x14ac:dyDescent="0.25">
      <c r="A23" s="486"/>
      <c r="B23" s="486"/>
      <c r="C23" s="94" t="s">
        <v>214</v>
      </c>
      <c r="D23" s="94" t="s">
        <v>213</v>
      </c>
      <c r="E23" s="94" t="s">
        <v>214</v>
      </c>
      <c r="F23" s="94" t="s">
        <v>213</v>
      </c>
      <c r="G23" s="94" t="s">
        <v>214</v>
      </c>
      <c r="H23" s="94" t="s">
        <v>213</v>
      </c>
      <c r="I23" s="487"/>
      <c r="J23" s="491"/>
      <c r="K23" s="486"/>
      <c r="L23" s="488"/>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637</v>
      </c>
      <c r="D26" s="305" t="s">
        <v>637</v>
      </c>
      <c r="E26" s="305" t="s">
        <v>531</v>
      </c>
      <c r="F26" s="305" t="s">
        <v>531</v>
      </c>
      <c r="G26" s="305" t="s">
        <v>531</v>
      </c>
      <c r="H26" s="305" t="s">
        <v>531</v>
      </c>
      <c r="I26" s="305"/>
      <c r="J26" s="305"/>
      <c r="K26" s="86"/>
      <c r="L26" s="86"/>
    </row>
    <row r="27" spans="1:12" s="68" customFormat="1" ht="39" customHeight="1" x14ac:dyDescent="0.25">
      <c r="A27" s="89" t="s">
        <v>210</v>
      </c>
      <c r="B27" s="93" t="s">
        <v>436</v>
      </c>
      <c r="C27" s="87" t="s">
        <v>637</v>
      </c>
      <c r="D27" s="305" t="s">
        <v>637</v>
      </c>
      <c r="E27" s="305" t="s">
        <v>531</v>
      </c>
      <c r="F27" s="305" t="s">
        <v>531</v>
      </c>
      <c r="G27" s="305" t="s">
        <v>531</v>
      </c>
      <c r="H27" s="305" t="s">
        <v>531</v>
      </c>
      <c r="I27" s="305"/>
      <c r="J27" s="305"/>
      <c r="K27" s="86"/>
      <c r="L27" s="86"/>
    </row>
    <row r="28" spans="1:12" s="68" customFormat="1" ht="70.5" customHeight="1" x14ac:dyDescent="0.25">
      <c r="A28" s="89" t="s">
        <v>435</v>
      </c>
      <c r="B28" s="93" t="s">
        <v>440</v>
      </c>
      <c r="C28" s="87" t="s">
        <v>637</v>
      </c>
      <c r="D28" s="305" t="s">
        <v>637</v>
      </c>
      <c r="E28" s="305" t="s">
        <v>531</v>
      </c>
      <c r="F28" s="305" t="s">
        <v>531</v>
      </c>
      <c r="G28" s="305" t="s">
        <v>531</v>
      </c>
      <c r="H28" s="305" t="s">
        <v>531</v>
      </c>
      <c r="I28" s="305"/>
      <c r="J28" s="305"/>
      <c r="K28" s="86"/>
      <c r="L28" s="86"/>
    </row>
    <row r="29" spans="1:12" s="68" customFormat="1" ht="54" customHeight="1" x14ac:dyDescent="0.25">
      <c r="A29" s="89" t="s">
        <v>209</v>
      </c>
      <c r="B29" s="93" t="s">
        <v>439</v>
      </c>
      <c r="C29" s="87" t="s">
        <v>637</v>
      </c>
      <c r="D29" s="305" t="s">
        <v>637</v>
      </c>
      <c r="E29" s="305" t="s">
        <v>531</v>
      </c>
      <c r="F29" s="305" t="s">
        <v>531</v>
      </c>
      <c r="G29" s="305" t="s">
        <v>531</v>
      </c>
      <c r="H29" s="305" t="s">
        <v>531</v>
      </c>
      <c r="I29" s="305"/>
      <c r="J29" s="305"/>
      <c r="K29" s="86"/>
      <c r="L29" s="86"/>
    </row>
    <row r="30" spans="1:12" s="68" customFormat="1" ht="42" customHeight="1" x14ac:dyDescent="0.25">
      <c r="A30" s="89" t="s">
        <v>208</v>
      </c>
      <c r="B30" s="93" t="s">
        <v>441</v>
      </c>
      <c r="C30" s="87" t="s">
        <v>637</v>
      </c>
      <c r="D30" s="305" t="s">
        <v>637</v>
      </c>
      <c r="E30" s="305" t="s">
        <v>531</v>
      </c>
      <c r="F30" s="305" t="s">
        <v>531</v>
      </c>
      <c r="G30" s="305" t="s">
        <v>531</v>
      </c>
      <c r="H30" s="305" t="s">
        <v>531</v>
      </c>
      <c r="I30" s="305"/>
      <c r="J30" s="305"/>
      <c r="K30" s="86"/>
      <c r="L30" s="86"/>
    </row>
    <row r="31" spans="1:12" s="68" customFormat="1" ht="37.5" customHeight="1" x14ac:dyDescent="0.25">
      <c r="A31" s="89" t="s">
        <v>207</v>
      </c>
      <c r="B31" s="88" t="s">
        <v>437</v>
      </c>
      <c r="C31" s="87" t="s">
        <v>637</v>
      </c>
      <c r="D31" s="305" t="s">
        <v>637</v>
      </c>
      <c r="E31" s="306">
        <v>44733</v>
      </c>
      <c r="F31" s="306">
        <v>44733</v>
      </c>
      <c r="G31" s="305" t="s">
        <v>531</v>
      </c>
      <c r="H31" s="305" t="s">
        <v>531</v>
      </c>
      <c r="I31" s="305">
        <v>100</v>
      </c>
      <c r="J31" s="305"/>
      <c r="K31" s="86"/>
      <c r="L31" s="86"/>
    </row>
    <row r="32" spans="1:12" s="68" customFormat="1" ht="31.5" x14ac:dyDescent="0.25">
      <c r="A32" s="89" t="s">
        <v>205</v>
      </c>
      <c r="B32" s="88" t="s">
        <v>442</v>
      </c>
      <c r="C32" s="87" t="s">
        <v>637</v>
      </c>
      <c r="D32" s="305" t="s">
        <v>637</v>
      </c>
      <c r="E32" s="306">
        <v>44792</v>
      </c>
      <c r="F32" s="306">
        <v>44792</v>
      </c>
      <c r="G32" s="306"/>
      <c r="H32" s="306"/>
      <c r="I32" s="305">
        <v>100</v>
      </c>
      <c r="J32" s="305"/>
      <c r="K32" s="86"/>
      <c r="L32" s="86"/>
    </row>
    <row r="33" spans="1:12" s="68" customFormat="1" ht="37.5" customHeight="1" x14ac:dyDescent="0.25">
      <c r="A33" s="89" t="s">
        <v>453</v>
      </c>
      <c r="B33" s="88" t="s">
        <v>369</v>
      </c>
      <c r="C33" s="87" t="s">
        <v>637</v>
      </c>
      <c r="D33" s="305" t="s">
        <v>637</v>
      </c>
      <c r="E33" s="305" t="s">
        <v>531</v>
      </c>
      <c r="F33" s="305" t="s">
        <v>531</v>
      </c>
      <c r="G33" s="305"/>
      <c r="H33" s="305"/>
      <c r="I33" s="305"/>
      <c r="J33" s="305"/>
      <c r="K33" s="86"/>
      <c r="L33" s="86"/>
    </row>
    <row r="34" spans="1:12" s="68" customFormat="1" ht="47.25" customHeight="1" x14ac:dyDescent="0.25">
      <c r="A34" s="89" t="s">
        <v>454</v>
      </c>
      <c r="B34" s="88" t="s">
        <v>446</v>
      </c>
      <c r="C34" s="87" t="s">
        <v>637</v>
      </c>
      <c r="D34" s="305" t="s">
        <v>637</v>
      </c>
      <c r="E34" s="305" t="s">
        <v>531</v>
      </c>
      <c r="F34" s="305" t="s">
        <v>531</v>
      </c>
      <c r="G34" s="305"/>
      <c r="H34" s="305"/>
      <c r="I34" s="305"/>
      <c r="J34" s="305"/>
      <c r="K34" s="91"/>
      <c r="L34" s="86"/>
    </row>
    <row r="35" spans="1:12" s="68" customFormat="1" ht="49.5" customHeight="1" x14ac:dyDescent="0.25">
      <c r="A35" s="89" t="s">
        <v>455</v>
      </c>
      <c r="B35" s="88" t="s">
        <v>206</v>
      </c>
      <c r="C35" s="87" t="s">
        <v>637</v>
      </c>
      <c r="D35" s="305" t="s">
        <v>637</v>
      </c>
      <c r="E35" s="306"/>
      <c r="F35" s="306"/>
      <c r="G35" s="306"/>
      <c r="H35" s="306"/>
      <c r="I35" s="305"/>
      <c r="J35" s="305"/>
      <c r="K35" s="91"/>
      <c r="L35" s="86"/>
    </row>
    <row r="36" spans="1:12" ht="37.5" customHeight="1" x14ac:dyDescent="0.25">
      <c r="A36" s="89" t="s">
        <v>456</v>
      </c>
      <c r="B36" s="88" t="s">
        <v>438</v>
      </c>
      <c r="C36" s="87" t="s">
        <v>637</v>
      </c>
      <c r="D36" s="307" t="s">
        <v>637</v>
      </c>
      <c r="E36" s="305" t="s">
        <v>531</v>
      </c>
      <c r="F36" s="305" t="s">
        <v>531</v>
      </c>
      <c r="G36" s="305"/>
      <c r="H36" s="305"/>
      <c r="I36" s="305"/>
      <c r="J36" s="305"/>
      <c r="K36" s="86"/>
      <c r="L36" s="86"/>
    </row>
    <row r="37" spans="1:12" x14ac:dyDescent="0.25">
      <c r="A37" s="89" t="s">
        <v>457</v>
      </c>
      <c r="B37" s="88" t="s">
        <v>204</v>
      </c>
      <c r="C37" s="87" t="s">
        <v>637</v>
      </c>
      <c r="D37" s="307" t="s">
        <v>637</v>
      </c>
      <c r="E37" s="306">
        <v>44792</v>
      </c>
      <c r="F37" s="306">
        <v>44792</v>
      </c>
      <c r="G37" s="306"/>
      <c r="H37" s="306"/>
      <c r="I37" s="305">
        <v>100</v>
      </c>
      <c r="J37" s="305"/>
      <c r="K37" s="86"/>
      <c r="L37" s="86"/>
    </row>
    <row r="38" spans="1:12" x14ac:dyDescent="0.25">
      <c r="A38" s="89" t="s">
        <v>458</v>
      </c>
      <c r="B38" s="90" t="s">
        <v>203</v>
      </c>
      <c r="C38" s="87" t="s">
        <v>637</v>
      </c>
      <c r="D38" s="307" t="s">
        <v>637</v>
      </c>
      <c r="E38" s="307"/>
      <c r="F38" s="307"/>
      <c r="G38" s="307"/>
      <c r="H38" s="307"/>
      <c r="I38" s="307"/>
      <c r="J38" s="307"/>
      <c r="K38" s="86"/>
      <c r="L38" s="86"/>
    </row>
    <row r="39" spans="1:12" ht="63" x14ac:dyDescent="0.25">
      <c r="A39" s="89">
        <v>2</v>
      </c>
      <c r="B39" s="88" t="s">
        <v>443</v>
      </c>
      <c r="C39" s="87" t="s">
        <v>637</v>
      </c>
      <c r="D39" s="307" t="s">
        <v>637</v>
      </c>
      <c r="E39" s="305" t="s">
        <v>697</v>
      </c>
      <c r="F39" s="305" t="s">
        <v>697</v>
      </c>
      <c r="G39" s="306"/>
      <c r="H39" s="306"/>
      <c r="I39" s="305"/>
      <c r="J39" s="307"/>
      <c r="K39" s="86"/>
      <c r="L39" s="86"/>
    </row>
    <row r="40" spans="1:12" ht="33.75" customHeight="1" x14ac:dyDescent="0.25">
      <c r="A40" s="89" t="s">
        <v>202</v>
      </c>
      <c r="B40" s="88" t="s">
        <v>445</v>
      </c>
      <c r="C40" s="87" t="s">
        <v>637</v>
      </c>
      <c r="D40" s="307" t="s">
        <v>637</v>
      </c>
      <c r="E40" s="305" t="s">
        <v>531</v>
      </c>
      <c r="F40" s="305" t="s">
        <v>531</v>
      </c>
      <c r="G40" s="306"/>
      <c r="H40" s="306"/>
      <c r="I40" s="305"/>
      <c r="J40" s="307"/>
      <c r="K40" s="86"/>
      <c r="L40" s="86"/>
    </row>
    <row r="41" spans="1:12" ht="63" customHeight="1" x14ac:dyDescent="0.25">
      <c r="A41" s="89" t="s">
        <v>201</v>
      </c>
      <c r="B41" s="90" t="s">
        <v>526</v>
      </c>
      <c r="C41" s="87" t="s">
        <v>637</v>
      </c>
      <c r="D41" s="307" t="s">
        <v>637</v>
      </c>
      <c r="E41" s="307"/>
      <c r="F41" s="307"/>
      <c r="G41" s="307"/>
      <c r="H41" s="307"/>
      <c r="I41" s="307"/>
      <c r="J41" s="307"/>
      <c r="K41" s="86"/>
      <c r="L41" s="86"/>
    </row>
    <row r="42" spans="1:12" ht="58.5" customHeight="1" x14ac:dyDescent="0.25">
      <c r="A42" s="89">
        <v>3</v>
      </c>
      <c r="B42" s="88" t="s">
        <v>444</v>
      </c>
      <c r="C42" s="87" t="s">
        <v>637</v>
      </c>
      <c r="D42" s="307" t="s">
        <v>637</v>
      </c>
      <c r="E42" s="305" t="s">
        <v>531</v>
      </c>
      <c r="F42" s="305" t="s">
        <v>531</v>
      </c>
      <c r="G42" s="306"/>
      <c r="H42" s="306"/>
      <c r="I42" s="305"/>
      <c r="J42" s="307"/>
      <c r="K42" s="86"/>
      <c r="L42" s="86"/>
    </row>
    <row r="43" spans="1:12" ht="34.5" customHeight="1" x14ac:dyDescent="0.25">
      <c r="A43" s="89" t="s">
        <v>200</v>
      </c>
      <c r="B43" s="88" t="s">
        <v>198</v>
      </c>
      <c r="C43" s="87" t="s">
        <v>637</v>
      </c>
      <c r="D43" s="307" t="s">
        <v>637</v>
      </c>
      <c r="E43" s="305" t="s">
        <v>531</v>
      </c>
      <c r="F43" s="305" t="s">
        <v>531</v>
      </c>
      <c r="G43" s="306"/>
      <c r="H43" s="308"/>
      <c r="I43" s="305"/>
      <c r="J43" s="307"/>
      <c r="K43" s="86"/>
      <c r="L43" s="86"/>
    </row>
    <row r="44" spans="1:12" ht="24.75" customHeight="1" x14ac:dyDescent="0.25">
      <c r="A44" s="89" t="s">
        <v>199</v>
      </c>
      <c r="B44" s="88" t="s">
        <v>196</v>
      </c>
      <c r="C44" s="87" t="s">
        <v>637</v>
      </c>
      <c r="D44" s="307" t="s">
        <v>637</v>
      </c>
      <c r="E44" s="306">
        <v>44986</v>
      </c>
      <c r="F44" s="306">
        <v>45016</v>
      </c>
      <c r="G44" s="308"/>
      <c r="H44" s="308"/>
      <c r="I44" s="305">
        <v>100</v>
      </c>
      <c r="J44" s="305">
        <v>100</v>
      </c>
      <c r="K44" s="86"/>
      <c r="L44" s="86"/>
    </row>
    <row r="45" spans="1:12" ht="90.75" customHeight="1" x14ac:dyDescent="0.25">
      <c r="A45" s="89" t="s">
        <v>197</v>
      </c>
      <c r="B45" s="88" t="s">
        <v>449</v>
      </c>
      <c r="C45" s="87" t="s">
        <v>637</v>
      </c>
      <c r="D45" s="307" t="s">
        <v>637</v>
      </c>
      <c r="E45" s="305"/>
      <c r="F45" s="305"/>
      <c r="G45" s="305"/>
      <c r="H45" s="305"/>
      <c r="I45" s="305"/>
      <c r="J45" s="305"/>
      <c r="K45" s="86"/>
      <c r="L45" s="86"/>
    </row>
    <row r="46" spans="1:12" ht="167.25" customHeight="1" x14ac:dyDescent="0.25">
      <c r="A46" s="89" t="s">
        <v>195</v>
      </c>
      <c r="B46" s="88" t="s">
        <v>447</v>
      </c>
      <c r="C46" s="87" t="s">
        <v>637</v>
      </c>
      <c r="D46" s="307" t="s">
        <v>637</v>
      </c>
      <c r="E46" s="305"/>
      <c r="F46" s="305"/>
      <c r="G46" s="305"/>
      <c r="H46" s="305"/>
      <c r="I46" s="305"/>
      <c r="J46" s="305"/>
      <c r="K46" s="86"/>
      <c r="L46" s="86"/>
    </row>
    <row r="47" spans="1:12" ht="30.75" customHeight="1" x14ac:dyDescent="0.25">
      <c r="A47" s="89" t="s">
        <v>193</v>
      </c>
      <c r="B47" s="88" t="s">
        <v>194</v>
      </c>
      <c r="C47" s="87" t="s">
        <v>637</v>
      </c>
      <c r="D47" s="307" t="s">
        <v>637</v>
      </c>
      <c r="E47" s="308"/>
      <c r="F47" s="308"/>
      <c r="G47" s="308"/>
      <c r="H47" s="308"/>
      <c r="I47" s="305"/>
      <c r="J47" s="305"/>
      <c r="K47" s="86"/>
      <c r="L47" s="86"/>
    </row>
    <row r="48" spans="1:12" ht="37.5" customHeight="1" x14ac:dyDescent="0.25">
      <c r="A48" s="89" t="s">
        <v>459</v>
      </c>
      <c r="B48" s="90" t="s">
        <v>192</v>
      </c>
      <c r="C48" s="87" t="s">
        <v>637</v>
      </c>
      <c r="D48" s="307" t="s">
        <v>637</v>
      </c>
      <c r="E48" s="307"/>
      <c r="F48" s="307"/>
      <c r="G48" s="307"/>
      <c r="H48" s="307"/>
      <c r="I48" s="307"/>
      <c r="J48" s="307"/>
      <c r="K48" s="86"/>
      <c r="L48" s="86"/>
    </row>
    <row r="49" spans="1:12" ht="35.25" customHeight="1" x14ac:dyDescent="0.25">
      <c r="A49" s="89">
        <v>4</v>
      </c>
      <c r="B49" s="88" t="s">
        <v>190</v>
      </c>
      <c r="C49" s="87" t="s">
        <v>637</v>
      </c>
      <c r="D49" s="307" t="s">
        <v>637</v>
      </c>
      <c r="E49" s="308"/>
      <c r="F49" s="308"/>
      <c r="G49" s="308"/>
      <c r="H49" s="308"/>
      <c r="I49" s="305"/>
      <c r="J49" s="305"/>
      <c r="K49" s="86"/>
      <c r="L49" s="86"/>
    </row>
    <row r="50" spans="1:12" ht="86.25" customHeight="1" x14ac:dyDescent="0.25">
      <c r="A50" s="89" t="s">
        <v>191</v>
      </c>
      <c r="B50" s="88" t="s">
        <v>448</v>
      </c>
      <c r="C50" s="87" t="s">
        <v>637</v>
      </c>
      <c r="D50" s="307" t="s">
        <v>637</v>
      </c>
      <c r="E50" s="306"/>
      <c r="F50" s="306"/>
      <c r="G50" s="308"/>
      <c r="H50" s="308"/>
      <c r="I50" s="305"/>
      <c r="J50" s="305"/>
      <c r="K50" s="86"/>
      <c r="L50" s="86"/>
    </row>
    <row r="51" spans="1:12" ht="77.25" customHeight="1" x14ac:dyDescent="0.25">
      <c r="A51" s="89" t="s">
        <v>189</v>
      </c>
      <c r="B51" s="88" t="s">
        <v>450</v>
      </c>
      <c r="C51" s="87" t="s">
        <v>637</v>
      </c>
      <c r="D51" s="307" t="s">
        <v>637</v>
      </c>
      <c r="E51" s="305"/>
      <c r="F51" s="305"/>
      <c r="G51" s="308"/>
      <c r="H51" s="308"/>
      <c r="I51" s="307"/>
      <c r="J51" s="307"/>
      <c r="K51" s="86"/>
      <c r="L51" s="86"/>
    </row>
    <row r="52" spans="1:12" ht="71.25" customHeight="1" x14ac:dyDescent="0.25">
      <c r="A52" s="89" t="s">
        <v>187</v>
      </c>
      <c r="B52" s="88" t="s">
        <v>188</v>
      </c>
      <c r="C52" s="87" t="s">
        <v>637</v>
      </c>
      <c r="D52" s="307" t="s">
        <v>637</v>
      </c>
      <c r="E52" s="305"/>
      <c r="F52" s="305"/>
      <c r="G52" s="308"/>
      <c r="H52" s="308"/>
      <c r="I52" s="307"/>
      <c r="J52" s="307"/>
      <c r="K52" s="86"/>
      <c r="L52" s="86"/>
    </row>
    <row r="53" spans="1:12" ht="48" customHeight="1" x14ac:dyDescent="0.25">
      <c r="A53" s="89" t="s">
        <v>185</v>
      </c>
      <c r="B53" s="150" t="s">
        <v>451</v>
      </c>
      <c r="C53" s="87" t="s">
        <v>637</v>
      </c>
      <c r="D53" s="307" t="s">
        <v>637</v>
      </c>
      <c r="E53" s="306"/>
      <c r="F53" s="306"/>
      <c r="G53" s="308"/>
      <c r="H53" s="308"/>
      <c r="I53" s="305"/>
      <c r="J53" s="305"/>
      <c r="K53" s="86"/>
      <c r="L53" s="86"/>
    </row>
    <row r="54" spans="1:12" ht="46.5" customHeight="1" x14ac:dyDescent="0.25">
      <c r="A54" s="89" t="s">
        <v>452</v>
      </c>
      <c r="B54" s="88" t="s">
        <v>186</v>
      </c>
      <c r="C54" s="87" t="s">
        <v>637</v>
      </c>
      <c r="D54" s="307" t="s">
        <v>637</v>
      </c>
      <c r="E54" s="305"/>
      <c r="F54" s="305"/>
      <c r="G54" s="308"/>
      <c r="H54" s="308"/>
      <c r="I54" s="307"/>
      <c r="J54" s="307"/>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2023-05-02T12:14:04Z</dcterms:modified>
</cp:coreProperties>
</file>