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58"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37" i="25" l="1"/>
  <c r="B122" i="25"/>
  <c r="D26" i="5"/>
  <c r="S32" i="15"/>
  <c r="S33" i="15"/>
  <c r="S34" i="15"/>
  <c r="S31" i="15"/>
  <c r="F54" i="24"/>
  <c r="F51" i="24"/>
  <c r="F46" i="24"/>
  <c r="F45" i="24"/>
  <c r="E26" i="14"/>
  <c r="E25" i="14"/>
  <c r="AD29" i="5" l="1"/>
  <c r="D29" i="5"/>
  <c r="F43" i="24"/>
  <c r="F42" i="24"/>
  <c r="F40" i="24"/>
  <c r="B33" i="25" l="1"/>
  <c r="AD26" i="5" l="1"/>
  <c r="AE26" i="5" l="1"/>
  <c r="F36" i="24"/>
  <c r="F34" i="24"/>
  <c r="F33" i="24"/>
  <c r="O24" i="13"/>
  <c r="N30" i="15" l="1"/>
  <c r="O30" i="15"/>
  <c r="M30" i="15"/>
  <c r="K30" i="15"/>
  <c r="J30" i="15"/>
  <c r="O24" i="15"/>
  <c r="N24" i="15"/>
  <c r="M24" i="15"/>
  <c r="K24" i="15"/>
  <c r="J24" i="15"/>
  <c r="Q27" i="14"/>
  <c r="R27"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D48" i="23"/>
  <c r="B47" i="23"/>
  <c r="B45" i="23"/>
  <c r="B44" i="23"/>
  <c r="B27" i="23"/>
  <c r="L48" i="23" l="1"/>
  <c r="T48" i="23"/>
  <c r="AB48" i="23"/>
  <c r="AJ48" i="23"/>
  <c r="B46" i="23"/>
  <c r="H48" i="23"/>
  <c r="P48" i="23"/>
  <c r="X48" i="23"/>
  <c r="AF48" i="23"/>
  <c r="AN48" i="23"/>
  <c r="B48" i="23"/>
  <c r="F48" i="23"/>
  <c r="J48" i="23"/>
  <c r="N48" i="23"/>
  <c r="R48" i="23"/>
  <c r="V48" i="23"/>
  <c r="Z48" i="23"/>
  <c r="AD48" i="23"/>
  <c r="AH48" i="23"/>
  <c r="AL48" i="23"/>
  <c r="AP48" i="23"/>
  <c r="C48" i="23"/>
  <c r="E48" i="23"/>
  <c r="G48" i="23"/>
  <c r="I48" i="23"/>
  <c r="K48" i="23"/>
  <c r="M48" i="23"/>
  <c r="O48" i="23"/>
  <c r="Q48" i="23"/>
  <c r="S48" i="23"/>
  <c r="U48" i="23"/>
  <c r="W48" i="23"/>
  <c r="Y48" i="23"/>
  <c r="AA48" i="23"/>
  <c r="AC48" i="23"/>
  <c r="AE48" i="23"/>
  <c r="AG48" i="23"/>
  <c r="AI48" i="23"/>
  <c r="AK48" i="23"/>
  <c r="AM48" i="23"/>
  <c r="AO48" i="23"/>
  <c r="F140" i="23"/>
  <c r="F141" i="23" s="1"/>
  <c r="B81" i="23"/>
  <c r="AQ81" i="23" s="1"/>
  <c r="B50" i="23"/>
  <c r="B59" i="23" s="1"/>
  <c r="B29" i="23"/>
  <c r="D58" i="23"/>
  <c r="C52" i="23"/>
  <c r="C47" i="23"/>
  <c r="C74" i="23"/>
  <c r="G137" i="23"/>
  <c r="H137" i="23" s="1"/>
  <c r="G140" i="23" l="1"/>
  <c r="G141" i="23" s="1"/>
  <c r="B79" i="23"/>
  <c r="B80" i="23"/>
  <c r="B66" i="23"/>
  <c r="B68" i="23" s="1"/>
  <c r="B75" i="23" s="1"/>
  <c r="D74" i="23"/>
  <c r="E58" i="23"/>
  <c r="D47" i="23"/>
  <c r="D52" i="23"/>
  <c r="H140" i="23"/>
  <c r="H141" i="23" s="1"/>
  <c r="B73" i="23" s="1"/>
  <c r="B85" i="23" s="1"/>
  <c r="B99" i="23" s="1"/>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08" i="25" l="1"/>
  <c r="B96" i="25"/>
  <c r="B106" i="25"/>
  <c r="I26" i="5" l="1"/>
  <c r="I29" i="5" s="1"/>
  <c r="C27" i="6"/>
  <c r="O25" i="13" l="1"/>
  <c r="D117" i="23" l="1"/>
  <c r="G26" i="5"/>
  <c r="G29" i="5" s="1"/>
  <c r="H23" i="12"/>
  <c r="C40" i="7" s="1"/>
  <c r="J23" i="12"/>
  <c r="G118" i="23" l="1"/>
  <c r="D118" i="23"/>
  <c r="C23" i="6"/>
  <c r="B27" i="25"/>
  <c r="B95"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3" i="25" s="1"/>
  <c r="B91" i="25"/>
  <c r="B84" i="25"/>
  <c r="B42" i="25"/>
  <c r="B63" i="25"/>
  <c r="B88" i="25"/>
  <c r="B55" i="25"/>
  <c r="B34" i="25"/>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K79" i="23"/>
  <c r="D55" i="23"/>
  <c r="D82" i="23" s="1"/>
  <c r="E75" i="23"/>
  <c r="B84" i="23"/>
  <c r="B89" i="23" s="1"/>
  <c r="B86" i="23"/>
  <c r="B88" i="23"/>
  <c r="H67" i="23"/>
  <c r="G76" i="23"/>
  <c r="G68" i="23"/>
  <c r="S27" i="14"/>
  <c r="B24" i="25" s="1"/>
  <c r="D56" i="23" l="1"/>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0" i="23" s="1"/>
  <c r="T72" i="23"/>
  <c r="T86" i="23"/>
  <c r="T87" i="23" s="1"/>
  <c r="T90" i="23" s="1"/>
  <c r="T84" i="23"/>
  <c r="T89" i="23" s="1"/>
  <c r="T88" i="23"/>
  <c r="AN67" i="23"/>
  <c r="AM76" i="23"/>
  <c r="AM68" i="23"/>
  <c r="W53" i="23"/>
  <c r="U78" i="23"/>
  <c r="U83" i="23" s="1"/>
  <c r="AL75" i="23"/>
  <c r="V77" i="23" l="1"/>
  <c r="U86" i="23"/>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AA56" i="23"/>
  <c r="AA69" i="23" s="1"/>
  <c r="AA70" i="23" s="1"/>
  <c r="AB53" i="23"/>
  <c r="AA82" i="23"/>
  <c r="Z71" i="23"/>
  <c r="Z78" i="23" s="1"/>
  <c r="Z83" i="23" s="1"/>
  <c r="AA77" i="23" l="1"/>
  <c r="Z86" i="23"/>
  <c r="Z87" i="23" s="1"/>
  <c r="Z90" i="23" s="1"/>
  <c r="Z84" i="23"/>
  <c r="Z89" i="23" s="1"/>
  <c r="Z88" i="23"/>
  <c r="AB55" i="23"/>
  <c r="AB82" i="23" s="1"/>
  <c r="Z72" i="23"/>
  <c r="AA71" i="23"/>
  <c r="AA78" i="23" s="1"/>
  <c r="AA83" i="23" s="1"/>
  <c r="AA72" i="23" l="1"/>
  <c r="AC53" i="23"/>
  <c r="AC55" i="23" s="1"/>
  <c r="AA86" i="23"/>
  <c r="AA87" i="23" s="1"/>
  <c r="AA90" i="23" s="1"/>
  <c r="AA88" i="23"/>
  <c r="AA84" i="23"/>
  <c r="AA89" i="23" s="1"/>
  <c r="AB56" i="23"/>
  <c r="AB69" i="23" s="1"/>
  <c r="AC82" i="23" l="1"/>
  <c r="AC56" i="23"/>
  <c r="AC69" i="23" s="1"/>
  <c r="AC77"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0" i="23" s="1"/>
  <c r="AM77" i="23"/>
  <c r="AO53" i="23"/>
  <c r="AN82" i="23"/>
  <c r="AM71" i="23"/>
  <c r="AM78" i="23" s="1"/>
  <c r="AM83" i="23" l="1"/>
  <c r="AM84" i="23" s="1"/>
  <c r="AM89" i="23" s="1"/>
  <c r="AN77" i="23"/>
  <c r="AM72" i="23"/>
  <c r="AN71" i="23"/>
  <c r="AN78" i="23" s="1"/>
  <c r="AN83" i="23" s="1"/>
  <c r="AM86" i="23"/>
  <c r="AM87" i="23" s="1"/>
  <c r="AM90"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4" i="23" s="1"/>
  <c r="AO89" i="23" s="1"/>
  <c r="AO72" i="23"/>
  <c r="AO88" i="23"/>
  <c r="AP77" i="23"/>
  <c r="AP70" i="23"/>
  <c r="AP71" i="23" s="1"/>
  <c r="AO86" i="23" l="1"/>
  <c r="AO87" i="23" s="1"/>
  <c r="AO90" i="23" s="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<sst xmlns="http://schemas.openxmlformats.org/spreadsheetml/2006/main" count="1110" uniqueCount="660">
  <si>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</si>
  <si>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</si>
  <si>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</si>
  <si>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</si>
  <si>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</si>
  <si>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</si>
  <si>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</si>
  <si>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</si>
  <si>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</si>
  <si>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</si>
  <si>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</si>
  <si>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</si>
  <si>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</si>
  <si>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</si>
  <si>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</si>
  <si>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</si>
  <si>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</si>
  <si>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</si>
  <si>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</si>
  <si>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</si>
  <si>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</si>
  <si>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</si>
  <si>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</si>
  <si>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</si>
  <si>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</si>
  <si>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</si>
  <si>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</si>
  <si>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</si>
  <si>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</si>
  <si>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</si>
  <si>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</si>
  <si>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</si>
  <si>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</si>
  <si>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</si>
  <si>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</si>
  <si>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</si>
  <si>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</si>
  <si>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</si>
  <si>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</si>
  <si>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</si>
  <si>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</si>
  <si>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</si>
  <si>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</si>
  <si>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</si>
  <si>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</si>
  <si>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</si>
  <si>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</si>
  <si>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</si>
  <si>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</si>
  <si>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</si>
  <si>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</si>
  <si>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</si>
  <si>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</si>
  <si>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</si>
  <si>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</si>
  <si>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</si>
  <si>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</si>
  <si>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</si>
  <si>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</si>
  <si>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</si>
  <si>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</si>
  <si>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</si>
  <si>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</si>
  <si>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</si>
  <si>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</si>
  <si>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</si>
  <si>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</si>
  <si>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</si>
  <si>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</si>
  <si>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</si>
  <si>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</si>
  <si>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</si>
  <si>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</si>
  <si>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</si>
  <si>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</si>
  <si>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</si>
  <si>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</si>
  <si>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</si>
  <si>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</si>
  <si>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</si>
  <si>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</si>
  <si>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</si>
  <si>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</si>
  <si>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</si>
  <si>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</si>
  <si>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</si>
  <si>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</si>
  <si>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</si>
  <si>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</si>
  <si>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</si>
  <si>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</si>
  <si>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</si>
  <si>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</si>
  <si>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</si>
  <si>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</si>
  <si>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</si>
  <si>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</si>
  <si>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</si>
  <si>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</si>
  <si>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</si>
  <si>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</si>
  <si>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</si>
  <si>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</si>
  <si>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</si>
  <si>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</si>
  <si>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</si>
  <si>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</si>
  <si>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</si>
  <si>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</si>
  <si>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</si>
  <si>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</si>
  <si>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</si>
  <si>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</si>
  <si>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</si>
  <si>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</si>
  <si>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</si>
  <si>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</si>
  <si>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</si>
  <si>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</si>
  <si>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</si>
  <si>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</si>
  <si>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</si>
  <si>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</si>
  <si>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</si>
  <si>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</si>
  <si>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</si>
  <si>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</si>
  <si>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</si>
  <si>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</si>
  <si>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</si>
  <si>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</si>
  <si>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</si>
  <si>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</si>
  <si>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</si>
  <si>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</si>
  <si>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</si>
  <si>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</si>
  <si>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</si>
  <si>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</si>
  <si>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</si>
  <si>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</si>
  <si>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</si>
  <si>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</si>
  <si>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</si>
  <si>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</si>
  <si>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</si>
  <si>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</si>
  <si>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</si>
  <si>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</si>
  <si>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</si>
  <si>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</si>
  <si>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</si>
  <si>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</si>
  <si>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</si>
  <si>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</si>
  <si>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</si>
  <si>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</si>
  <si>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</si>
  <si>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</si>
  <si>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</si>
  <si>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</si>
  <si>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</si>
  <si>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</si>
  <si>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</si>
  <si>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</si>
  <si>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</si>
  <si>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</si>
  <si>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</si>
  <si>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</si>
  <si>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</si>
  <si>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</si>
  <si>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</si>
  <si>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</si>
  <si>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</si>
  <si>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</si>
  <si>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</si>
  <si>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</si>
  <si>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</si>
  <si>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</si>
  <si>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</si>
  <si>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</si>
  <si>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</si>
  <si>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</si>
  <si>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</si>
  <si>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</si>
  <si>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</si>
  <si>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</si>
  <si>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</si>
  <si>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</si>
  <si>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</si>
  <si>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</si>
  <si>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</si>
  <si>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</si>
  <si>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</si>
  <si>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</si>
  <si>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</si>
  <si>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</si>
  <si>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</si>
  <si>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</si>
  <si>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</si>
  <si>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</si>
  <si>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</si>
  <si>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</si>
  <si>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</si>
  <si>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</si>
  <si>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</si>
  <si>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</si>
  <si>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</si>
  <si>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</si>
  <si>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</si>
  <si>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</si>
  <si>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</si>
  <si>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</si>
  <si>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</si>
  <si>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</si>
  <si>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</si>
  <si>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</si>
  <si>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</si>
  <si>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</si>
  <si>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</si>
  <si>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</si>
  <si>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</si>
  <si>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</si>
  <si>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</si>
  <si>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</si>
  <si>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</si>
  <si>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</si>
  <si>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</si>
  <si>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</si>
  <si>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</si>
  <si>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</si>
  <si>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</si>
  <si>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</si>
  <si>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</si>
  <si>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</si>
  <si>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</si>
  <si>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</si>
  <si>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</si>
  <si>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</si>
  <si>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</si>
  <si>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</si>
  <si>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</si>
  <si>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</si>
  <si>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</si>
  <si>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</si>
  <si>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</si>
  <si>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</si>
  <si>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</si>
  <si>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</si>
  <si>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</si>
  <si>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</si>
  <si>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</si>
  <si>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</si>
  <si>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</si>
  <si>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</si>
  <si>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</si>
  <si>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</si>
  <si>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</si>
  <si>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</si>
  <si>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</si>
  <si>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</si>
  <si>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</si>
  <si>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</si>
  <si>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</si>
  <si>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</si>
  <si>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</si>
  <si>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</si>
  <si>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</si>
  <si>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</si>
  <si>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</si>
  <si>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</si>
  <si>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</si>
  <si>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</si>
  <si>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</si>
  <si>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</si>
  <si>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</si>
  <si>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</si>
  <si>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</si>
  <si>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</si>
  <si>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</si>
  <si>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</si>
  <si>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</si>
  <si>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</si>
  <si>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</si>
  <si>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</si>
  <si>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</si>
  <si>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</si>
  <si>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</si>
  <si>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</si>
  <si>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</si>
  <si>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</si>
  <si>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</si>
  <si>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</si>
  <si>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</si>
  <si>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</si>
  <si>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</si>
  <si>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</si>
  <si>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</si>
  <si>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</si>
  <si>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</si>
  <si>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</si>
  <si>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</si>
  <si>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</si>
  <si>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</si>
  <si>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</si>
  <si>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</si>
  <si>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</si>
  <si>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</si>
  <si>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</si>
  <si>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</si>
  <si>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</si>
  <si>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</si>
  <si>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</si>
  <si>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</si>
  <si>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</si>
  <si>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</si>
  <si>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</si>
  <si>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</si>
  <si>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</si>
  <si>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</si>
  <si>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</si>
  <si>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</si>
  <si>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</si>
  <si>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</si>
  <si>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</si>
  <si>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</si>
  <si>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</si>
  <si>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</si>
  <si>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</si>
  <si>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</si>
  <si>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</si>
  <si>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</si>
  <si>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</si>
  <si>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</si>
  <si>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</si>
  <si>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</si>
  <si>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</si>
  <si>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</si>
  <si>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</si>
  <si>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</si>
  <si>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</si>
  <si>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</si>
  <si>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</si>
  <si>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</si>
  <si>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</si>
  <si>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</si>
  <si>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</si>
  <si>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</si>
  <si>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</si>
  <si>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</si>
  <si>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</si>
  <si>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</si>
  <si>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</si>
  <si>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</si>
  <si>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</si>
  <si>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</si>
  <si>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</si>
  <si>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</si>
  <si>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</si>
  <si>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</si>
  <si>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</si>
  <si>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</si>
  <si>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</si>
  <si>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</si>
  <si>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</si>
  <si>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</si>
  <si>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</si>
  <si>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</si>
  <si>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</si>
  <si>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</si>
  <si>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</si>
  <si>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</si>
  <si>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</si>
  <si>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</si>
  <si>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</si>
  <si>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</si>
  <si>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</si>
  <si>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</si>
  <si>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</si>
  <si>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</si>
  <si>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</si>
  <si>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</si>
  <si>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</si>
  <si>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</si>
  <si>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</si>
  <si>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</si>
  <si>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</si>
  <si>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</si>
  <si>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</si>
  <si>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</si>
  <si>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</si>
  <si>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</si>
  <si>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</si>
  <si>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</si>
  <si>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</si>
  <si>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</si>
  <si>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</si>
  <si>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</si>
  <si>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</si>
  <si>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</si>
  <si>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</si>
  <si>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</si>
  <si>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</si>
  <si>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</si>
  <si>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</si>
  <si>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</si>
  <si>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</si>
  <si>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</si>
  <si>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</si>
  <si>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</si>
  <si>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</si>
  <si>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</si>
  <si>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</si>
  <si>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</si>
  <si>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</si>
  <si>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</si>
  <si>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</si>
  <si>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</si>
  <si>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</si>
  <si>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</si>
  <si>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</si>
  <si>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</si>
  <si>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</si>
  <si>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</si>
  <si>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</si>
  <si>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</si>
  <si>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</si>
  <si>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</si>
  <si>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</si>
  <si>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</si>
  <si>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</si>
  <si>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</si>
  <si>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</si>
  <si>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</si>
  <si>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</si>
  <si>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</si>
  <si>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</si>
  <si>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</si>
  <si>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</si>
  <si>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</si>
  <si>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</si>
  <si>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</si>
  <si>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</si>
  <si>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</si>
  <si>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</si>
  <si>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</si>
  <si>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</si>
  <si>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</si>
  <si>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</si>
  <si>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</si>
  <si>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</si>
  <si>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</si>
  <si>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</si>
  <si>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</si>
  <si>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</si>
  <si>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</si>
  <si>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</si>
  <si>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</si>
  <si>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</si>
  <si>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</si>
  <si>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</si>
  <si>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</si>
  <si>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</si>
  <si>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</si>
  <si>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</si>
  <si>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</si>
  <si>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</si>
  <si>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</si>
  <si>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</si>
  <si>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</si>
  <si>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</si>
  <si>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</si>
  <si>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</si>
  <si>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</si>
  <si>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</si>
  <si>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</si>
  <si>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</si>
  <si>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</si>
  <si>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</si>
  <si>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</si>
  <si>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</si>
  <si>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</si>
  <si>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</si>
  <si>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</si>
  <si>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</si>
  <si>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</si>
  <si>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</si>
  <si>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</si>
  <si>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</si>
  <si>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</si>
  <si>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</si>
  <si>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</si>
  <si>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</si>
  <si>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</si>
  <si>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</si>
  <si>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</si>
  <si>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</si>
  <si>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</si>
  <si>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</si>
  <si>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</si>
  <si>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</si>
  <si>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</si>
  <si>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</si>
  <si>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</si>
  <si>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</si>
  <si>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</si>
  <si>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</si>
  <si>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</si>
  <si>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</si>
  <si>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</si>
  <si>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</si>
  <si>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</si>
  <si>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</si>
  <si>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</si>
  <si>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</si>
  <si>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</si>
  <si>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</si>
  <si>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</si>
  <si>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</si>
  <si>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</si>
  <si>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</si>
  <si>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</si>
  <si>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</si>
  <si>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</si>
  <si>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</si>
  <si>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</si>
  <si>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</si>
  <si>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</si>
  <si>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</si>
  <si>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</si>
  <si>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</si>
  <si>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</si>
  <si>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</si>
  <si>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</si>
  <si>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</si>
  <si>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</si>
  <si>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</si>
  <si>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</si>
  <si>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</si>
  <si>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</si>
  <si>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</si>
  <si>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</si>
  <si>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</si>
  <si>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</si>
  <si>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</si>
  <si>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</si>
  <si>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</si>
  <si>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</si>
  <si>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</si>
  <si>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</si>
  <si>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</si>
  <si>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</si>
  <si>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</si>
  <si>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</si>
  <si>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</si>
  <si>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</si>
  <si>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</si>
  <si>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</si>
  <si>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</si>
  <si>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</si>
  <si>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</si>
  <si>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</si>
  <si>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</si>
  <si>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</si>
  <si>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</si>
  <si>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</si>
  <si>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</si>
  <si>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</si>
  <si>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</si>
  <si>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</si>
  <si>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</si>
  <si>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</si>
  <si>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</si>
  <si>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</si>
  <si>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</si>
  <si>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</si>
  <si>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</si>
  <si>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</si>
  <si>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</si>
  <si>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</si>
  <si>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</si>
  <si>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</si>
  <si>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</si>
  <si>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</si>
  <si>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</si>
  <si>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</si>
  <si>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</si>
  <si>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</si>
  <si>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</si>
  <si>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</si>
  <si>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</si>
  <si>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</si>
  <si>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</si>
  <si>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</si>
  <si>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</si>
  <si>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</si>
  <si>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</si>
  <si>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</si>
  <si>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</si>
  <si>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</si>
  <si>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УР</t>
  </si>
  <si>
    <t>ВЗ</t>
  </si>
  <si>
    <t xml:space="preserve">https://rosseti.roseltorg.ru/ </t>
  </si>
  <si>
    <t xml:space="preserve"> - незаконтрактованные затраты</t>
  </si>
  <si>
    <t>Акционерное общество "Россети Янтарь"</t>
  </si>
  <si>
    <t>АО "Россети Янтарь"</t>
  </si>
  <si>
    <t>Т-1, Т-2</t>
  </si>
  <si>
    <t>ОК</t>
  </si>
  <si>
    <t>ООО «ЭНЕРГОПРОЕКТ»</t>
  </si>
  <si>
    <t>18.08.2021</t>
  </si>
  <si>
    <t>ООО «ТЕСЛА»</t>
  </si>
  <si>
    <t>ООО «ЭНЕРГОИНЖИНИРИНГ»</t>
  </si>
  <si>
    <t>Сметная стоимость проекта в ценах  2021 года с НДС, млн. руб.</t>
  </si>
  <si>
    <t>M_21-0752</t>
  </si>
  <si>
    <t>Строительство КТП 10/0,4 кВ, КЛ-10 кВ, организация системы учета электроэнергии по Московскому проспекту в г. Калининграде</t>
  </si>
  <si>
    <t>Городской округ "Город Калининград"</t>
  </si>
  <si>
    <t>ТМГ-10/0,4 кВ 400 кВА</t>
  </si>
  <si>
    <t>28/01/21 от 09.04.2021</t>
  </si>
  <si>
    <t>28/01/21 д/с № 1 от 08.11.2021</t>
  </si>
  <si>
    <t>Калининградская обл, Калининград г, Московский пр-кт. 2 б/в</t>
  </si>
  <si>
    <t>Реконструкция разводного моста через реку Преголя на участке Калининград - Советск Калининградской железной дороги. Автодорожный мост и подходы к нему</t>
  </si>
  <si>
    <t xml:space="preserve">1) болтовое соединение на ТТ в РУ-0,4 кВ (I секция) ТП новой (п.10.1);  </t>
  </si>
  <si>
    <t>0.4 кВ</t>
  </si>
  <si>
    <t>10.1. В районе объекта,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Произвести проектирование, монтаж двух участков (ориентировочно 2х200 м, в том числе 4 прокола, длинной 120 м) КЛ-10 кВ с изоляцией из сшитого полиэтилена сечением 120 мм2 от РУ-10 кВ ТПновой (п.10.1) до места врезки в КЛ-10 кВ 10-21(О-53-ТП971), смонтировать соединительные и концевые муфты, выполнить расчет емкостных токов.
10.3. Произвести проектирование, монтаж двух участков (ориентировочно 2х200 м, в том числе 4 прокола, длинной 120 м) КЛ-10 кВ с изоляцией из сшитого полиэтилена сечением 120 мм2 от РУ-10 кВ ТПновой (п.10.1) до места врезки в КЛ-10 кВ 10-05(О-53-ТП972), смонтировать соединительные и концевые муфты, выполнить расчет емкостных токов.
10.4. В РУ-0,4 кВ (I и II секции) ТП новой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</si>
  <si>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в земле</t>
  </si>
  <si>
    <t>С</t>
  </si>
  <si>
    <t>Разработка рабочей документации и выполнение строительно-монтажных работ с поставкой оборудования по объекту: Строительство КТП 10/0,4 кВ, КЛ-10 кВ, организация системы учета электроэнергии по Московскому проспекту в г. Калининграде</t>
  </si>
  <si>
    <t>8 033,84</t>
  </si>
  <si>
    <t>32110542026</t>
  </si>
  <si>
    <t>16.09.2021</t>
  </si>
  <si>
    <t>11.10.2021</t>
  </si>
  <si>
    <t>10.01.2022</t>
  </si>
  <si>
    <t>8 034,25</t>
  </si>
  <si>
    <t>8 034,67</t>
  </si>
  <si>
    <t>ООО "Энергопроект" направил письмо об исключении из договора СМР в связи с увеличением объемов работ и стоимости.</t>
  </si>
  <si>
    <t>ТП 10/0,4 кВ 2х400 кВА</t>
  </si>
  <si>
    <t>Договор под ключ ООО "Энергопроект" (ИНН 3663125835) № 182ГП-ЭП/МП/2021 от 11.10.2021 (ДС № 1 от 15.09.2022 - расторгнут в части СМР) в ценах 2021 года с НДС, млн. руб.</t>
  </si>
  <si>
    <t>Договор под ключ ООО "Энергопроект" (ИНН 3663125835) № 182ГП-ЭП/МП/2021 от 11.10.2021 (ДС № 1 от 15.09.2022 - расторгнут в части СМР)</t>
  </si>
  <si>
    <t xml:space="preserve"> ДС № 1 от 15.09.2022 - расторгнут в части СМР</t>
  </si>
  <si>
    <r>
      <t>Год раскрытия информации:</t>
    </r>
    <r>
      <rPr>
        <b/>
        <u/>
        <sz val="12"/>
        <rFont val="Times New Roman"/>
        <family val="1"/>
        <charset val="204"/>
      </rPr>
      <t xml:space="preserve"> 2023 </t>
    </r>
    <r>
      <rPr>
        <b/>
        <sz val="12"/>
        <rFont val="Times New Roman"/>
        <family val="1"/>
        <charset val="204"/>
      </rPr>
      <t>год</t>
    </r>
  </si>
  <si>
    <t>СМР ООО "Энергопроект"  договор № 89/ЭП/МП/22 от 26.12.2022 в ценах 2022 года с НДС, млн. руб.</t>
  </si>
  <si>
    <t>СМР ООО "Энергопроект"  договор № 89/ЭП/МП/22 от 26.12.2022</t>
  </si>
  <si>
    <t>СМР</t>
  </si>
  <si>
    <t xml:space="preserve">Выполнение строительно-монтажных работ с поставкой оборудованияпо объекту нельготной категории «Строительство КТП 10/0,4 кВ, КЛ-10 кВ, организация системы учета электроэнергии по Московскому проспекту в г. Калининграде»: </t>
  </si>
  <si>
    <t>Расчет предельной стоимости лота</t>
  </si>
  <si>
    <t>ЗЦ ПО</t>
  </si>
  <si>
    <t>ЗЦ ПО ЕП</t>
  </si>
  <si>
    <t>ООО "ЭНЕРГОПРОЕКТ"</t>
  </si>
  <si>
    <t xml:space="preserve">https://rosseti.roseltorg.ru </t>
  </si>
  <si>
    <t>ТП 10/0,4 кВ КТП-1159 новая</t>
  </si>
  <si>
    <t xml:space="preserve">КЛ 10 кВ К-1 ПС О-53 - КТП-1159, 
КЛ 10 кВ КТП-972 - КТП-1159 </t>
  </si>
  <si>
    <t xml:space="preserve">КЛ 10 кВ К-2 ПС О-53 - КТП-1159, 
КЛ 10 кВ КТП-971 - КТП-1159 </t>
  </si>
  <si>
    <t>Строительство ТП 15/0,4 кВ с трансформатором 2х400 кВА, КЛ 10 кВ протяженностью 0,254 км, организация системы учета электроэнергии по Московскому проспекту в г. Калининграде</t>
  </si>
  <si>
    <t>КЛ 10 кВ - 19,39 млн.руб./км; 
ТП 15/0,4 кВ - 22,70 млн.руб./МВА</t>
  </si>
  <si>
    <t>З</t>
  </si>
  <si>
    <t xml:space="preserve">Принят к бухгалтерскому учету, оформлен акт приемки законченного строительством объекта </t>
  </si>
  <si>
    <t>ПСД, утв. Приказом № 114 от 31.10.2022</t>
  </si>
  <si>
    <t>по состоянию на 01.01.2023</t>
  </si>
  <si>
    <t>Содержание дирекции заказчика-застройщика  в ценах 2023 года, млн рублей</t>
  </si>
  <si>
    <t>Ожидание подачи ЛФВТУ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</si>
</sst>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0BD-4EB5-8AA9-7F8962C053F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0BD-4EB5-8AA9-7F8962C053F9}"/>
            </c:ext>
          </c:extLst>
        </c:ser>
        <c:dLbls>
          <c:showLegendKey val="0"/>
          <c:showVal val="0"/>
          <c:showCatName val="0"/>
          <c:showSerName val="0"/>
          <c:showPercent val="0"/>
          <c:showBubbleSize val="0"/>
        </c:dLbls>
        <c:smooth val="0"/>
        <c:axId val="572552808"/>
        <c:axId val="572553200"/>
      </c:lineChart>
      <c:catAx>
        <c:axId val="572552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2553200"/>
        <c:crosses val="autoZero"/>
        <c:auto val="1"/>
        <c:lblAlgn val="ctr"/>
        <c:lblOffset val="100"/>
        <c:noMultiLvlLbl val="0"/>
      </c:catAx>
      <c:valAx>
        <c:axId val="572553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25528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A8A0-4A84-8BA0-DE82EDA874E9}"/>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A8A0-4A84-8BA0-DE82EDA874E9}"/>
            </c:ext>
          </c:extLst>
        </c:ser>
        <c:dLbls>
          <c:showLegendKey val="0"/>
          <c:showVal val="0"/>
          <c:showCatName val="0"/>
          <c:showSerName val="0"/>
          <c:showPercent val="0"/>
          <c:showBubbleSize val="0"/>
        </c:dLbls>
        <c:smooth val="0"/>
        <c:axId val="1488803040"/>
        <c:axId val="1488803432"/>
      </c:lineChart>
      <c:catAx>
        <c:axId val="1488803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8803432"/>
        <c:crosses val="autoZero"/>
        <c:auto val="1"/>
        <c:lblAlgn val="ctr"/>
        <c:lblOffset val="100"/>
        <c:noMultiLvlLbl val="0"/>
      </c:catAx>
      <c:valAx>
        <c:axId val="1488803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8803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13"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80"/>
      <c r="F4" s="72"/>
      <c r="G4" s="72"/>
      <c r="H4" s="1"/>
    </row>
    <row r="5" spans="1:22" s="2" customFormat="1" ht="15.75" x14ac:dyDescent="0.25">
      <c r="A5" s="407" t="s">
        <v>639</v>
      </c>
      <c r="B5" s="407"/>
      <c r="C5" s="407"/>
      <c r="D5" s="49"/>
      <c r="E5" s="49"/>
      <c r="F5" s="49"/>
      <c r="G5" s="49"/>
      <c r="H5" s="49"/>
      <c r="I5" s="49"/>
      <c r="J5" s="49"/>
    </row>
    <row r="6" spans="1:22" s="2" customFormat="1" ht="18.75" x14ac:dyDescent="0.3">
      <c r="A6" s="73"/>
      <c r="C6" s="180"/>
      <c r="F6" s="72"/>
      <c r="G6" s="72"/>
      <c r="H6" s="1"/>
    </row>
    <row r="7" spans="1:22" s="2" customFormat="1" ht="18.75" x14ac:dyDescent="0.2">
      <c r="A7" s="414" t="s">
        <v>7</v>
      </c>
      <c r="B7" s="414"/>
      <c r="C7" s="414"/>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81"/>
      <c r="D8" s="75"/>
      <c r="E8" s="75"/>
      <c r="F8" s="75"/>
      <c r="G8" s="75"/>
      <c r="H8" s="75"/>
      <c r="I8" s="74"/>
      <c r="J8" s="74"/>
      <c r="K8" s="74"/>
      <c r="L8" s="74"/>
      <c r="M8" s="74"/>
      <c r="N8" s="74"/>
      <c r="O8" s="74"/>
      <c r="P8" s="74"/>
      <c r="Q8" s="74"/>
      <c r="R8" s="74"/>
      <c r="S8" s="74"/>
      <c r="T8" s="74"/>
      <c r="U8" s="74"/>
      <c r="V8" s="74"/>
    </row>
    <row r="9" spans="1:22" s="2" customFormat="1" ht="18.75" x14ac:dyDescent="0.2">
      <c r="A9" s="415" t="s">
        <v>604</v>
      </c>
      <c r="B9" s="415"/>
      <c r="C9" s="415"/>
      <c r="D9" s="76"/>
      <c r="E9" s="76"/>
      <c r="F9" s="76"/>
      <c r="G9" s="76"/>
      <c r="H9" s="76"/>
      <c r="I9" s="74"/>
      <c r="J9" s="74"/>
      <c r="K9" s="74"/>
      <c r="L9" s="74"/>
      <c r="M9" s="74"/>
      <c r="N9" s="74"/>
      <c r="O9" s="74"/>
      <c r="P9" s="74"/>
      <c r="Q9" s="74"/>
      <c r="R9" s="74"/>
      <c r="S9" s="74"/>
      <c r="T9" s="74"/>
      <c r="U9" s="74"/>
      <c r="V9" s="74"/>
    </row>
    <row r="10" spans="1:22" s="2" customFormat="1" ht="18.75" x14ac:dyDescent="0.2">
      <c r="A10" s="411" t="s">
        <v>6</v>
      </c>
      <c r="B10" s="411"/>
      <c r="C10" s="41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8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3" t="s">
        <v>613</v>
      </c>
      <c r="B12" s="413"/>
      <c r="C12" s="41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1" t="s">
        <v>5</v>
      </c>
      <c r="B13" s="411"/>
      <c r="C13" s="41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2" t="s">
        <v>614</v>
      </c>
      <c r="B15" s="412"/>
      <c r="C15" s="41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3"/>
      <c r="D17" s="81"/>
      <c r="E17" s="81"/>
      <c r="F17" s="81"/>
      <c r="G17" s="81"/>
      <c r="H17" s="81"/>
      <c r="I17" s="81"/>
      <c r="J17" s="81"/>
      <c r="K17" s="81"/>
      <c r="L17" s="81"/>
      <c r="M17" s="81"/>
      <c r="N17" s="81"/>
      <c r="O17" s="81"/>
      <c r="P17" s="81"/>
      <c r="Q17" s="81"/>
      <c r="R17" s="81"/>
      <c r="S17" s="81"/>
    </row>
    <row r="18" spans="1:22" s="80" customFormat="1" ht="15" customHeight="1" x14ac:dyDescent="0.2">
      <c r="A18" s="412" t="s">
        <v>374</v>
      </c>
      <c r="B18" s="413"/>
      <c r="C18" s="41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8" t="s">
        <v>475</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473</v>
      </c>
      <c r="C23" s="188" t="s">
        <v>476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8"/>
      <c r="B24" s="409"/>
      <c r="C24" s="41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5" t="s">
        <v>615</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542</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543</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542</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8"/>
      <c r="B39" s="409"/>
      <c r="C39" s="410"/>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9" t="str">
        <f>CONCATENATE("∆P10тп_тр=",'3.1. паспорт Техсостояние ПС'!O25," МВА; ∆L10тп_лэп=",('3.2 паспорт Техсостояние ЛЭП'!R27)," км;
SТПпотр=",'2. паспорт  ТП'!H23," МВт; Nсд_тпр=",'2. паспорт  ТП'!A22," договор; Фтз=",ROUND('5. анализ эконом эфф'!B122,2)," млн.руб.")</f>
        <v>∆P10тп_тр=0,8 МВА; ∆L10тп_лэп=0,254 км;
SТПпотр=0,3 МВт; Nсд_тпр=1 договор; Фтз=35,34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9" t="s">
        <v>544</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9" t="s">
        <v>544</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541</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8"/>
      <c r="B47" s="409"/>
      <c r="C47" s="41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2,08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28,71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7" t="str">
        <f>'1. паспорт местоположение'!A5:C5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row>
    <row r="5" spans="1:21" ht="18.75" x14ac:dyDescent="0.3">
      <c r="A5" s="17"/>
      <c r="B5" s="17"/>
      <c r="C5" s="17"/>
      <c r="D5" s="17"/>
      <c r="E5" s="17"/>
      <c r="F5" s="17"/>
      <c r="U5" s="1"/>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M_21-0752</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6" t="str">
        <f>'1. паспорт местоположение'!A15:C15</f>
        <v>Строительство КТП 10/0,4 кВ, КЛ-10 кВ, организация системы учета электроэнергии по Московскому проспекту в г. Калининграде</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17"/>
      <c r="T17" s="17"/>
    </row>
    <row r="18" spans="1:24" x14ac:dyDescent="0.25">
      <c r="A18" s="496" t="s">
        <v>359</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17"/>
      <c r="B19" s="17"/>
      <c r="C19" s="17"/>
      <c r="D19" s="17"/>
      <c r="E19" s="17"/>
      <c r="F19" s="17"/>
      <c r="T19" s="17"/>
    </row>
    <row r="20" spans="1:24" ht="33" customHeight="1" x14ac:dyDescent="0.25">
      <c r="A20" s="497" t="s">
        <v>181</v>
      </c>
      <c r="B20" s="497" t="s">
        <v>180</v>
      </c>
      <c r="C20" s="494" t="s">
        <v>179</v>
      </c>
      <c r="D20" s="494"/>
      <c r="E20" s="500" t="s">
        <v>178</v>
      </c>
      <c r="F20" s="500"/>
      <c r="G20" s="501" t="s">
        <v>534</v>
      </c>
      <c r="H20" s="504" t="s">
        <v>474</v>
      </c>
      <c r="I20" s="505"/>
      <c r="J20" s="505"/>
      <c r="K20" s="505"/>
      <c r="L20" s="504" t="s">
        <v>535</v>
      </c>
      <c r="M20" s="505"/>
      <c r="N20" s="505"/>
      <c r="O20" s="505"/>
      <c r="P20" s="504" t="s">
        <v>536</v>
      </c>
      <c r="Q20" s="505"/>
      <c r="R20" s="505"/>
      <c r="S20" s="505"/>
      <c r="T20" s="506" t="s">
        <v>177</v>
      </c>
      <c r="U20" s="507"/>
      <c r="V20" s="24"/>
      <c r="W20" s="24"/>
      <c r="X20" s="24"/>
    </row>
    <row r="21" spans="1:24" ht="99.75" customHeight="1" x14ac:dyDescent="0.25">
      <c r="A21" s="498"/>
      <c r="B21" s="498"/>
      <c r="C21" s="494"/>
      <c r="D21" s="494"/>
      <c r="E21" s="500"/>
      <c r="F21" s="500"/>
      <c r="G21" s="502"/>
      <c r="H21" s="494" t="s">
        <v>2</v>
      </c>
      <c r="I21" s="494"/>
      <c r="J21" s="494" t="s">
        <v>537</v>
      </c>
      <c r="K21" s="494"/>
      <c r="L21" s="494" t="s">
        <v>2</v>
      </c>
      <c r="M21" s="494"/>
      <c r="N21" s="494" t="s">
        <v>537</v>
      </c>
      <c r="O21" s="494"/>
      <c r="P21" s="494" t="s">
        <v>2</v>
      </c>
      <c r="Q21" s="494"/>
      <c r="R21" s="494" t="s">
        <v>537</v>
      </c>
      <c r="S21" s="494"/>
      <c r="T21" s="508"/>
      <c r="U21" s="509"/>
    </row>
    <row r="22" spans="1:24" ht="89.25" customHeight="1" x14ac:dyDescent="0.25">
      <c r="A22" s="499"/>
      <c r="B22" s="499"/>
      <c r="C22" s="198" t="s">
        <v>2</v>
      </c>
      <c r="D22" s="198" t="s">
        <v>176</v>
      </c>
      <c r="E22" s="199" t="s">
        <v>538</v>
      </c>
      <c r="F22" s="199" t="s">
        <v>657</v>
      </c>
      <c r="G22" s="503"/>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0.46919279999999997</v>
      </c>
      <c r="O24" s="205">
        <f t="shared" si="4"/>
        <v>0</v>
      </c>
      <c r="P24" s="205">
        <f>SUM(P25:P29)</f>
        <v>0</v>
      </c>
      <c r="Q24" s="205">
        <f t="shared" si="2"/>
        <v>0</v>
      </c>
      <c r="R24" s="205">
        <f t="shared" si="2"/>
        <v>1.61453654</v>
      </c>
      <c r="S24" s="205">
        <f t="shared" si="2"/>
        <v>1.61453654</v>
      </c>
      <c r="T24" s="206">
        <f>H24+L24+P24</f>
        <v>0</v>
      </c>
      <c r="U24" s="205">
        <f>J24+N24+R24</f>
        <v>2.0837293400000001</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399</v>
      </c>
      <c r="C28" s="209">
        <v>0</v>
      </c>
      <c r="D28" s="209">
        <v>0</v>
      </c>
      <c r="E28" s="209">
        <v>0</v>
      </c>
      <c r="F28" s="209">
        <v>0</v>
      </c>
      <c r="G28" s="209">
        <v>0</v>
      </c>
      <c r="H28" s="209">
        <v>0</v>
      </c>
      <c r="I28" s="209">
        <v>0</v>
      </c>
      <c r="J28" s="209">
        <v>0</v>
      </c>
      <c r="K28" s="209">
        <v>0</v>
      </c>
      <c r="L28" s="209">
        <v>0</v>
      </c>
      <c r="M28" s="209">
        <v>0</v>
      </c>
      <c r="N28" s="209">
        <v>0.46919279999999997</v>
      </c>
      <c r="O28" s="209">
        <v>0</v>
      </c>
      <c r="P28" s="209">
        <v>0</v>
      </c>
      <c r="Q28" s="209">
        <v>0</v>
      </c>
      <c r="R28" s="209">
        <v>1.61453654</v>
      </c>
      <c r="S28" s="209">
        <v>1.61453654</v>
      </c>
      <c r="T28" s="206">
        <f t="shared" si="5"/>
        <v>0</v>
      </c>
      <c r="U28" s="205">
        <f t="shared" si="6"/>
        <v>2.0837293400000001</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0.39099400000000001</v>
      </c>
      <c r="O30" s="206">
        <f t="shared" si="10"/>
        <v>0</v>
      </c>
      <c r="P30" s="206">
        <f t="shared" si="8"/>
        <v>0</v>
      </c>
      <c r="Q30" s="206">
        <f t="shared" si="8"/>
        <v>0</v>
      </c>
      <c r="R30" s="206">
        <f t="shared" si="8"/>
        <v>28.320791340000003</v>
      </c>
      <c r="S30" s="206">
        <f t="shared" si="8"/>
        <v>28.320791340000003</v>
      </c>
      <c r="T30" s="206">
        <f t="shared" si="5"/>
        <v>0</v>
      </c>
      <c r="U30" s="205">
        <f t="shared" si="6"/>
        <v>28.711785340000002</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0.39099400000000001</v>
      </c>
      <c r="O31" s="209">
        <v>0</v>
      </c>
      <c r="P31" s="209">
        <v>0</v>
      </c>
      <c r="Q31" s="209">
        <v>0</v>
      </c>
      <c r="R31" s="209">
        <v>0</v>
      </c>
      <c r="S31" s="209">
        <f>R31</f>
        <v>0</v>
      </c>
      <c r="T31" s="206">
        <f t="shared" si="5"/>
        <v>0</v>
      </c>
      <c r="U31" s="205">
        <f t="shared" si="6"/>
        <v>0.39099400000000001</v>
      </c>
      <c r="W31" s="403"/>
      <c r="X31" s="403"/>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9.2369737799999996</v>
      </c>
      <c r="S32" s="209">
        <f t="shared" ref="S32:S34" si="11">R32</f>
        <v>9.2369737799999996</v>
      </c>
      <c r="T32" s="206">
        <f t="shared" si="5"/>
        <v>0</v>
      </c>
      <c r="U32" s="205">
        <f t="shared" si="6"/>
        <v>9.2369737799999996</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17.419639510000003</v>
      </c>
      <c r="S33" s="209">
        <f t="shared" si="11"/>
        <v>17.419639510000003</v>
      </c>
      <c r="T33" s="206">
        <f t="shared" si="5"/>
        <v>0</v>
      </c>
      <c r="U33" s="205">
        <f t="shared" si="6"/>
        <v>17.419639510000003</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1.6641780500000001</v>
      </c>
      <c r="S34" s="209">
        <f t="shared" si="11"/>
        <v>1.6641780500000001</v>
      </c>
      <c r="T34" s="206">
        <f t="shared" si="5"/>
        <v>0</v>
      </c>
      <c r="U34" s="205">
        <f t="shared" si="6"/>
        <v>1.6641780500000001</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539</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539</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539</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540</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2"/>
      <c r="C66" s="492"/>
      <c r="D66" s="492"/>
      <c r="E66" s="492"/>
      <c r="F66" s="492"/>
      <c r="G66" s="492"/>
      <c r="H66" s="492"/>
      <c r="I66" s="492"/>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1"/>
      <c r="C68" s="491"/>
      <c r="D68" s="491"/>
      <c r="E68" s="491"/>
      <c r="F68" s="491"/>
      <c r="G68" s="491"/>
      <c r="H68" s="491"/>
      <c r="I68" s="491"/>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2"/>
      <c r="C70" s="492"/>
      <c r="D70" s="492"/>
      <c r="E70" s="492"/>
      <c r="F70" s="492"/>
      <c r="G70" s="492"/>
      <c r="H70" s="492"/>
      <c r="I70" s="492"/>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2"/>
      <c r="C72" s="492"/>
      <c r="D72" s="492"/>
      <c r="E72" s="492"/>
      <c r="F72" s="492"/>
      <c r="G72" s="492"/>
      <c r="H72" s="492"/>
      <c r="I72" s="492"/>
      <c r="J72" s="176"/>
      <c r="K72" s="176"/>
      <c r="L72" s="176"/>
      <c r="M72" s="176"/>
      <c r="N72" s="176"/>
      <c r="O72" s="176"/>
      <c r="P72" s="176"/>
      <c r="Q72" s="176"/>
      <c r="R72" s="176"/>
      <c r="S72" s="176"/>
      <c r="T72" s="17"/>
    </row>
    <row r="73" spans="1:20" ht="32.25" customHeight="1" x14ac:dyDescent="0.25">
      <c r="A73" s="17"/>
      <c r="B73" s="491"/>
      <c r="C73" s="491"/>
      <c r="D73" s="491"/>
      <c r="E73" s="491"/>
      <c r="F73" s="491"/>
      <c r="G73" s="491"/>
      <c r="H73" s="491"/>
      <c r="I73" s="491"/>
      <c r="J73" s="177"/>
      <c r="K73" s="177"/>
      <c r="L73" s="177"/>
      <c r="M73" s="177"/>
      <c r="N73" s="177"/>
      <c r="O73" s="177"/>
      <c r="P73" s="177"/>
      <c r="Q73" s="177"/>
      <c r="R73" s="177"/>
      <c r="S73" s="177"/>
      <c r="T73" s="17"/>
    </row>
    <row r="74" spans="1:20" ht="51.75" customHeight="1" x14ac:dyDescent="0.25">
      <c r="A74" s="17"/>
      <c r="B74" s="492"/>
      <c r="C74" s="492"/>
      <c r="D74" s="492"/>
      <c r="E74" s="492"/>
      <c r="F74" s="492"/>
      <c r="G74" s="492"/>
      <c r="H74" s="492"/>
      <c r="I74" s="492"/>
      <c r="J74" s="176"/>
      <c r="K74" s="176"/>
      <c r="L74" s="176"/>
      <c r="M74" s="176"/>
      <c r="N74" s="176"/>
      <c r="O74" s="176"/>
      <c r="P74" s="176"/>
      <c r="Q74" s="176"/>
      <c r="R74" s="176"/>
      <c r="S74" s="176"/>
      <c r="T74" s="17"/>
    </row>
    <row r="75" spans="1:20" ht="21.75" customHeight="1" x14ac:dyDescent="0.25">
      <c r="A75" s="17"/>
      <c r="B75" s="493"/>
      <c r="C75" s="493"/>
      <c r="D75" s="493"/>
      <c r="E75" s="493"/>
      <c r="F75" s="493"/>
      <c r="G75" s="493"/>
      <c r="H75" s="493"/>
      <c r="I75" s="493"/>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490"/>
      <c r="C77" s="490"/>
      <c r="D77" s="490"/>
      <c r="E77" s="490"/>
      <c r="F77" s="490"/>
      <c r="G77" s="490"/>
      <c r="H77" s="490"/>
      <c r="I77" s="490"/>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Q35:S35 Q51:S51 Q43:S43 Q58:S64 I25:J35 I58:O64 I51:O51 I43:O43 J35:O35 J25:O30 S31:S34 Q25:S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7" t="str">
        <f>'1. паспорт местоположение'!A5:C5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12" customFormat="1" ht="18.75" x14ac:dyDescent="0.3">
      <c r="AV6" s="1"/>
    </row>
    <row r="7" spans="1:48" s="212"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212"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212" customFormat="1" x14ac:dyDescent="0.25">
      <c r="A9" s="512" t="str">
        <f>'1. паспорт местоположение'!A9:C9</f>
        <v>Акционерное общество "Россети Янтарь"</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c r="AH9" s="512"/>
      <c r="AI9" s="512"/>
      <c r="AJ9" s="512"/>
      <c r="AK9" s="512"/>
      <c r="AL9" s="512"/>
      <c r="AM9" s="512"/>
      <c r="AN9" s="512"/>
      <c r="AO9" s="512"/>
      <c r="AP9" s="512"/>
      <c r="AQ9" s="512"/>
      <c r="AR9" s="512"/>
      <c r="AS9" s="512"/>
      <c r="AT9" s="512"/>
      <c r="AU9" s="512"/>
      <c r="AV9" s="512"/>
    </row>
    <row r="10" spans="1:48" s="212" customFormat="1" ht="15.75" x14ac:dyDescent="0.25">
      <c r="A10" s="471" t="s">
        <v>6</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s="212"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212" customFormat="1" x14ac:dyDescent="0.25">
      <c r="A12" s="512" t="str">
        <f>'1. паспорт местоположение'!A12:C12</f>
        <v>M_21-0752</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row>
    <row r="13" spans="1:48" s="212" customFormat="1" ht="15.75" x14ac:dyDescent="0.25">
      <c r="A13" s="471" t="s">
        <v>5</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s="212" customFormat="1" ht="18.75" x14ac:dyDescent="0.25">
      <c r="A14" s="513"/>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c r="AD14" s="513"/>
      <c r="AE14" s="513"/>
      <c r="AF14" s="513"/>
      <c r="AG14" s="513"/>
      <c r="AH14" s="513"/>
      <c r="AI14" s="513"/>
      <c r="AJ14" s="513"/>
      <c r="AK14" s="513"/>
      <c r="AL14" s="513"/>
      <c r="AM14" s="513"/>
      <c r="AN14" s="513"/>
      <c r="AO14" s="513"/>
      <c r="AP14" s="513"/>
      <c r="AQ14" s="513"/>
      <c r="AR14" s="513"/>
      <c r="AS14" s="513"/>
      <c r="AT14" s="513"/>
      <c r="AU14" s="513"/>
      <c r="AV14" s="513"/>
    </row>
    <row r="15" spans="1:48" s="212" customFormat="1" x14ac:dyDescent="0.25">
      <c r="A15" s="512" t="str">
        <f>'1. паспорт местоположение'!A15</f>
        <v>Строительство КТП 10/0,4 кВ, КЛ-10 кВ, организация системы учета электроэнергии по Московскому проспекту в г. Калининграде</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row>
    <row r="16" spans="1:48" s="212" customFormat="1" ht="15.75" x14ac:dyDescent="0.25">
      <c r="A16" s="471" t="s">
        <v>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s="212" customFormat="1"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s="212" customFormat="1"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s="212" customFormat="1"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3" customFormat="1"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row>
    <row r="21" spans="1:48" s="213" customFormat="1" x14ac:dyDescent="0.25">
      <c r="A21" s="514" t="s">
        <v>372</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132" customFormat="1" ht="58.5" customHeight="1" x14ac:dyDescent="0.25">
      <c r="A22" s="515" t="s">
        <v>50</v>
      </c>
      <c r="B22" s="518" t="s">
        <v>22</v>
      </c>
      <c r="C22" s="515" t="s">
        <v>49</v>
      </c>
      <c r="D22" s="515" t="s">
        <v>48</v>
      </c>
      <c r="E22" s="521" t="s">
        <v>381</v>
      </c>
      <c r="F22" s="522"/>
      <c r="G22" s="522"/>
      <c r="H22" s="522"/>
      <c r="I22" s="522"/>
      <c r="J22" s="522"/>
      <c r="K22" s="522"/>
      <c r="L22" s="523"/>
      <c r="M22" s="515" t="s">
        <v>47</v>
      </c>
      <c r="N22" s="515" t="s">
        <v>46</v>
      </c>
      <c r="O22" s="515" t="s">
        <v>45</v>
      </c>
      <c r="P22" s="524" t="s">
        <v>208</v>
      </c>
      <c r="Q22" s="524" t="s">
        <v>44</v>
      </c>
      <c r="R22" s="524" t="s">
        <v>43</v>
      </c>
      <c r="S22" s="524" t="s">
        <v>42</v>
      </c>
      <c r="T22" s="524"/>
      <c r="U22" s="525" t="s">
        <v>41</v>
      </c>
      <c r="V22" s="525" t="s">
        <v>40</v>
      </c>
      <c r="W22" s="524" t="s">
        <v>39</v>
      </c>
      <c r="X22" s="524" t="s">
        <v>38</v>
      </c>
      <c r="Y22" s="524" t="s">
        <v>37</v>
      </c>
      <c r="Z22" s="536"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4" t="s">
        <v>23</v>
      </c>
    </row>
    <row r="23" spans="1:48" s="132" customFormat="1" ht="64.5" customHeight="1" x14ac:dyDescent="0.25">
      <c r="A23" s="516"/>
      <c r="B23" s="519"/>
      <c r="C23" s="516"/>
      <c r="D23" s="516"/>
      <c r="E23" s="528" t="s">
        <v>21</v>
      </c>
      <c r="F23" s="530" t="s">
        <v>125</v>
      </c>
      <c r="G23" s="530" t="s">
        <v>124</v>
      </c>
      <c r="H23" s="530" t="s">
        <v>123</v>
      </c>
      <c r="I23" s="534" t="s">
        <v>318</v>
      </c>
      <c r="J23" s="534" t="s">
        <v>319</v>
      </c>
      <c r="K23" s="534" t="s">
        <v>320</v>
      </c>
      <c r="L23" s="530" t="s">
        <v>74</v>
      </c>
      <c r="M23" s="516"/>
      <c r="N23" s="516"/>
      <c r="O23" s="516"/>
      <c r="P23" s="524"/>
      <c r="Q23" s="524"/>
      <c r="R23" s="524"/>
      <c r="S23" s="532" t="s">
        <v>2</v>
      </c>
      <c r="T23" s="532"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4"/>
    </row>
    <row r="24" spans="1:48" s="132" customFormat="1" ht="96.75" customHeight="1" x14ac:dyDescent="0.25">
      <c r="A24" s="517"/>
      <c r="B24" s="520"/>
      <c r="C24" s="517"/>
      <c r="D24" s="517"/>
      <c r="E24" s="529"/>
      <c r="F24" s="531"/>
      <c r="G24" s="531"/>
      <c r="H24" s="531"/>
      <c r="I24" s="535"/>
      <c r="J24" s="535"/>
      <c r="K24" s="535"/>
      <c r="L24" s="531"/>
      <c r="M24" s="517"/>
      <c r="N24" s="517"/>
      <c r="O24" s="517"/>
      <c r="P24" s="524"/>
      <c r="Q24" s="524"/>
      <c r="R24" s="524"/>
      <c r="S24" s="533"/>
      <c r="T24" s="533"/>
      <c r="U24" s="525"/>
      <c r="V24" s="525"/>
      <c r="W24" s="524"/>
      <c r="X24" s="524"/>
      <c r="Y24" s="524"/>
      <c r="Z24" s="524"/>
      <c r="AA24" s="524"/>
      <c r="AB24" s="524"/>
      <c r="AC24" s="524"/>
      <c r="AD24" s="524"/>
      <c r="AE24" s="524"/>
      <c r="AF24" s="133" t="s">
        <v>11</v>
      </c>
      <c r="AG24" s="133" t="s">
        <v>10</v>
      </c>
      <c r="AH24" s="134" t="s">
        <v>2</v>
      </c>
      <c r="AI24" s="134" t="s">
        <v>9</v>
      </c>
      <c r="AJ24" s="517"/>
      <c r="AK24" s="517"/>
      <c r="AL24" s="517"/>
      <c r="AM24" s="517"/>
      <c r="AN24" s="517"/>
      <c r="AO24" s="517"/>
      <c r="AP24" s="517"/>
      <c r="AQ24" s="527"/>
      <c r="AR24" s="524"/>
      <c r="AS24" s="524"/>
      <c r="AT24" s="524"/>
      <c r="AU24" s="524"/>
      <c r="AV24" s="524"/>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6" customFormat="1" ht="51" x14ac:dyDescent="0.25">
      <c r="A26" s="217">
        <v>1</v>
      </c>
      <c r="B26" s="218" t="s">
        <v>388</v>
      </c>
      <c r="C26" s="218">
        <v>1</v>
      </c>
      <c r="D26" s="219">
        <f>'6.1. Паспорт сетевой график'!F53</f>
        <v>45019</v>
      </c>
      <c r="E26" s="218"/>
      <c r="F26" s="218"/>
      <c r="G26" s="218">
        <f>'3.1. паспорт Техсостояние ПС'!O25</f>
        <v>0.8</v>
      </c>
      <c r="H26" s="218"/>
      <c r="I26" s="349">
        <f>'3.2 паспорт Техсостояние ЛЭП'!R26</f>
        <v>0.126</v>
      </c>
      <c r="J26" s="220"/>
      <c r="K26" s="349"/>
      <c r="L26" s="218"/>
      <c r="M26" s="221" t="s">
        <v>599</v>
      </c>
      <c r="N26" s="222" t="s">
        <v>626</v>
      </c>
      <c r="O26" s="223" t="s">
        <v>388</v>
      </c>
      <c r="P26" s="224">
        <v>8035.09</v>
      </c>
      <c r="Q26" s="221" t="s">
        <v>600</v>
      </c>
      <c r="R26" s="224">
        <v>8035.09</v>
      </c>
      <c r="S26" s="223" t="s">
        <v>601</v>
      </c>
      <c r="T26" s="223" t="s">
        <v>607</v>
      </c>
      <c r="U26" s="221" t="s">
        <v>60</v>
      </c>
      <c r="V26" s="221" t="s">
        <v>60</v>
      </c>
      <c r="W26" s="223" t="s">
        <v>608</v>
      </c>
      <c r="X26" s="224" t="s">
        <v>627</v>
      </c>
      <c r="Y26" s="221"/>
      <c r="Z26" s="221" t="s">
        <v>62</v>
      </c>
      <c r="AA26" s="224" t="s">
        <v>627</v>
      </c>
      <c r="AB26" s="224">
        <v>8033.84</v>
      </c>
      <c r="AC26" s="223" t="s">
        <v>608</v>
      </c>
      <c r="AD26" s="224">
        <f>'8. Общие сведения'!B33*1000</f>
        <v>469.19280000000003</v>
      </c>
      <c r="AE26" s="224">
        <f>AD26</f>
        <v>469.19280000000003</v>
      </c>
      <c r="AF26" s="221" t="s">
        <v>628</v>
      </c>
      <c r="AG26" s="223" t="s">
        <v>602</v>
      </c>
      <c r="AH26" s="225">
        <v>44418</v>
      </c>
      <c r="AI26" s="225">
        <v>44418</v>
      </c>
      <c r="AJ26" s="225" t="s">
        <v>609</v>
      </c>
      <c r="AK26" s="225" t="s">
        <v>629</v>
      </c>
      <c r="AL26" s="221"/>
      <c r="AM26" s="221"/>
      <c r="AN26" s="221"/>
      <c r="AO26" s="221"/>
      <c r="AP26" s="221" t="s">
        <v>630</v>
      </c>
      <c r="AQ26" s="221" t="s">
        <v>630</v>
      </c>
      <c r="AR26" s="221" t="s">
        <v>630</v>
      </c>
      <c r="AS26" s="221" t="s">
        <v>630</v>
      </c>
      <c r="AT26" s="221" t="s">
        <v>631</v>
      </c>
      <c r="AU26" s="221"/>
      <c r="AV26" s="223" t="s">
        <v>638</v>
      </c>
    </row>
    <row r="27" spans="1:48" s="231" customFormat="1" ht="12.75" x14ac:dyDescent="0.25">
      <c r="A27" s="227"/>
      <c r="B27" s="228"/>
      <c r="C27" s="228"/>
      <c r="D27" s="229"/>
      <c r="E27" s="228"/>
      <c r="F27" s="228"/>
      <c r="G27" s="228"/>
      <c r="H27" s="228"/>
      <c r="I27" s="230"/>
      <c r="J27" s="230"/>
      <c r="K27" s="228"/>
      <c r="L27" s="228"/>
      <c r="M27" s="221"/>
      <c r="N27" s="223"/>
      <c r="O27" s="221"/>
      <c r="P27" s="224"/>
      <c r="Q27" s="223"/>
      <c r="R27" s="224"/>
      <c r="S27" s="223"/>
      <c r="T27" s="223"/>
      <c r="U27" s="221"/>
      <c r="V27" s="221"/>
      <c r="W27" s="223" t="s">
        <v>610</v>
      </c>
      <c r="X27" s="224" t="s">
        <v>632</v>
      </c>
      <c r="Y27" s="221"/>
      <c r="Z27" s="221"/>
      <c r="AA27" s="224" t="s">
        <v>632</v>
      </c>
      <c r="AB27" s="224"/>
      <c r="AC27" s="221"/>
      <c r="AD27" s="224"/>
      <c r="AE27" s="224"/>
      <c r="AF27" s="221"/>
      <c r="AG27" s="221"/>
      <c r="AH27" s="225"/>
      <c r="AI27" s="225"/>
      <c r="AJ27" s="225"/>
      <c r="AK27" s="225"/>
      <c r="AL27" s="221"/>
      <c r="AM27" s="221"/>
      <c r="AN27" s="221"/>
      <c r="AO27" s="221"/>
      <c r="AP27" s="221"/>
      <c r="AQ27" s="221"/>
      <c r="AR27" s="221"/>
      <c r="AS27" s="221"/>
      <c r="AT27" s="221"/>
      <c r="AU27" s="221"/>
      <c r="AV27" s="221"/>
    </row>
    <row r="28" spans="1:48" s="231" customFormat="1" ht="25.5" x14ac:dyDescent="0.25">
      <c r="A28" s="227"/>
      <c r="B28" s="228"/>
      <c r="C28" s="228"/>
      <c r="D28" s="229"/>
      <c r="E28" s="228"/>
      <c r="F28" s="228"/>
      <c r="G28" s="228"/>
      <c r="H28" s="228"/>
      <c r="I28" s="230"/>
      <c r="J28" s="230"/>
      <c r="K28" s="228"/>
      <c r="L28" s="228"/>
      <c r="M28" s="221"/>
      <c r="N28" s="223"/>
      <c r="O28" s="221"/>
      <c r="P28" s="224"/>
      <c r="Q28" s="223"/>
      <c r="R28" s="224"/>
      <c r="S28" s="223"/>
      <c r="T28" s="223"/>
      <c r="U28" s="221"/>
      <c r="V28" s="221"/>
      <c r="W28" s="223" t="s">
        <v>611</v>
      </c>
      <c r="X28" s="224" t="s">
        <v>633</v>
      </c>
      <c r="Y28" s="221"/>
      <c r="Z28" s="221"/>
      <c r="AA28" s="224" t="s">
        <v>633</v>
      </c>
      <c r="AB28" s="224"/>
      <c r="AC28" s="221"/>
      <c r="AD28" s="224"/>
      <c r="AE28" s="224"/>
      <c r="AF28" s="221"/>
      <c r="AG28" s="221"/>
      <c r="AH28" s="225"/>
      <c r="AI28" s="225"/>
      <c r="AJ28" s="225"/>
      <c r="AK28" s="225"/>
      <c r="AL28" s="221"/>
      <c r="AM28" s="221"/>
      <c r="AN28" s="221"/>
      <c r="AO28" s="221"/>
      <c r="AP28" s="221"/>
      <c r="AQ28" s="221"/>
      <c r="AR28" s="221"/>
      <c r="AS28" s="221"/>
      <c r="AT28" s="221"/>
      <c r="AU28" s="221"/>
      <c r="AV28" s="221"/>
    </row>
    <row r="29" spans="1:48" s="231" customFormat="1" ht="51" x14ac:dyDescent="0.25">
      <c r="A29" s="227">
        <v>2</v>
      </c>
      <c r="B29" s="218" t="s">
        <v>605</v>
      </c>
      <c r="C29" s="218">
        <v>1</v>
      </c>
      <c r="D29" s="219">
        <f>D26</f>
        <v>45019</v>
      </c>
      <c r="E29" s="218"/>
      <c r="F29" s="218"/>
      <c r="G29" s="218">
        <f>G26</f>
        <v>0.8</v>
      </c>
      <c r="H29" s="218"/>
      <c r="I29" s="220">
        <f>I26</f>
        <v>0.126</v>
      </c>
      <c r="J29" s="220"/>
      <c r="K29" s="218"/>
      <c r="L29" s="218"/>
      <c r="M29" s="228" t="s">
        <v>642</v>
      </c>
      <c r="N29" s="228" t="s">
        <v>643</v>
      </c>
      <c r="O29" s="228" t="s">
        <v>605</v>
      </c>
      <c r="P29" s="224">
        <v>27352.908019999999</v>
      </c>
      <c r="Q29" s="228" t="s">
        <v>644</v>
      </c>
      <c r="R29" s="228">
        <v>27352.908019999999</v>
      </c>
      <c r="S29" s="228" t="s">
        <v>645</v>
      </c>
      <c r="T29" s="228" t="s">
        <v>646</v>
      </c>
      <c r="U29" s="228">
        <v>1</v>
      </c>
      <c r="V29" s="228">
        <v>1</v>
      </c>
      <c r="W29" s="228" t="s">
        <v>647</v>
      </c>
      <c r="X29" s="224">
        <v>27352.074649999999</v>
      </c>
      <c r="Y29" s="228"/>
      <c r="Z29" s="228"/>
      <c r="AA29" s="224"/>
      <c r="AB29" s="224">
        <v>27352.074649999999</v>
      </c>
      <c r="AC29" s="228" t="s">
        <v>647</v>
      </c>
      <c r="AD29" s="224">
        <f>'8. Общие сведения'!B37*1000</f>
        <v>32370.413059999995</v>
      </c>
      <c r="AE29" s="224"/>
      <c r="AF29" s="221">
        <v>32211908538</v>
      </c>
      <c r="AG29" s="228" t="s">
        <v>648</v>
      </c>
      <c r="AH29" s="229">
        <v>44926</v>
      </c>
      <c r="AI29" s="229">
        <v>44896</v>
      </c>
      <c r="AJ29" s="229">
        <v>44907</v>
      </c>
      <c r="AK29" s="229">
        <v>44909</v>
      </c>
      <c r="AL29" s="228"/>
      <c r="AM29" s="228"/>
      <c r="AN29" s="228"/>
      <c r="AO29" s="228"/>
      <c r="AP29" s="225">
        <v>44921</v>
      </c>
      <c r="AQ29" s="225">
        <v>44921</v>
      </c>
      <c r="AR29" s="225">
        <v>44921</v>
      </c>
      <c r="AS29" s="225">
        <v>44921</v>
      </c>
      <c r="AT29" s="225">
        <v>45261</v>
      </c>
      <c r="AU29" s="228"/>
      <c r="AV29" s="228"/>
    </row>
    <row r="30" spans="1:48" s="231" customFormat="1" ht="12.75" x14ac:dyDescent="0.25">
      <c r="A30" s="227"/>
      <c r="B30" s="218"/>
      <c r="C30" s="218"/>
      <c r="D30" s="219"/>
      <c r="E30" s="218"/>
      <c r="F30" s="218"/>
      <c r="G30" s="218"/>
      <c r="H30" s="218"/>
      <c r="I30" s="220"/>
      <c r="J30" s="220"/>
      <c r="K30" s="218"/>
      <c r="L30" s="218"/>
      <c r="M30" s="228"/>
      <c r="N30" s="228"/>
      <c r="O30" s="228"/>
      <c r="P30" s="224"/>
      <c r="Q30" s="228"/>
      <c r="R30" s="228"/>
      <c r="S30" s="228"/>
      <c r="T30" s="228"/>
      <c r="U30" s="228"/>
      <c r="V30" s="228"/>
      <c r="W30" s="228"/>
      <c r="X30" s="224"/>
      <c r="Y30" s="228"/>
      <c r="Z30" s="228"/>
      <c r="AA30" s="224"/>
      <c r="AB30" s="224"/>
      <c r="AC30" s="228"/>
      <c r="AD30" s="224"/>
      <c r="AE30" s="224"/>
      <c r="AF30" s="229"/>
      <c r="AG30" s="228"/>
      <c r="AH30" s="229"/>
      <c r="AI30" s="229"/>
      <c r="AJ30" s="229"/>
      <c r="AK30" s="229"/>
      <c r="AL30" s="228"/>
      <c r="AM30" s="228"/>
      <c r="AN30" s="228"/>
      <c r="AO30" s="228"/>
      <c r="AP30" s="228"/>
      <c r="AQ30" s="228"/>
      <c r="AR30" s="228"/>
      <c r="AS30" s="228"/>
      <c r="AT30" s="228"/>
      <c r="AU30" s="228"/>
      <c r="AV30" s="228"/>
    </row>
    <row r="31" spans="1:48" s="231" customFormat="1" ht="12.75" x14ac:dyDescent="0.25">
      <c r="A31" s="227"/>
      <c r="B31" s="218"/>
      <c r="C31" s="218"/>
      <c r="D31" s="219"/>
      <c r="E31" s="218"/>
      <c r="F31" s="218"/>
      <c r="G31" s="218"/>
      <c r="H31" s="218"/>
      <c r="I31" s="220"/>
      <c r="J31" s="220"/>
      <c r="K31" s="218"/>
      <c r="L31" s="218"/>
      <c r="M31" s="228"/>
      <c r="N31" s="228"/>
      <c r="O31" s="228"/>
      <c r="P31" s="224"/>
      <c r="Q31" s="228"/>
      <c r="R31" s="228"/>
      <c r="S31" s="228"/>
      <c r="T31" s="228"/>
      <c r="U31" s="228"/>
      <c r="V31" s="228"/>
      <c r="W31" s="228"/>
      <c r="X31" s="224"/>
      <c r="Y31" s="228"/>
      <c r="Z31" s="228"/>
      <c r="AA31" s="224"/>
      <c r="AB31" s="224"/>
      <c r="AC31" s="228"/>
      <c r="AD31" s="224"/>
      <c r="AE31" s="224"/>
      <c r="AF31" s="229"/>
      <c r="AG31" s="228"/>
      <c r="AH31" s="229"/>
      <c r="AI31" s="229"/>
      <c r="AJ31" s="229"/>
      <c r="AK31" s="229"/>
      <c r="AL31" s="228"/>
      <c r="AM31" s="228"/>
      <c r="AN31" s="228"/>
      <c r="AO31" s="228"/>
      <c r="AP31" s="228"/>
      <c r="AQ31" s="228"/>
      <c r="AR31" s="228"/>
      <c r="AS31" s="228"/>
      <c r="AT31" s="228"/>
      <c r="AU31" s="228"/>
      <c r="AV31" s="228"/>
    </row>
    <row r="32" spans="1:48" x14ac:dyDescent="0.25">
      <c r="AD32" s="232">
        <f>SUM(AD26:AD31)</f>
        <v>32839.605859999996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1"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7" t="str">
        <f>'2. паспорт  ТП'!A4:S4</f>
        <v>Год раскрытия информации: 2023 год</v>
      </c>
      <c r="B5" s="537"/>
      <c r="C5" s="26"/>
      <c r="D5" s="26"/>
      <c r="E5" s="26"/>
      <c r="F5" s="26"/>
      <c r="G5" s="26"/>
      <c r="H5" s="26"/>
    </row>
    <row r="6" spans="1:8" ht="18.75" x14ac:dyDescent="0.3">
      <c r="A6" s="178"/>
      <c r="B6" s="178"/>
      <c r="C6" s="178"/>
      <c r="D6" s="178"/>
      <c r="E6" s="178"/>
      <c r="F6" s="178"/>
      <c r="G6" s="178"/>
      <c r="H6" s="178"/>
    </row>
    <row r="7" spans="1:8" ht="18.75" x14ac:dyDescent="0.25">
      <c r="A7" s="488" t="s">
        <v>7</v>
      </c>
      <c r="B7" s="488"/>
      <c r="C7" s="214"/>
      <c r="D7" s="214"/>
      <c r="E7" s="214"/>
      <c r="F7" s="214"/>
      <c r="G7" s="214"/>
      <c r="H7" s="214"/>
    </row>
    <row r="8" spans="1:8" ht="18.75" x14ac:dyDescent="0.25">
      <c r="A8" s="214"/>
      <c r="B8" s="214"/>
      <c r="C8" s="214"/>
      <c r="D8" s="214"/>
      <c r="E8" s="214"/>
      <c r="F8" s="214"/>
      <c r="G8" s="214"/>
      <c r="H8" s="214"/>
    </row>
    <row r="9" spans="1:8" x14ac:dyDescent="0.25">
      <c r="A9" s="489" t="str">
        <f>'1. паспорт местоположение'!A9:C9</f>
        <v>Акционерное общество "Россети Янтарь"</v>
      </c>
      <c r="B9" s="489"/>
      <c r="C9" s="215"/>
      <c r="D9" s="215"/>
      <c r="E9" s="215"/>
      <c r="F9" s="215"/>
      <c r="G9" s="215"/>
      <c r="H9" s="215"/>
    </row>
    <row r="10" spans="1:8" x14ac:dyDescent="0.25">
      <c r="A10" s="475" t="s">
        <v>6</v>
      </c>
      <c r="B10" s="475"/>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89" t="str">
        <f>'1. паспорт местоположение'!A12:C12</f>
        <v>M_21-0752</v>
      </c>
      <c r="B12" s="489"/>
      <c r="C12" s="215"/>
      <c r="D12" s="215"/>
      <c r="E12" s="215"/>
      <c r="F12" s="215"/>
      <c r="G12" s="215"/>
      <c r="H12" s="215"/>
    </row>
    <row r="13" spans="1:8" x14ac:dyDescent="0.25">
      <c r="A13" s="475" t="s">
        <v>5</v>
      </c>
      <c r="B13" s="475"/>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6" t="str">
        <f>'1. паспорт местоположение'!A15:C15</f>
        <v>Строительство КТП 10/0,4 кВ, КЛ-10 кВ, организация системы учета электроэнергии по Московскому проспекту в г. Калининграде</v>
      </c>
      <c r="B15" s="476"/>
      <c r="C15" s="215"/>
      <c r="D15" s="215"/>
      <c r="E15" s="215"/>
      <c r="F15" s="215"/>
      <c r="G15" s="215"/>
      <c r="H15" s="215"/>
    </row>
    <row r="16" spans="1:8" x14ac:dyDescent="0.25">
      <c r="A16" s="475" t="s">
        <v>4</v>
      </c>
      <c r="B16" s="475"/>
      <c r="C16" s="216"/>
      <c r="D16" s="216"/>
      <c r="E16" s="216"/>
      <c r="F16" s="216"/>
      <c r="G16" s="216"/>
      <c r="H16" s="216"/>
    </row>
    <row r="17" spans="1:2" x14ac:dyDescent="0.25">
      <c r="B17" s="29"/>
    </row>
    <row r="18" spans="1:2" ht="33.75" customHeight="1" x14ac:dyDescent="0.25">
      <c r="A18" s="538" t="s">
        <v>373</v>
      </c>
      <c r="B18" s="539"/>
    </row>
    <row r="19" spans="1:2" x14ac:dyDescent="0.25">
      <c r="B19" s="5"/>
    </row>
    <row r="20" spans="1:2" ht="16.5" thickBot="1" x14ac:dyDescent="0.3">
      <c r="B20" s="30"/>
    </row>
    <row r="21" spans="1:2" ht="30.75" thickBot="1" x14ac:dyDescent="0.3">
      <c r="A21" s="31" t="s">
        <v>272</v>
      </c>
      <c r="B21" s="56" t="str">
        <f>A15</f>
        <v>Строительство КТП 10/0,4 кВ, КЛ-10 кВ, организация системы учета электроэнергии по Московскому проспекту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541</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0,8 (0,8) МВА; 0,254 (0,254) км</v>
      </c>
    </row>
    <row r="25" spans="1:2" ht="16.5" thickBot="1" x14ac:dyDescent="0.3">
      <c r="A25" s="32" t="s">
        <v>275</v>
      </c>
      <c r="B25" s="60">
        <v>2023</v>
      </c>
    </row>
    <row r="26" spans="1:2" ht="16.5" thickBot="1" x14ac:dyDescent="0.3">
      <c r="A26" s="33" t="s">
        <v>276</v>
      </c>
      <c r="B26" s="61" t="s">
        <v>625</v>
      </c>
    </row>
    <row r="27" spans="1:2" ht="29.25" thickBot="1" x14ac:dyDescent="0.3">
      <c r="A27" s="39" t="s">
        <v>612</v>
      </c>
      <c r="B27" s="148">
        <f>'5. анализ эконом эфф'!B122</f>
        <v>35.344380000000001</v>
      </c>
    </row>
    <row r="28" spans="1:2" ht="16.5" thickBot="1" x14ac:dyDescent="0.3">
      <c r="A28" s="35" t="s">
        <v>277</v>
      </c>
      <c r="B28" s="61" t="s">
        <v>656</v>
      </c>
    </row>
    <row r="29" spans="1:2" ht="29.25" thickBot="1" x14ac:dyDescent="0.3">
      <c r="A29" s="40" t="s">
        <v>278</v>
      </c>
      <c r="B29" s="148">
        <f>'7. Паспорт отчет о закупке'!AD32/1000</f>
        <v>32.839605859999999</v>
      </c>
    </row>
    <row r="30" spans="1:2" ht="29.25" thickBot="1" x14ac:dyDescent="0.3">
      <c r="A30" s="40" t="s">
        <v>279</v>
      </c>
      <c r="B30" s="148">
        <f>B32+B49+B66</f>
        <v>32.839605859999999</v>
      </c>
    </row>
    <row r="31" spans="1:2" ht="16.5" thickBot="1" x14ac:dyDescent="0.3">
      <c r="A31" s="35" t="s">
        <v>280</v>
      </c>
      <c r="B31" s="62"/>
    </row>
    <row r="32" spans="1:2" ht="29.25" thickBot="1" x14ac:dyDescent="0.3">
      <c r="A32" s="40" t="s">
        <v>281</v>
      </c>
      <c r="B32" s="148">
        <f>SUMIF(C33:C48,10,B33:B48)</f>
        <v>32.839605859999999</v>
      </c>
    </row>
    <row r="33" spans="1:3" ht="45.75" thickBot="1" x14ac:dyDescent="0.3">
      <c r="A33" s="354" t="s">
        <v>636</v>
      </c>
      <c r="B33" s="355">
        <f>9.6402544*0+0.4691928</f>
        <v>0.46919280000000002</v>
      </c>
      <c r="C33" s="17">
        <v>10</v>
      </c>
    </row>
    <row r="34" spans="1:3" ht="16.5" thickBot="1" x14ac:dyDescent="0.3">
      <c r="A34" s="35" t="s">
        <v>283</v>
      </c>
      <c r="B34" s="64">
        <f>B33/$B$27</f>
        <v>1.3274891227403055E-2</v>
      </c>
    </row>
    <row r="35" spans="1:3" ht="16.5" thickBot="1" x14ac:dyDescent="0.3">
      <c r="A35" s="35" t="s">
        <v>284</v>
      </c>
      <c r="B35" s="148">
        <v>0.46919280000000002</v>
      </c>
      <c r="C35" s="17">
        <v>1</v>
      </c>
    </row>
    <row r="36" spans="1:3" ht="16.5" thickBot="1" x14ac:dyDescent="0.3">
      <c r="A36" s="35" t="s">
        <v>285</v>
      </c>
      <c r="B36" s="148">
        <v>0.46919280000000002</v>
      </c>
      <c r="C36" s="17">
        <v>2</v>
      </c>
    </row>
    <row r="37" spans="1:3" ht="30.75" thickBot="1" x14ac:dyDescent="0.3">
      <c r="A37" s="354" t="s">
        <v>640</v>
      </c>
      <c r="B37" s="355">
        <f>32.82188958*0+B40</f>
        <v>32.370413059999997</v>
      </c>
      <c r="C37" s="17">
        <v>10</v>
      </c>
    </row>
    <row r="38" spans="1:3" ht="16.5" thickBot="1" x14ac:dyDescent="0.3">
      <c r="A38" s="35" t="s">
        <v>283</v>
      </c>
      <c r="B38" s="64">
        <f>B37/$B$27</f>
        <v>0.91585743079946502</v>
      </c>
    </row>
    <row r="39" spans="1:3" ht="16.5" thickBot="1" x14ac:dyDescent="0.3">
      <c r="A39" s="35" t="s">
        <v>284</v>
      </c>
      <c r="B39" s="148"/>
      <c r="C39" s="17">
        <v>1</v>
      </c>
    </row>
    <row r="40" spans="1:3" ht="16.5" thickBot="1" x14ac:dyDescent="0.3">
      <c r="A40" s="35" t="s">
        <v>285</v>
      </c>
      <c r="B40" s="148">
        <v>32.370413059999997</v>
      </c>
      <c r="C40" s="17">
        <v>2</v>
      </c>
    </row>
    <row r="41" spans="1:3" ht="16.5" thickBot="1" x14ac:dyDescent="0.3">
      <c r="A41" s="63" t="s">
        <v>282</v>
      </c>
      <c r="B41" s="233"/>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3"/>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3"/>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3"/>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3"/>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3"/>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3"/>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3"/>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3"/>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3"/>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3"/>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3"/>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4">
        <f>B30/B27</f>
        <v>0.92913232202686813</v>
      </c>
    </row>
    <row r="92" spans="1:3" ht="16.5" thickBot="1" x14ac:dyDescent="0.3">
      <c r="A92" s="36" t="s">
        <v>280</v>
      </c>
      <c r="B92" s="405"/>
    </row>
    <row r="93" spans="1:3" ht="16.5" thickBot="1" x14ac:dyDescent="0.3">
      <c r="A93" s="36" t="s">
        <v>289</v>
      </c>
      <c r="B93" s="404">
        <f>B38-B94</f>
        <v>0.91585743079946502</v>
      </c>
    </row>
    <row r="94" spans="1:3" ht="16.5" thickBot="1" x14ac:dyDescent="0.3">
      <c r="A94" s="36" t="s">
        <v>290</v>
      </c>
      <c r="B94" s="404"/>
    </row>
    <row r="95" spans="1:3" ht="16.5" thickBot="1" x14ac:dyDescent="0.3">
      <c r="A95" s="36" t="s">
        <v>291</v>
      </c>
      <c r="B95" s="404">
        <f>0.4691928/B27</f>
        <v>1.3274891227403055E-2</v>
      </c>
    </row>
    <row r="96" spans="1:3" s="359" customFormat="1" ht="34.5" customHeight="1" thickBot="1" x14ac:dyDescent="0.3">
      <c r="A96" s="356" t="s">
        <v>603</v>
      </c>
      <c r="B96" s="357">
        <f xml:space="preserve"> SUMIF(C97:C104, 40,B97:B104)</f>
        <v>1.61453654</v>
      </c>
      <c r="C96" s="358"/>
    </row>
    <row r="97" spans="1:3" s="361" customFormat="1" ht="30.75" thickBot="1" x14ac:dyDescent="0.3">
      <c r="A97" s="354" t="s">
        <v>658</v>
      </c>
      <c r="B97" s="355">
        <v>1.61453654</v>
      </c>
      <c r="C97" s="360">
        <v>40</v>
      </c>
    </row>
    <row r="98" spans="1:3" s="361" customFormat="1" ht="16.5" thickBot="1" x14ac:dyDescent="0.3">
      <c r="A98" s="35" t="s">
        <v>283</v>
      </c>
      <c r="B98" s="64">
        <f t="shared" ref="B98" si="0">B97/$B$27</f>
        <v>4.5680148866665646E-2</v>
      </c>
    </row>
    <row r="99" spans="1:3" s="361" customFormat="1" ht="16.5" thickBot="1" x14ac:dyDescent="0.3">
      <c r="A99" s="35" t="s">
        <v>284</v>
      </c>
      <c r="B99" s="148">
        <v>1.61453654</v>
      </c>
      <c r="C99" s="361">
        <v>1</v>
      </c>
    </row>
    <row r="100" spans="1:3" s="361" customFormat="1" ht="16.5" thickBot="1" x14ac:dyDescent="0.3">
      <c r="A100" s="35" t="s">
        <v>285</v>
      </c>
      <c r="B100" s="148">
        <v>1.61453654</v>
      </c>
      <c r="C100" s="361">
        <v>2</v>
      </c>
    </row>
    <row r="101" spans="1:3" s="361" customFormat="1" ht="16.5" thickBot="1" x14ac:dyDescent="0.3">
      <c r="A101" s="63" t="s">
        <v>282</v>
      </c>
      <c r="B101" s="233"/>
      <c r="C101" s="360">
        <v>40</v>
      </c>
    </row>
    <row r="102" spans="1:3" s="361" customFormat="1" ht="16.5" thickBot="1" x14ac:dyDescent="0.3">
      <c r="A102" s="35" t="s">
        <v>283</v>
      </c>
      <c r="B102" s="64">
        <f t="shared" ref="B102" si="1">B101/$B$27</f>
        <v>0</v>
      </c>
    </row>
    <row r="103" spans="1:3" s="361" customFormat="1" ht="16.5" thickBot="1" x14ac:dyDescent="0.3">
      <c r="A103" s="35" t="s">
        <v>284</v>
      </c>
      <c r="B103" s="148"/>
      <c r="C103" s="361">
        <v>1</v>
      </c>
    </row>
    <row r="104" spans="1:3" s="361" customFormat="1" ht="16.5" thickBot="1" x14ac:dyDescent="0.3">
      <c r="A104" s="35" t="s">
        <v>285</v>
      </c>
      <c r="B104" s="148"/>
      <c r="C104" s="361">
        <v>2</v>
      </c>
    </row>
    <row r="105" spans="1:3" ht="16.5" thickBot="1" x14ac:dyDescent="0.3">
      <c r="A105" s="32" t="s">
        <v>292</v>
      </c>
      <c r="B105" s="65">
        <f>B106/$B$27</f>
        <v>5.8955040094068704E-2</v>
      </c>
    </row>
    <row r="106" spans="1:3" ht="16.5" thickBot="1" x14ac:dyDescent="0.3">
      <c r="A106" s="32" t="s">
        <v>293</v>
      </c>
      <c r="B106" s="149">
        <f xml:space="preserve"> SUMIF(C33:C104, 1,B33:B104)</f>
        <v>2.0837293400000001</v>
      </c>
    </row>
    <row r="107" spans="1:3" ht="16.5" thickBot="1" x14ac:dyDescent="0.3">
      <c r="A107" s="32" t="s">
        <v>294</v>
      </c>
      <c r="B107" s="65">
        <f>B108/$B$27</f>
        <v>0.97481247089353384</v>
      </c>
    </row>
    <row r="108" spans="1:3" ht="16.5" thickBot="1" x14ac:dyDescent="0.3">
      <c r="A108" s="33" t="s">
        <v>295</v>
      </c>
      <c r="B108" s="149">
        <f xml:space="preserve"> SUMIF(C33:C104, 2,B33:B104)</f>
        <v>34.454142400000002</v>
      </c>
    </row>
    <row r="109" spans="1:3" ht="15.75" customHeight="1" x14ac:dyDescent="0.25">
      <c r="A109" s="34" t="s">
        <v>296</v>
      </c>
      <c r="B109" s="36" t="s">
        <v>402</v>
      </c>
    </row>
    <row r="110" spans="1:3" x14ac:dyDescent="0.25">
      <c r="A110" s="37" t="s">
        <v>297</v>
      </c>
      <c r="B110" s="37" t="s">
        <v>605</v>
      </c>
    </row>
    <row r="111" spans="1:3" ht="45" x14ac:dyDescent="0.25">
      <c r="A111" s="37" t="s">
        <v>298</v>
      </c>
      <c r="B111" s="37" t="s">
        <v>637</v>
      </c>
    </row>
    <row r="112" spans="1:3" x14ac:dyDescent="0.25">
      <c r="A112" s="37" t="s">
        <v>299</v>
      </c>
      <c r="B112" s="37"/>
    </row>
    <row r="113" spans="1:2" x14ac:dyDescent="0.25">
      <c r="A113" s="37" t="s">
        <v>300</v>
      </c>
      <c r="B113" s="37" t="s">
        <v>641</v>
      </c>
    </row>
    <row r="114" spans="1:2" ht="16.5" thickBot="1" x14ac:dyDescent="0.3">
      <c r="A114" s="38" t="s">
        <v>301</v>
      </c>
      <c r="B114" s="38"/>
    </row>
    <row r="115" spans="1:2" ht="30.75" thickBot="1" x14ac:dyDescent="0.3">
      <c r="A115" s="36" t="s">
        <v>302</v>
      </c>
      <c r="B115" s="66" t="s">
        <v>477</v>
      </c>
    </row>
    <row r="116" spans="1:2" ht="29.25" thickBot="1" x14ac:dyDescent="0.3">
      <c r="A116" s="32" t="s">
        <v>303</v>
      </c>
      <c r="B116" s="346">
        <v>7</v>
      </c>
    </row>
    <row r="117" spans="1:2" ht="16.5" thickBot="1" x14ac:dyDescent="0.3">
      <c r="A117" s="36" t="s">
        <v>280</v>
      </c>
      <c r="B117" s="347"/>
    </row>
    <row r="118" spans="1:2" ht="16.5" thickBot="1" x14ac:dyDescent="0.3">
      <c r="A118" s="36" t="s">
        <v>304</v>
      </c>
      <c r="B118" s="346">
        <v>4</v>
      </c>
    </row>
    <row r="119" spans="1:2" ht="16.5" thickBot="1" x14ac:dyDescent="0.3">
      <c r="A119" s="36" t="s">
        <v>305</v>
      </c>
      <c r="B119" s="347">
        <v>3</v>
      </c>
    </row>
    <row r="120" spans="1:2" ht="16.5" thickBot="1" x14ac:dyDescent="0.3">
      <c r="A120" s="41" t="s">
        <v>306</v>
      </c>
      <c r="B120" s="179" t="s">
        <v>635</v>
      </c>
    </row>
    <row r="121" spans="1:2" ht="16.5" thickBot="1" x14ac:dyDescent="0.3">
      <c r="A121" s="32" t="s">
        <v>307</v>
      </c>
      <c r="B121" s="68"/>
    </row>
    <row r="122" spans="1:2" ht="16.5" thickBot="1" x14ac:dyDescent="0.3">
      <c r="A122" s="37" t="s">
        <v>308</v>
      </c>
      <c r="B122" s="234" t="str">
        <f>'6.1. Паспорт сетевой график'!F43</f>
        <v>не требуется</v>
      </c>
    </row>
    <row r="123" spans="1:2" ht="16.5" thickBot="1" x14ac:dyDescent="0.3">
      <c r="A123" s="37" t="s">
        <v>309</v>
      </c>
      <c r="B123" s="69" t="s">
        <v>477</v>
      </c>
    </row>
    <row r="124" spans="1:2" ht="16.5" thickBot="1" x14ac:dyDescent="0.3">
      <c r="A124" s="37" t="s">
        <v>310</v>
      </c>
      <c r="B124" s="69" t="s">
        <v>477</v>
      </c>
    </row>
    <row r="125" spans="1:2" ht="30.75" thickBot="1" x14ac:dyDescent="0.3">
      <c r="A125" s="42" t="s">
        <v>311</v>
      </c>
      <c r="B125" s="67" t="s">
        <v>655</v>
      </c>
    </row>
    <row r="126" spans="1:2" ht="28.5" customHeight="1" x14ac:dyDescent="0.25">
      <c r="A126" s="34" t="s">
        <v>312</v>
      </c>
      <c r="B126" s="540" t="s">
        <v>634</v>
      </c>
    </row>
    <row r="127" spans="1:2" x14ac:dyDescent="0.25">
      <c r="A127" s="37" t="s">
        <v>313</v>
      </c>
      <c r="B127" s="541"/>
    </row>
    <row r="128" spans="1:2" x14ac:dyDescent="0.25">
      <c r="A128" s="37" t="s">
        <v>314</v>
      </c>
      <c r="B128" s="541"/>
    </row>
    <row r="129" spans="1:2" x14ac:dyDescent="0.25">
      <c r="A129" s="37" t="s">
        <v>315</v>
      </c>
      <c r="B129" s="541"/>
    </row>
    <row r="130" spans="1:2" x14ac:dyDescent="0.25">
      <c r="A130" s="37" t="s">
        <v>316</v>
      </c>
      <c r="B130" s="541"/>
    </row>
    <row r="131" spans="1:2" ht="16.5" thickBot="1" x14ac:dyDescent="0.3">
      <c r="A131" s="43" t="s">
        <v>317</v>
      </c>
      <c r="B131" s="542"/>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7" t="str">
        <f>CONCATENATE('1. паспорт местоположение'!A5:B5,'1. паспорт местоположение'!C5)</f>
        <v>Год раскрытия информации: 2023 год</v>
      </c>
      <c r="B4" s="407"/>
      <c r="C4" s="407"/>
      <c r="D4" s="407"/>
      <c r="E4" s="407"/>
      <c r="F4" s="407"/>
      <c r="G4" s="407"/>
      <c r="H4" s="407"/>
      <c r="I4" s="407"/>
      <c r="J4" s="407"/>
      <c r="K4" s="407"/>
      <c r="L4" s="407"/>
      <c r="M4" s="407"/>
      <c r="N4" s="407"/>
      <c r="O4" s="407"/>
      <c r="P4" s="407"/>
      <c r="Q4" s="407"/>
      <c r="R4" s="407"/>
      <c r="S4" s="407"/>
    </row>
    <row r="5" spans="1:28" s="2" customFormat="1" ht="15.75" x14ac:dyDescent="0.2">
      <c r="A5" s="73"/>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8.75" x14ac:dyDescent="0.2">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1" t="s">
        <v>6</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8.75" x14ac:dyDescent="0.2">
      <c r="A11" s="419" t="str">
        <f>'1. паспорт местоположение'!A12:C12</f>
        <v>M_21-0752</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75" x14ac:dyDescent="0.2">
      <c r="A14" s="416" t="str">
        <f>'1. паспорт местоположение'!A15:C15</f>
        <v>Строительство КТП 10/0,4 кВ, КЛ-10 кВ, организация системы учета электроэнергии по Московскому проспекту в г. Калининграде</v>
      </c>
      <c r="B14" s="416"/>
      <c r="C14" s="416"/>
      <c r="D14" s="416"/>
      <c r="E14" s="416"/>
      <c r="F14" s="416"/>
      <c r="G14" s="416"/>
      <c r="H14" s="416"/>
      <c r="I14" s="416"/>
      <c r="J14" s="416"/>
      <c r="K14" s="416"/>
      <c r="L14" s="416"/>
      <c r="M14" s="416"/>
      <c r="N14" s="416"/>
      <c r="O14" s="416"/>
      <c r="P14" s="416"/>
      <c r="Q14" s="416"/>
      <c r="R14" s="416"/>
      <c r="S14" s="416"/>
      <c r="T14" s="76"/>
      <c r="U14" s="76"/>
      <c r="V14" s="76"/>
      <c r="W14" s="76"/>
      <c r="X14" s="76"/>
      <c r="Y14" s="76"/>
      <c r="Z14" s="76"/>
      <c r="AA14" s="76"/>
      <c r="AB14" s="76"/>
    </row>
    <row r="15" spans="1:28" s="80" customFormat="1" ht="15" customHeight="1" x14ac:dyDescent="0.2">
      <c r="A15" s="411" t="s">
        <v>4</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81"/>
      <c r="U16" s="81"/>
      <c r="V16" s="81"/>
      <c r="W16" s="81"/>
      <c r="X16" s="81"/>
      <c r="Y16" s="81"/>
    </row>
    <row r="17" spans="1:28" s="80" customFormat="1" ht="45.75" customHeight="1" x14ac:dyDescent="0.2">
      <c r="A17" s="412" t="s">
        <v>348</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81"/>
      <c r="U18" s="81"/>
      <c r="V18" s="81"/>
      <c r="W18" s="81"/>
      <c r="X18" s="81"/>
      <c r="Y18" s="81"/>
    </row>
    <row r="19" spans="1:28" s="80" customFormat="1" ht="54" customHeight="1" x14ac:dyDescent="0.2">
      <c r="A19" s="421" t="s">
        <v>3</v>
      </c>
      <c r="B19" s="421" t="s">
        <v>94</v>
      </c>
      <c r="C19" s="422" t="s">
        <v>271</v>
      </c>
      <c r="D19" s="421" t="s">
        <v>270</v>
      </c>
      <c r="E19" s="421" t="s">
        <v>93</v>
      </c>
      <c r="F19" s="421" t="s">
        <v>92</v>
      </c>
      <c r="G19" s="421" t="s">
        <v>266</v>
      </c>
      <c r="H19" s="421" t="s">
        <v>91</v>
      </c>
      <c r="I19" s="421" t="s">
        <v>90</v>
      </c>
      <c r="J19" s="421" t="s">
        <v>89</v>
      </c>
      <c r="K19" s="421" t="s">
        <v>88</v>
      </c>
      <c r="L19" s="421" t="s">
        <v>87</v>
      </c>
      <c r="M19" s="421" t="s">
        <v>86</v>
      </c>
      <c r="N19" s="421" t="s">
        <v>85</v>
      </c>
      <c r="O19" s="421" t="s">
        <v>84</v>
      </c>
      <c r="P19" s="421" t="s">
        <v>83</v>
      </c>
      <c r="Q19" s="421" t="s">
        <v>269</v>
      </c>
      <c r="R19" s="421"/>
      <c r="S19" s="424" t="s">
        <v>342</v>
      </c>
      <c r="T19" s="81"/>
      <c r="U19" s="81"/>
      <c r="V19" s="81"/>
      <c r="W19" s="81"/>
      <c r="X19" s="81"/>
      <c r="Y19" s="81"/>
    </row>
    <row r="20" spans="1:28" s="80" customFormat="1" ht="180.75" customHeight="1" x14ac:dyDescent="0.2">
      <c r="A20" s="421"/>
      <c r="B20" s="421"/>
      <c r="C20" s="423"/>
      <c r="D20" s="421"/>
      <c r="E20" s="421"/>
      <c r="F20" s="421"/>
      <c r="G20" s="421"/>
      <c r="H20" s="421"/>
      <c r="I20" s="421"/>
      <c r="J20" s="421"/>
      <c r="K20" s="421"/>
      <c r="L20" s="421"/>
      <c r="M20" s="421"/>
      <c r="N20" s="421"/>
      <c r="O20" s="421"/>
      <c r="P20" s="421"/>
      <c r="Q20" s="99" t="s">
        <v>267</v>
      </c>
      <c r="R20" s="100" t="s">
        <v>268</v>
      </c>
      <c r="S20" s="42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8.75" customHeight="1" x14ac:dyDescent="0.2">
      <c r="A22" s="85">
        <v>1</v>
      </c>
      <c r="B22" s="85" t="s">
        <v>617</v>
      </c>
      <c r="C22" s="85" t="s">
        <v>618</v>
      </c>
      <c r="D22" s="85" t="s">
        <v>659</v>
      </c>
      <c r="E22" s="85" t="s">
        <v>619</v>
      </c>
      <c r="F22" s="85" t="s">
        <v>620</v>
      </c>
      <c r="G22" s="85" t="s">
        <v>621</v>
      </c>
      <c r="H22" s="85">
        <v>0.3</v>
      </c>
      <c r="I22" s="85"/>
      <c r="J22" s="85">
        <v>0.3</v>
      </c>
      <c r="K22" s="85" t="s">
        <v>622</v>
      </c>
      <c r="L22" s="85">
        <v>3</v>
      </c>
      <c r="M22" s="85">
        <v>0.8</v>
      </c>
      <c r="N22" s="85">
        <v>2</v>
      </c>
      <c r="O22" s="85"/>
      <c r="P22" s="85"/>
      <c r="Q22" s="97" t="s">
        <v>623</v>
      </c>
      <c r="R22" s="85"/>
      <c r="S22" s="85">
        <v>13.53664944</v>
      </c>
      <c r="T22" s="87"/>
      <c r="U22" s="87"/>
      <c r="V22" s="87"/>
      <c r="W22" s="87"/>
      <c r="X22" s="87"/>
      <c r="Y22" s="87"/>
      <c r="Z22" s="88"/>
      <c r="AA22" s="88"/>
      <c r="AB22" s="88"/>
    </row>
    <row r="23" spans="1:28" s="80" customFormat="1" ht="18.75" x14ac:dyDescent="0.2">
      <c r="A23" s="99"/>
      <c r="B23" s="101" t="s">
        <v>478</v>
      </c>
      <c r="C23" s="101"/>
      <c r="D23" s="101"/>
      <c r="E23" s="101"/>
      <c r="F23" s="101"/>
      <c r="G23" s="101"/>
      <c r="H23" s="55">
        <f>SUM(H22:H22)</f>
        <v>0.3</v>
      </c>
      <c r="I23" s="3"/>
      <c r="J23" s="55">
        <f>SUM(J22:J22)</f>
        <v>0.3</v>
      </c>
      <c r="K23" s="3"/>
      <c r="L23" s="3"/>
      <c r="M23" s="3"/>
      <c r="N23" s="3"/>
      <c r="O23" s="3"/>
      <c r="P23" s="3"/>
      <c r="Q23" s="3"/>
      <c r="R23" s="102"/>
      <c r="S23" s="55">
        <f>SUM(S22)</f>
        <v>13.53664944</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O25" sqref="O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7" t="str">
        <f>'2. паспорт  ТП'!A4</f>
        <v>Год раскрытия информации: 2023 год</v>
      </c>
      <c r="B5" s="407"/>
      <c r="C5" s="407"/>
      <c r="D5" s="407"/>
      <c r="E5" s="407"/>
      <c r="F5" s="407"/>
      <c r="G5" s="407"/>
      <c r="H5" s="407"/>
      <c r="I5" s="407"/>
      <c r="J5" s="407"/>
      <c r="K5" s="407"/>
      <c r="L5" s="407"/>
      <c r="M5" s="407"/>
      <c r="N5" s="407"/>
      <c r="O5" s="407"/>
      <c r="P5" s="407"/>
      <c r="Q5" s="407"/>
      <c r="R5" s="407"/>
      <c r="S5" s="407"/>
      <c r="T5" s="407"/>
    </row>
    <row r="6" spans="1:20" s="2" customFormat="1" x14ac:dyDescent="0.2">
      <c r="A6" s="73"/>
      <c r="H6" s="158"/>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9" t="str">
        <f>'2. паспорт  ТП'!A11</f>
        <v>M_21-0752</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
      <c r="A15" s="416" t="str">
        <f>'2. паспорт  ТП'!A14</f>
        <v>Строительство КТП 10/0,4 кВ, КЛ-10 кВ, организация системы учета электроэнергии по Московскому проспекту в г. Калининграде</v>
      </c>
      <c r="B15" s="416"/>
      <c r="C15" s="416"/>
      <c r="D15" s="416"/>
      <c r="E15" s="416"/>
      <c r="F15" s="416"/>
      <c r="G15" s="416"/>
      <c r="H15" s="416"/>
      <c r="I15" s="416"/>
      <c r="J15" s="416"/>
      <c r="K15" s="416"/>
      <c r="L15" s="416"/>
      <c r="M15" s="416"/>
      <c r="N15" s="416"/>
      <c r="O15" s="416"/>
      <c r="P15" s="416"/>
      <c r="Q15" s="416"/>
      <c r="R15" s="416"/>
      <c r="S15" s="416"/>
      <c r="T15" s="416"/>
    </row>
    <row r="16" spans="1:20" s="80" customFormat="1" ht="15" customHeight="1" x14ac:dyDescent="0.2">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
      <c r="A17" s="417"/>
      <c r="B17" s="417"/>
      <c r="C17" s="417"/>
      <c r="D17" s="417"/>
      <c r="E17" s="417"/>
      <c r="F17" s="417"/>
      <c r="G17" s="417"/>
      <c r="H17" s="417"/>
      <c r="I17" s="417"/>
      <c r="J17" s="417"/>
      <c r="K17" s="417"/>
      <c r="L17" s="417"/>
      <c r="M17" s="417"/>
      <c r="N17" s="417"/>
      <c r="O17" s="417"/>
      <c r="P17" s="417"/>
      <c r="Q17" s="417"/>
      <c r="R17" s="417"/>
      <c r="S17" s="417"/>
      <c r="T17" s="417"/>
    </row>
    <row r="18" spans="1:113" s="80" customFormat="1" ht="15" customHeight="1" x14ac:dyDescent="0.2">
      <c r="A18" s="413" t="s">
        <v>353</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25">
      <c r="A19" s="428"/>
      <c r="B19" s="428"/>
      <c r="C19" s="428"/>
      <c r="D19" s="428"/>
      <c r="E19" s="428"/>
      <c r="F19" s="428"/>
      <c r="G19" s="428"/>
      <c r="H19" s="428"/>
      <c r="I19" s="428"/>
      <c r="J19" s="428"/>
      <c r="K19" s="428"/>
      <c r="L19" s="428"/>
      <c r="M19" s="428"/>
      <c r="N19" s="428"/>
      <c r="O19" s="428"/>
      <c r="P19" s="428"/>
      <c r="Q19" s="428"/>
      <c r="R19" s="428"/>
      <c r="S19" s="428"/>
      <c r="T19" s="428"/>
    </row>
    <row r="20" spans="1:113" ht="46.5" customHeight="1" x14ac:dyDescent="0.25">
      <c r="A20" s="437" t="s">
        <v>3</v>
      </c>
      <c r="B20" s="430" t="s">
        <v>194</v>
      </c>
      <c r="C20" s="431"/>
      <c r="D20" s="434" t="s">
        <v>116</v>
      </c>
      <c r="E20" s="430" t="s">
        <v>380</v>
      </c>
      <c r="F20" s="431"/>
      <c r="G20" s="430" t="s">
        <v>212</v>
      </c>
      <c r="H20" s="431"/>
      <c r="I20" s="430" t="s">
        <v>115</v>
      </c>
      <c r="J20" s="431"/>
      <c r="K20" s="434" t="s">
        <v>114</v>
      </c>
      <c r="L20" s="430" t="s">
        <v>113</v>
      </c>
      <c r="M20" s="431"/>
      <c r="N20" s="430" t="s">
        <v>451</v>
      </c>
      <c r="O20" s="431"/>
      <c r="P20" s="434" t="s">
        <v>112</v>
      </c>
      <c r="Q20" s="425" t="s">
        <v>111</v>
      </c>
      <c r="R20" s="426"/>
      <c r="S20" s="425" t="s">
        <v>110</v>
      </c>
      <c r="T20" s="427"/>
    </row>
    <row r="21" spans="1:113" ht="204.75" customHeight="1" x14ac:dyDescent="0.25">
      <c r="A21" s="438"/>
      <c r="B21" s="432"/>
      <c r="C21" s="433"/>
      <c r="D21" s="436"/>
      <c r="E21" s="432"/>
      <c r="F21" s="433"/>
      <c r="G21" s="432"/>
      <c r="H21" s="433"/>
      <c r="I21" s="432"/>
      <c r="J21" s="433"/>
      <c r="K21" s="435"/>
      <c r="L21" s="432"/>
      <c r="M21" s="433"/>
      <c r="N21" s="432"/>
      <c r="O21" s="433"/>
      <c r="P21" s="435"/>
      <c r="Q21" s="27" t="s">
        <v>109</v>
      </c>
      <c r="R21" s="27" t="s">
        <v>352</v>
      </c>
      <c r="S21" s="27" t="s">
        <v>108</v>
      </c>
      <c r="T21" s="27" t="s">
        <v>107</v>
      </c>
    </row>
    <row r="22" spans="1:113" ht="51.75" customHeight="1" x14ac:dyDescent="0.25">
      <c r="A22" s="439"/>
      <c r="B22" s="48" t="s">
        <v>105</v>
      </c>
      <c r="C22" s="48" t="s">
        <v>106</v>
      </c>
      <c r="D22" s="43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51">
        <v>1</v>
      </c>
      <c r="B24" s="351" t="s">
        <v>265</v>
      </c>
      <c r="C24" s="351" t="s">
        <v>649</v>
      </c>
      <c r="D24" s="351" t="s">
        <v>101</v>
      </c>
      <c r="E24" s="352" t="s">
        <v>265</v>
      </c>
      <c r="F24" s="351" t="s">
        <v>616</v>
      </c>
      <c r="G24" s="352" t="s">
        <v>265</v>
      </c>
      <c r="H24" s="351" t="s">
        <v>606</v>
      </c>
      <c r="I24" s="352" t="s">
        <v>265</v>
      </c>
      <c r="J24" s="352">
        <v>2022</v>
      </c>
      <c r="K24" s="14" t="s">
        <v>265</v>
      </c>
      <c r="L24" s="14" t="s">
        <v>265</v>
      </c>
      <c r="M24" s="14">
        <v>10</v>
      </c>
      <c r="N24" s="14" t="s">
        <v>265</v>
      </c>
      <c r="O24" s="14">
        <f>2*0.4</f>
        <v>0.8</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0.8</v>
      </c>
      <c r="P25" s="10"/>
      <c r="Q25" s="10"/>
      <c r="R25" s="10"/>
    </row>
    <row r="26" spans="1:113" x14ac:dyDescent="0.25">
      <c r="B26" s="429" t="s">
        <v>386</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B8" zoomScale="70" zoomScaleSheetLayoutView="70" workbookViewId="0">
      <selection activeCell="C27" sqref="C27"/>
    </sheetView>
  </sheetViews>
  <sheetFormatPr defaultColWidth="10.7109375" defaultRowHeight="15.75" x14ac:dyDescent="0.25"/>
  <cols>
    <col min="1" max="1" width="10.7109375" style="6"/>
    <col min="2" max="2" width="29.42578125" style="6" customWidth="1"/>
    <col min="3" max="3" width="37.42578125" style="6" customWidth="1"/>
    <col min="4" max="4" width="29.42578125" style="6" customWidth="1"/>
    <col min="5" max="5" width="38.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7" t="str">
        <f>'3.1. паспорт Техсостояние ПС'!A5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M_21-0752</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6" t="str">
        <f>'3.1. паспорт Техсостояние ПС'!A15</f>
        <v>Строительство КТП 10/0,4 кВ, КЛ-10 кВ, организация системы учета электроэнергии по Московскому проспекту в г. Калининграде</v>
      </c>
      <c r="F15" s="416"/>
      <c r="G15" s="416"/>
      <c r="H15" s="416"/>
      <c r="I15" s="416"/>
      <c r="J15" s="416"/>
      <c r="K15" s="416"/>
      <c r="L15" s="416"/>
      <c r="M15" s="416"/>
      <c r="N15" s="416"/>
      <c r="O15" s="416"/>
      <c r="P15" s="416"/>
      <c r="Q15" s="416"/>
      <c r="R15" s="416"/>
      <c r="S15" s="416"/>
      <c r="T15" s="416"/>
      <c r="U15" s="416"/>
      <c r="V15" s="416"/>
      <c r="W15" s="416"/>
      <c r="X15" s="416"/>
      <c r="Y15" s="416"/>
    </row>
    <row r="16" spans="1:27" s="80"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355</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25"/>
    <row r="21" spans="1:27" ht="15.75" customHeight="1" x14ac:dyDescent="0.25">
      <c r="A21" s="440" t="s">
        <v>3</v>
      </c>
      <c r="B21" s="440" t="s">
        <v>362</v>
      </c>
      <c r="C21" s="440"/>
      <c r="D21" s="440" t="s">
        <v>364</v>
      </c>
      <c r="E21" s="440"/>
      <c r="F21" s="440" t="s">
        <v>88</v>
      </c>
      <c r="G21" s="440"/>
      <c r="H21" s="440"/>
      <c r="I21" s="440"/>
      <c r="J21" s="440" t="s">
        <v>365</v>
      </c>
      <c r="K21" s="440" t="s">
        <v>366</v>
      </c>
      <c r="L21" s="440"/>
      <c r="M21" s="440" t="s">
        <v>367</v>
      </c>
      <c r="N21" s="440"/>
      <c r="O21" s="440" t="s">
        <v>354</v>
      </c>
      <c r="P21" s="440"/>
      <c r="Q21" s="440" t="s">
        <v>121</v>
      </c>
      <c r="R21" s="440"/>
      <c r="S21" s="440" t="s">
        <v>120</v>
      </c>
      <c r="T21" s="440" t="s">
        <v>368</v>
      </c>
      <c r="U21" s="440" t="s">
        <v>363</v>
      </c>
      <c r="V21" s="440" t="s">
        <v>119</v>
      </c>
      <c r="W21" s="440"/>
      <c r="X21" s="440" t="s">
        <v>111</v>
      </c>
      <c r="Y21" s="440"/>
      <c r="Z21" s="440" t="s">
        <v>110</v>
      </c>
      <c r="AA21" s="440"/>
    </row>
    <row r="22" spans="1:27" ht="216" customHeight="1" x14ac:dyDescent="0.25">
      <c r="A22" s="440"/>
      <c r="B22" s="440"/>
      <c r="C22" s="440"/>
      <c r="D22" s="440"/>
      <c r="E22" s="440"/>
      <c r="F22" s="440" t="s">
        <v>118</v>
      </c>
      <c r="G22" s="440"/>
      <c r="H22" s="440" t="s">
        <v>117</v>
      </c>
      <c r="I22" s="440"/>
      <c r="J22" s="440"/>
      <c r="K22" s="440"/>
      <c r="L22" s="440"/>
      <c r="M22" s="440"/>
      <c r="N22" s="440"/>
      <c r="O22" s="440"/>
      <c r="P22" s="440"/>
      <c r="Q22" s="440"/>
      <c r="R22" s="440"/>
      <c r="S22" s="440"/>
      <c r="T22" s="440"/>
      <c r="U22" s="440"/>
      <c r="V22" s="440"/>
      <c r="W22" s="440"/>
      <c r="X22" s="237" t="s">
        <v>109</v>
      </c>
      <c r="Y22" s="237" t="s">
        <v>352</v>
      </c>
      <c r="Z22" s="237" t="s">
        <v>108</v>
      </c>
      <c r="AA22" s="237" t="s">
        <v>107</v>
      </c>
    </row>
    <row r="23" spans="1:27" ht="60" customHeight="1" x14ac:dyDescent="0.25">
      <c r="A23" s="440"/>
      <c r="B23" s="237" t="s">
        <v>105</v>
      </c>
      <c r="C23" s="237" t="s">
        <v>106</v>
      </c>
      <c r="D23" s="237" t="s">
        <v>105</v>
      </c>
      <c r="E23" s="237" t="s">
        <v>106</v>
      </c>
      <c r="F23" s="237" t="s">
        <v>105</v>
      </c>
      <c r="G23" s="237" t="s">
        <v>106</v>
      </c>
      <c r="H23" s="237" t="s">
        <v>105</v>
      </c>
      <c r="I23" s="237" t="s">
        <v>106</v>
      </c>
      <c r="J23" s="237" t="s">
        <v>105</v>
      </c>
      <c r="K23" s="237" t="s">
        <v>105</v>
      </c>
      <c r="L23" s="237" t="s">
        <v>106</v>
      </c>
      <c r="M23" s="237" t="s">
        <v>105</v>
      </c>
      <c r="N23" s="237" t="s">
        <v>106</v>
      </c>
      <c r="O23" s="237" t="s">
        <v>105</v>
      </c>
      <c r="P23" s="237" t="s">
        <v>106</v>
      </c>
      <c r="Q23" s="237" t="s">
        <v>105</v>
      </c>
      <c r="R23" s="237" t="s">
        <v>106</v>
      </c>
      <c r="S23" s="237" t="s">
        <v>105</v>
      </c>
      <c r="T23" s="237" t="s">
        <v>105</v>
      </c>
      <c r="U23" s="237" t="s">
        <v>105</v>
      </c>
      <c r="V23" s="237" t="s">
        <v>105</v>
      </c>
      <c r="W23" s="237" t="s">
        <v>106</v>
      </c>
      <c r="X23" s="237" t="s">
        <v>105</v>
      </c>
      <c r="Y23" s="237" t="s">
        <v>105</v>
      </c>
      <c r="Z23" s="237" t="s">
        <v>105</v>
      </c>
      <c r="AA23" s="237" t="s">
        <v>105</v>
      </c>
    </row>
    <row r="24" spans="1:27" x14ac:dyDescent="0.25">
      <c r="A24" s="238">
        <v>1</v>
      </c>
      <c r="B24" s="238">
        <v>2</v>
      </c>
      <c r="C24" s="238">
        <v>3</v>
      </c>
      <c r="D24" s="238">
        <v>4</v>
      </c>
      <c r="E24" s="238">
        <v>5</v>
      </c>
      <c r="F24" s="238">
        <v>6</v>
      </c>
      <c r="G24" s="238">
        <v>7</v>
      </c>
      <c r="H24" s="238">
        <v>8</v>
      </c>
      <c r="I24" s="238">
        <v>9</v>
      </c>
      <c r="J24" s="238">
        <v>10</v>
      </c>
      <c r="K24" s="238">
        <v>11</v>
      </c>
      <c r="L24" s="238">
        <v>12</v>
      </c>
      <c r="M24" s="238">
        <v>13</v>
      </c>
      <c r="N24" s="238">
        <v>14</v>
      </c>
      <c r="O24" s="238">
        <v>15</v>
      </c>
      <c r="P24" s="238">
        <v>16</v>
      </c>
      <c r="Q24" s="238">
        <v>19</v>
      </c>
      <c r="R24" s="238">
        <v>20</v>
      </c>
      <c r="S24" s="238">
        <v>21</v>
      </c>
      <c r="T24" s="238">
        <v>22</v>
      </c>
      <c r="U24" s="238">
        <v>23</v>
      </c>
      <c r="V24" s="238">
        <v>24</v>
      </c>
      <c r="W24" s="238">
        <v>25</v>
      </c>
      <c r="X24" s="238">
        <v>26</v>
      </c>
      <c r="Y24" s="238">
        <v>27</v>
      </c>
      <c r="Z24" s="238">
        <v>28</v>
      </c>
      <c r="AA24" s="238">
        <v>29</v>
      </c>
    </row>
    <row r="25" spans="1:27" s="163" customFormat="1" ht="31.5" x14ac:dyDescent="0.25">
      <c r="A25" s="350">
        <v>1</v>
      </c>
      <c r="B25" s="236" t="s">
        <v>265</v>
      </c>
      <c r="C25" s="406" t="s">
        <v>650</v>
      </c>
      <c r="D25" s="236" t="s">
        <v>265</v>
      </c>
      <c r="E25" s="235" t="str">
        <f>C25</f>
        <v xml:space="preserve">КЛ 10 кВ К-1 ПС О-53 - КТП-1159, 
КЛ 10 кВ КТП-972 - КТП-1159 </v>
      </c>
      <c r="F25" s="236" t="s">
        <v>265</v>
      </c>
      <c r="G25" s="236">
        <v>10</v>
      </c>
      <c r="H25" s="236" t="s">
        <v>265</v>
      </c>
      <c r="I25" s="236">
        <v>10</v>
      </c>
      <c r="J25" s="236" t="s">
        <v>265</v>
      </c>
      <c r="K25" s="236" t="s">
        <v>265</v>
      </c>
      <c r="L25" s="236">
        <v>2</v>
      </c>
      <c r="M25" s="236" t="s">
        <v>265</v>
      </c>
      <c r="N25" s="236">
        <v>240</v>
      </c>
      <c r="O25" s="236" t="s">
        <v>265</v>
      </c>
      <c r="P25" s="236" t="s">
        <v>545</v>
      </c>
      <c r="Q25" s="236" t="s">
        <v>265</v>
      </c>
      <c r="R25" s="236">
        <v>0.128</v>
      </c>
      <c r="S25" s="235" t="s">
        <v>265</v>
      </c>
      <c r="T25" s="236" t="s">
        <v>265</v>
      </c>
      <c r="U25" s="236" t="s">
        <v>265</v>
      </c>
      <c r="V25" s="236" t="s">
        <v>265</v>
      </c>
      <c r="W25" s="236" t="s">
        <v>624</v>
      </c>
      <c r="X25" s="236" t="s">
        <v>265</v>
      </c>
      <c r="Y25" s="236" t="s">
        <v>265</v>
      </c>
      <c r="Z25" s="236" t="s">
        <v>265</v>
      </c>
      <c r="AA25" s="236" t="s">
        <v>265</v>
      </c>
    </row>
    <row r="26" spans="1:27" s="163" customFormat="1" ht="31.5" x14ac:dyDescent="0.25">
      <c r="A26" s="350">
        <v>2</v>
      </c>
      <c r="B26" s="236" t="s">
        <v>265</v>
      </c>
      <c r="C26" s="406" t="s">
        <v>651</v>
      </c>
      <c r="D26" s="236" t="s">
        <v>265</v>
      </c>
      <c r="E26" s="235" t="str">
        <f>C26</f>
        <v xml:space="preserve">КЛ 10 кВ К-2 ПС О-53 - КТП-1159, 
КЛ 10 кВ КТП-971 - КТП-1159 </v>
      </c>
      <c r="F26" s="236" t="s">
        <v>265</v>
      </c>
      <c r="G26" s="236">
        <v>10</v>
      </c>
      <c r="H26" s="236" t="s">
        <v>265</v>
      </c>
      <c r="I26" s="236">
        <v>10</v>
      </c>
      <c r="J26" s="236" t="s">
        <v>265</v>
      </c>
      <c r="K26" s="236" t="s">
        <v>265</v>
      </c>
      <c r="L26" s="236">
        <v>2</v>
      </c>
      <c r="M26" s="236" t="s">
        <v>265</v>
      </c>
      <c r="N26" s="236">
        <v>240</v>
      </c>
      <c r="O26" s="236" t="s">
        <v>265</v>
      </c>
      <c r="P26" s="236" t="s">
        <v>545</v>
      </c>
      <c r="Q26" s="236" t="s">
        <v>265</v>
      </c>
      <c r="R26" s="236">
        <v>0.126</v>
      </c>
      <c r="S26" s="235" t="s">
        <v>265</v>
      </c>
      <c r="T26" s="236" t="s">
        <v>265</v>
      </c>
      <c r="U26" s="236" t="s">
        <v>265</v>
      </c>
      <c r="V26" s="236" t="s">
        <v>265</v>
      </c>
      <c r="W26" s="236" t="s">
        <v>624</v>
      </c>
      <c r="X26" s="236" t="s">
        <v>265</v>
      </c>
      <c r="Y26" s="236" t="s">
        <v>265</v>
      </c>
      <c r="Z26" s="236" t="s">
        <v>265</v>
      </c>
      <c r="AA26" s="236" t="s">
        <v>265</v>
      </c>
    </row>
    <row r="27" spans="1:27" x14ac:dyDescent="0.25">
      <c r="Q27" s="6">
        <f>SUM(Q25:Q26)</f>
        <v>0</v>
      </c>
      <c r="R27" s="6">
        <f>SUM(R25:R26)</f>
        <v>0.254</v>
      </c>
      <c r="S27" s="6">
        <f>R27-Q27</f>
        <v>0.254</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5"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7" t="str">
        <f>'3.2 паспорт Техсостояние ЛЭП'!A5</f>
        <v>Год раскрытия информации: 2023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4" t="s">
        <v>7</v>
      </c>
      <c r="B7" s="414"/>
      <c r="C7" s="414"/>
      <c r="D7" s="74"/>
      <c r="E7" s="74"/>
      <c r="F7" s="74"/>
      <c r="G7" s="74"/>
      <c r="H7" s="74"/>
      <c r="I7" s="74"/>
      <c r="J7" s="74"/>
      <c r="K7" s="74"/>
      <c r="L7" s="74"/>
      <c r="M7" s="74"/>
      <c r="N7" s="74"/>
      <c r="O7" s="74"/>
      <c r="P7" s="74"/>
      <c r="Q7" s="74"/>
      <c r="R7" s="74"/>
      <c r="S7" s="74"/>
      <c r="T7" s="74"/>
      <c r="U7" s="74"/>
    </row>
    <row r="8" spans="1:29" s="2" customFormat="1" ht="18.75" x14ac:dyDescent="0.2">
      <c r="A8" s="414"/>
      <c r="B8" s="414"/>
      <c r="C8" s="414"/>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8.75" x14ac:dyDescent="0.2">
      <c r="A11" s="414"/>
      <c r="B11" s="414"/>
      <c r="C11" s="414"/>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M_21-0752</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6" t="str">
        <f>'3.2 паспорт Техсостояние ЛЭП'!E15</f>
        <v>Строительство КТП 10/0,4 кВ, КЛ-10 кВ, организация системы учета электроэнергии по Московскому проспекту в г. Калининграде</v>
      </c>
      <c r="B15" s="416"/>
      <c r="C15" s="41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7"/>
      <c r="B17" s="417"/>
      <c r="C17" s="417"/>
      <c r="D17" s="81"/>
      <c r="E17" s="81"/>
      <c r="F17" s="81"/>
      <c r="G17" s="81"/>
      <c r="H17" s="81"/>
      <c r="I17" s="81"/>
      <c r="J17" s="81"/>
      <c r="K17" s="81"/>
      <c r="L17" s="81"/>
      <c r="M17" s="81"/>
      <c r="N17" s="81"/>
      <c r="O17" s="81"/>
      <c r="P17" s="81"/>
      <c r="Q17" s="81"/>
      <c r="R17" s="81"/>
    </row>
    <row r="18" spans="1:21" s="80" customFormat="1" ht="27.75" customHeight="1" x14ac:dyDescent="0.2">
      <c r="A18" s="412" t="s">
        <v>347</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479</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546</v>
      </c>
      <c r="C24" s="97" t="s">
        <v>652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653</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28/01/21 от 09.04.2021; Постановление Правительства Российской Федерации от 27 декабря 2004 г. № 861</v>
      </c>
      <c r="D27" s="98"/>
      <c r="E27" s="34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654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7" t="str">
        <f>'3.3 паспорт описание'!A5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75" x14ac:dyDescent="0.25">
      <c r="A11" s="419" t="str">
        <f>'3.3 паспорт описание'!A12:C12</f>
        <v>M_21-0752</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25">
      <c r="A14" s="416" t="str">
        <f>'3.3 паспорт описание'!A15:C15</f>
        <v>Строительство КТП 10/0,4 кВ, КЛ-10 кВ, организация системы учета электроэнергии по Московскому проспекту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6"/>
      <c r="AB14" s="76"/>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06"/>
      <c r="AB16" s="106"/>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06"/>
      <c r="AB17" s="106"/>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06"/>
      <c r="AB18" s="106"/>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378</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263</v>
      </c>
      <c r="B23" s="446"/>
      <c r="C23" s="446"/>
      <c r="D23" s="446"/>
      <c r="E23" s="446"/>
      <c r="F23" s="446"/>
      <c r="G23" s="446"/>
      <c r="H23" s="446"/>
      <c r="I23" s="446"/>
      <c r="J23" s="446"/>
      <c r="K23" s="446"/>
      <c r="L23" s="447"/>
      <c r="M23" s="444" t="s">
        <v>264</v>
      </c>
      <c r="N23" s="444"/>
      <c r="O23" s="444"/>
      <c r="P23" s="444"/>
      <c r="Q23" s="444"/>
      <c r="R23" s="444"/>
      <c r="S23" s="444"/>
      <c r="T23" s="444"/>
      <c r="U23" s="444"/>
      <c r="V23" s="444"/>
      <c r="W23" s="444"/>
      <c r="X23" s="444"/>
      <c r="Y23" s="444"/>
      <c r="Z23" s="444"/>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480</v>
      </c>
      <c r="D26" s="192" t="s">
        <v>481</v>
      </c>
      <c r="E26" s="192" t="s">
        <v>482</v>
      </c>
      <c r="F26" s="192" t="s">
        <v>483</v>
      </c>
      <c r="G26" s="192" t="s">
        <v>484</v>
      </c>
      <c r="H26" s="192" t="s">
        <v>206</v>
      </c>
      <c r="I26" s="192" t="s">
        <v>485</v>
      </c>
      <c r="J26" s="192" t="s">
        <v>486</v>
      </c>
      <c r="K26" s="193"/>
      <c r="L26" s="194" t="s">
        <v>487</v>
      </c>
      <c r="M26" s="195" t="s">
        <v>488</v>
      </c>
      <c r="N26" s="193"/>
      <c r="O26" s="193"/>
      <c r="P26" s="193"/>
      <c r="Q26" s="193"/>
      <c r="R26" s="193"/>
      <c r="S26" s="193"/>
      <c r="T26" s="193"/>
      <c r="U26" s="193"/>
      <c r="V26" s="193"/>
      <c r="W26" s="193"/>
      <c r="X26" s="193"/>
      <c r="Y26" s="193"/>
      <c r="Z26" s="196" t="s">
        <v>215</v>
      </c>
    </row>
    <row r="27" spans="1:28" customFormat="1" x14ac:dyDescent="0.25">
      <c r="A27" s="193" t="s">
        <v>489</v>
      </c>
      <c r="B27" s="193" t="s">
        <v>490</v>
      </c>
      <c r="C27" s="193" t="s">
        <v>491</v>
      </c>
      <c r="D27" s="193" t="s">
        <v>492</v>
      </c>
      <c r="E27" s="193" t="s">
        <v>493</v>
      </c>
      <c r="F27" s="192" t="s">
        <v>494</v>
      </c>
      <c r="G27" s="192" t="s">
        <v>495</v>
      </c>
      <c r="H27" s="193" t="s">
        <v>206</v>
      </c>
      <c r="I27" s="192" t="s">
        <v>496</v>
      </c>
      <c r="J27" s="192" t="s">
        <v>497</v>
      </c>
      <c r="K27" s="194" t="s">
        <v>498</v>
      </c>
      <c r="L27" s="193"/>
      <c r="M27" s="194" t="s">
        <v>499</v>
      </c>
      <c r="N27" s="193"/>
      <c r="O27" s="193"/>
      <c r="P27" s="193"/>
      <c r="Q27" s="193"/>
      <c r="R27" s="193"/>
      <c r="S27" s="193"/>
      <c r="T27" s="193"/>
      <c r="U27" s="193"/>
      <c r="V27" s="193"/>
      <c r="W27" s="193"/>
      <c r="X27" s="193"/>
      <c r="Y27" s="193"/>
      <c r="Z27" s="193"/>
    </row>
    <row r="28" spans="1:28" customFormat="1" x14ac:dyDescent="0.25">
      <c r="A28" s="193" t="s">
        <v>489</v>
      </c>
      <c r="B28" s="193" t="s">
        <v>500</v>
      </c>
      <c r="C28" s="193" t="s">
        <v>501</v>
      </c>
      <c r="D28" s="193" t="s">
        <v>502</v>
      </c>
      <c r="E28" s="193" t="s">
        <v>503</v>
      </c>
      <c r="F28" s="192" t="s">
        <v>504</v>
      </c>
      <c r="G28" s="192" t="s">
        <v>505</v>
      </c>
      <c r="H28" s="193" t="s">
        <v>206</v>
      </c>
      <c r="I28" s="192" t="s">
        <v>506</v>
      </c>
      <c r="J28" s="192" t="s">
        <v>507</v>
      </c>
      <c r="K28" s="194" t="s">
        <v>508</v>
      </c>
      <c r="L28" s="197"/>
      <c r="M28" s="194" t="s">
        <v>0</v>
      </c>
      <c r="N28" s="194"/>
      <c r="O28" s="194"/>
      <c r="P28" s="194"/>
      <c r="Q28" s="194"/>
      <c r="R28" s="194"/>
      <c r="S28" s="194"/>
      <c r="T28" s="194"/>
      <c r="U28" s="194"/>
      <c r="V28" s="194"/>
      <c r="W28" s="194"/>
      <c r="X28" s="194"/>
      <c r="Y28" s="194"/>
      <c r="Z28" s="194"/>
    </row>
    <row r="29" spans="1:28" customFormat="1" x14ac:dyDescent="0.25">
      <c r="A29" s="193" t="s">
        <v>489</v>
      </c>
      <c r="B29" s="193" t="s">
        <v>509</v>
      </c>
      <c r="C29" s="193" t="s">
        <v>510</v>
      </c>
      <c r="D29" s="193" t="s">
        <v>511</v>
      </c>
      <c r="E29" s="193" t="s">
        <v>512</v>
      </c>
      <c r="F29" s="192" t="s">
        <v>513</v>
      </c>
      <c r="G29" s="192" t="s">
        <v>514</v>
      </c>
      <c r="H29" s="193" t="s">
        <v>206</v>
      </c>
      <c r="I29" s="192" t="s">
        <v>515</v>
      </c>
      <c r="J29" s="192" t="s">
        <v>516</v>
      </c>
      <c r="K29" s="194" t="s">
        <v>517</v>
      </c>
      <c r="L29" s="197"/>
      <c r="M29" s="193"/>
      <c r="N29" s="193"/>
      <c r="O29" s="193"/>
      <c r="P29" s="193"/>
      <c r="Q29" s="193"/>
      <c r="R29" s="193"/>
      <c r="S29" s="193"/>
      <c r="T29" s="193"/>
      <c r="U29" s="193"/>
      <c r="V29" s="193"/>
      <c r="W29" s="193"/>
      <c r="X29" s="193"/>
      <c r="Y29" s="193"/>
      <c r="Z29" s="193"/>
    </row>
    <row r="30" spans="1:28" customFormat="1" x14ac:dyDescent="0.25">
      <c r="A30" s="193" t="s">
        <v>489</v>
      </c>
      <c r="B30" s="193" t="s">
        <v>518</v>
      </c>
      <c r="C30" s="193" t="s">
        <v>519</v>
      </c>
      <c r="D30" s="193" t="s">
        <v>520</v>
      </c>
      <c r="E30" s="193" t="s">
        <v>521</v>
      </c>
      <c r="F30" s="192" t="s">
        <v>522</v>
      </c>
      <c r="G30" s="192" t="s">
        <v>523</v>
      </c>
      <c r="H30" s="193" t="s">
        <v>206</v>
      </c>
      <c r="I30" s="192" t="s">
        <v>524</v>
      </c>
      <c r="J30" s="192" t="s">
        <v>525</v>
      </c>
      <c r="K30" s="194" t="s">
        <v>526</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527</v>
      </c>
      <c r="D32" s="192" t="s">
        <v>528</v>
      </c>
      <c r="E32" s="192" t="s">
        <v>529</v>
      </c>
      <c r="F32" s="192" t="s">
        <v>530</v>
      </c>
      <c r="G32" s="192" t="s">
        <v>531</v>
      </c>
      <c r="H32" s="192" t="s">
        <v>206</v>
      </c>
      <c r="I32" s="192" t="s">
        <v>532</v>
      </c>
      <c r="J32" s="192" t="s">
        <v>533</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4" t="s">
        <v>7</v>
      </c>
      <c r="B7" s="414"/>
      <c r="C7" s="414"/>
      <c r="D7" s="414"/>
      <c r="E7" s="414"/>
      <c r="F7" s="414"/>
      <c r="G7" s="414"/>
      <c r="H7" s="414"/>
      <c r="I7" s="414"/>
      <c r="J7" s="414"/>
      <c r="K7" s="414"/>
      <c r="L7" s="414"/>
      <c r="M7" s="414"/>
      <c r="N7" s="74"/>
      <c r="O7" s="74"/>
      <c r="P7" s="74"/>
      <c r="Q7" s="74"/>
      <c r="R7" s="74"/>
      <c r="S7" s="74"/>
      <c r="T7" s="74"/>
      <c r="U7" s="74"/>
      <c r="V7" s="74"/>
      <c r="W7" s="74"/>
      <c r="X7" s="74"/>
    </row>
    <row r="8" spans="1:26" s="2" customFormat="1" ht="18.75" x14ac:dyDescent="0.2">
      <c r="A8" s="414"/>
      <c r="B8" s="414"/>
      <c r="C8" s="414"/>
      <c r="D8" s="414"/>
      <c r="E8" s="414"/>
      <c r="F8" s="414"/>
      <c r="G8" s="414"/>
      <c r="H8" s="414"/>
      <c r="I8" s="414"/>
      <c r="J8" s="414"/>
      <c r="K8" s="414"/>
      <c r="L8" s="414"/>
      <c r="M8" s="414"/>
      <c r="N8" s="74"/>
      <c r="O8" s="74"/>
      <c r="P8" s="74"/>
      <c r="Q8" s="74"/>
      <c r="R8" s="74"/>
      <c r="S8" s="74"/>
      <c r="T8" s="74"/>
      <c r="U8" s="74"/>
      <c r="V8" s="74"/>
      <c r="W8" s="74"/>
      <c r="X8" s="74"/>
    </row>
    <row r="9" spans="1:26" s="2" customFormat="1" ht="18.75" x14ac:dyDescent="0.2">
      <c r="A9" s="416" t="str">
        <f>'3.4. Паспорт надежность'!A8</f>
        <v>Акционерное общество "Россети Янтарь"</v>
      </c>
      <c r="B9" s="416"/>
      <c r="C9" s="416"/>
      <c r="D9" s="416"/>
      <c r="E9" s="416"/>
      <c r="F9" s="416"/>
      <c r="G9" s="416"/>
      <c r="H9" s="416"/>
      <c r="I9" s="416"/>
      <c r="J9" s="416"/>
      <c r="K9" s="416"/>
      <c r="L9" s="416"/>
      <c r="M9" s="416"/>
      <c r="N9" s="74"/>
      <c r="O9" s="74"/>
      <c r="P9" s="74"/>
      <c r="Q9" s="74"/>
      <c r="R9" s="74"/>
      <c r="S9" s="74"/>
      <c r="T9" s="74"/>
      <c r="U9" s="74"/>
      <c r="V9" s="74"/>
      <c r="W9" s="74"/>
      <c r="X9" s="74"/>
    </row>
    <row r="10" spans="1:26" s="2" customFormat="1" ht="18.75" x14ac:dyDescent="0.2">
      <c r="A10" s="411" t="s">
        <v>6</v>
      </c>
      <c r="B10" s="411"/>
      <c r="C10" s="411"/>
      <c r="D10" s="411"/>
      <c r="E10" s="411"/>
      <c r="F10" s="411"/>
      <c r="G10" s="411"/>
      <c r="H10" s="411"/>
      <c r="I10" s="411"/>
      <c r="J10" s="411"/>
      <c r="K10" s="411"/>
      <c r="L10" s="411"/>
      <c r="M10" s="411"/>
      <c r="N10" s="74"/>
      <c r="O10" s="74"/>
      <c r="P10" s="74"/>
      <c r="Q10" s="74"/>
      <c r="R10" s="74"/>
      <c r="S10" s="74"/>
      <c r="T10" s="74"/>
      <c r="U10" s="74"/>
      <c r="V10" s="74"/>
      <c r="W10" s="74"/>
      <c r="X10" s="74"/>
    </row>
    <row r="11" spans="1:26" s="2" customFormat="1" ht="18.75" x14ac:dyDescent="0.2">
      <c r="A11" s="414"/>
      <c r="B11" s="414"/>
      <c r="C11" s="414"/>
      <c r="D11" s="414"/>
      <c r="E11" s="414"/>
      <c r="F11" s="414"/>
      <c r="G11" s="414"/>
      <c r="H11" s="414"/>
      <c r="I11" s="414"/>
      <c r="J11" s="414"/>
      <c r="K11" s="414"/>
      <c r="L11" s="414"/>
      <c r="M11" s="414"/>
      <c r="N11" s="74"/>
      <c r="O11" s="74"/>
      <c r="P11" s="74"/>
      <c r="Q11" s="74"/>
      <c r="R11" s="74"/>
      <c r="S11" s="74"/>
      <c r="T11" s="74"/>
      <c r="U11" s="74"/>
      <c r="V11" s="74"/>
      <c r="W11" s="74"/>
      <c r="X11" s="74"/>
    </row>
    <row r="12" spans="1:26" s="2" customFormat="1" ht="18.75" x14ac:dyDescent="0.2">
      <c r="A12" s="416" t="str">
        <f>'3.4. Паспорт надежность'!A11</f>
        <v>M_21-0752</v>
      </c>
      <c r="B12" s="416"/>
      <c r="C12" s="416"/>
      <c r="D12" s="416"/>
      <c r="E12" s="416"/>
      <c r="F12" s="416"/>
      <c r="G12" s="416"/>
      <c r="H12" s="416"/>
      <c r="I12" s="416"/>
      <c r="J12" s="416"/>
      <c r="K12" s="416"/>
      <c r="L12" s="416"/>
      <c r="M12" s="416"/>
      <c r="N12" s="74"/>
      <c r="O12" s="74"/>
      <c r="P12" s="74"/>
      <c r="Q12" s="74"/>
      <c r="R12" s="74"/>
      <c r="S12" s="74"/>
      <c r="T12" s="74"/>
      <c r="U12" s="74"/>
      <c r="V12" s="74"/>
      <c r="W12" s="74"/>
      <c r="X12" s="74"/>
    </row>
    <row r="13" spans="1:26" s="2" customFormat="1" ht="18.75" x14ac:dyDescent="0.2">
      <c r="A13" s="411" t="s">
        <v>5</v>
      </c>
      <c r="B13" s="411"/>
      <c r="C13" s="411"/>
      <c r="D13" s="411"/>
      <c r="E13" s="411"/>
      <c r="F13" s="411"/>
      <c r="G13" s="411"/>
      <c r="H13" s="411"/>
      <c r="I13" s="411"/>
      <c r="J13" s="411"/>
      <c r="K13" s="411"/>
      <c r="L13" s="411"/>
      <c r="M13" s="411"/>
      <c r="N13" s="74"/>
      <c r="O13" s="74"/>
      <c r="P13" s="74"/>
      <c r="Q13" s="74"/>
      <c r="R13" s="74"/>
      <c r="S13" s="74"/>
      <c r="T13" s="74"/>
      <c r="U13" s="74"/>
      <c r="V13" s="74"/>
      <c r="W13" s="74"/>
      <c r="X13" s="74"/>
    </row>
    <row r="14" spans="1:26" s="79" customFormat="1" ht="15.75" customHeight="1" x14ac:dyDescent="0.2">
      <c r="A14" s="420"/>
      <c r="B14" s="420"/>
      <c r="C14" s="420"/>
      <c r="D14" s="420"/>
      <c r="E14" s="420"/>
      <c r="F14" s="420"/>
      <c r="G14" s="420"/>
      <c r="H14" s="420"/>
      <c r="I14" s="420"/>
      <c r="J14" s="420"/>
      <c r="K14" s="420"/>
      <c r="L14" s="420"/>
      <c r="M14" s="420"/>
      <c r="N14" s="78"/>
      <c r="O14" s="78"/>
      <c r="P14" s="78"/>
      <c r="Q14" s="78"/>
      <c r="R14" s="78"/>
      <c r="S14" s="78"/>
      <c r="T14" s="78"/>
      <c r="U14" s="78"/>
      <c r="V14" s="78"/>
      <c r="W14" s="78"/>
      <c r="X14" s="78"/>
    </row>
    <row r="15" spans="1:26" s="80" customFormat="1" ht="46.5" customHeight="1" x14ac:dyDescent="0.2">
      <c r="A15" s="416" t="str">
        <f>'3.4. Паспорт надежность'!A14</f>
        <v>Строительство КТП 10/0,4 кВ, КЛ-10 кВ, организация системы учета электроэнергии по Московскому проспекту в г. Калининграде</v>
      </c>
      <c r="B15" s="416"/>
      <c r="C15" s="416"/>
      <c r="D15" s="416"/>
      <c r="E15" s="416"/>
      <c r="F15" s="416"/>
      <c r="G15" s="416"/>
      <c r="H15" s="416"/>
      <c r="I15" s="416"/>
      <c r="J15" s="416"/>
      <c r="K15" s="416"/>
      <c r="L15" s="416"/>
      <c r="M15" s="416"/>
      <c r="N15" s="76"/>
      <c r="O15" s="76"/>
      <c r="P15" s="76"/>
      <c r="Q15" s="76"/>
      <c r="R15" s="76"/>
      <c r="S15" s="76"/>
      <c r="T15" s="76"/>
      <c r="U15" s="76"/>
      <c r="V15" s="76"/>
      <c r="W15" s="76"/>
      <c r="X15" s="76"/>
    </row>
    <row r="16" spans="1:26" s="80" customFormat="1" ht="15" customHeight="1" x14ac:dyDescent="0.2">
      <c r="A16" s="411" t="s">
        <v>4</v>
      </c>
      <c r="B16" s="411"/>
      <c r="C16" s="411"/>
      <c r="D16" s="411"/>
      <c r="E16" s="411"/>
      <c r="F16" s="411"/>
      <c r="G16" s="411"/>
      <c r="H16" s="411"/>
      <c r="I16" s="411"/>
      <c r="J16" s="411"/>
      <c r="K16" s="411"/>
      <c r="L16" s="411"/>
      <c r="M16" s="411"/>
      <c r="N16" s="77"/>
      <c r="O16" s="77"/>
      <c r="P16" s="77"/>
      <c r="Q16" s="77"/>
      <c r="R16" s="77"/>
      <c r="S16" s="77"/>
      <c r="T16" s="77"/>
      <c r="U16" s="77"/>
      <c r="V16" s="77"/>
      <c r="W16" s="77"/>
      <c r="X16" s="77"/>
    </row>
    <row r="17" spans="1:24" s="80" customFormat="1" ht="15" customHeight="1" x14ac:dyDescent="0.2">
      <c r="A17" s="417"/>
      <c r="B17" s="417"/>
      <c r="C17" s="417"/>
      <c r="D17" s="417"/>
      <c r="E17" s="417"/>
      <c r="F17" s="417"/>
      <c r="G17" s="417"/>
      <c r="H17" s="417"/>
      <c r="I17" s="417"/>
      <c r="J17" s="417"/>
      <c r="K17" s="417"/>
      <c r="L17" s="417"/>
      <c r="M17" s="417"/>
      <c r="N17" s="81"/>
      <c r="O17" s="81"/>
      <c r="P17" s="81"/>
      <c r="Q17" s="81"/>
      <c r="R17" s="81"/>
      <c r="S17" s="81"/>
      <c r="T17" s="81"/>
      <c r="U17" s="81"/>
    </row>
    <row r="18" spans="1:24" s="80" customFormat="1" ht="91.5" customHeight="1" x14ac:dyDescent="0.2">
      <c r="A18" s="448" t="s">
        <v>356</v>
      </c>
      <c r="B18" s="448"/>
      <c r="C18" s="448"/>
      <c r="D18" s="448"/>
      <c r="E18" s="448"/>
      <c r="F18" s="448"/>
      <c r="G18" s="448"/>
      <c r="H18" s="448"/>
      <c r="I18" s="448"/>
      <c r="J18" s="448"/>
      <c r="K18" s="448"/>
      <c r="L18" s="448"/>
      <c r="M18" s="448"/>
      <c r="N18" s="82"/>
      <c r="O18" s="82"/>
      <c r="P18" s="82"/>
      <c r="Q18" s="82"/>
      <c r="R18" s="82"/>
      <c r="S18" s="82"/>
      <c r="T18" s="82"/>
      <c r="U18" s="82"/>
      <c r="V18" s="82"/>
      <c r="W18" s="82"/>
      <c r="X18" s="82"/>
    </row>
    <row r="19" spans="1:24" s="80" customFormat="1" ht="78" customHeight="1" x14ac:dyDescent="0.2">
      <c r="A19" s="421" t="s">
        <v>3</v>
      </c>
      <c r="B19" s="421" t="s">
        <v>82</v>
      </c>
      <c r="C19" s="421" t="s">
        <v>81</v>
      </c>
      <c r="D19" s="421" t="s">
        <v>73</v>
      </c>
      <c r="E19" s="450" t="s">
        <v>80</v>
      </c>
      <c r="F19" s="451"/>
      <c r="G19" s="451"/>
      <c r="H19" s="451"/>
      <c r="I19" s="452"/>
      <c r="J19" s="421" t="s">
        <v>79</v>
      </c>
      <c r="K19" s="421"/>
      <c r="L19" s="421"/>
      <c r="M19" s="421"/>
      <c r="N19" s="81"/>
      <c r="O19" s="81"/>
      <c r="P19" s="81"/>
      <c r="Q19" s="81"/>
      <c r="R19" s="81"/>
      <c r="S19" s="81"/>
      <c r="T19" s="81"/>
      <c r="U19" s="81"/>
    </row>
    <row r="20" spans="1:24" s="80" customFormat="1" ht="51" customHeight="1" x14ac:dyDescent="0.2">
      <c r="A20" s="421"/>
      <c r="B20" s="421"/>
      <c r="C20" s="421"/>
      <c r="D20" s="421"/>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95" zoomScale="80" zoomScaleNormal="80" zoomScaleSheetLayoutView="100" workbookViewId="0">
      <selection activeCell="B122" sqref="B122"/>
    </sheetView>
  </sheetViews>
  <sheetFormatPr defaultColWidth="9.140625" defaultRowHeight="15.75" x14ac:dyDescent="0.2"/>
  <cols>
    <col min="1" max="1" width="61.7109375" style="265" customWidth="1"/>
    <col min="2" max="2" width="18.5703125" style="241" customWidth="1"/>
    <col min="3" max="12" width="16.85546875" style="241" customWidth="1"/>
    <col min="13" max="42" width="16.85546875" style="241" hidden="1" customWidth="1"/>
    <col min="43" max="45" width="16.85546875" style="243" hidden="1" customWidth="1"/>
    <col min="46" max="46" width="16.85546875" style="244" hidden="1" customWidth="1"/>
    <col min="47" max="51" width="16.85546875" style="244" customWidth="1"/>
    <col min="52" max="256" width="9.140625" style="244"/>
    <col min="257" max="257" width="61.7109375" style="244" customWidth="1"/>
    <col min="258" max="258" width="18.5703125" style="244" customWidth="1"/>
    <col min="259" max="298" width="16.85546875" style="244" customWidth="1"/>
    <col min="299" max="300" width="18.5703125" style="244" customWidth="1"/>
    <col min="301" max="301" width="21.7109375" style="244" customWidth="1"/>
    <col min="302" max="512" width="9.140625" style="244"/>
    <col min="513" max="513" width="61.7109375" style="244" customWidth="1"/>
    <col min="514" max="514" width="18.5703125" style="244" customWidth="1"/>
    <col min="515" max="554" width="16.85546875" style="244" customWidth="1"/>
    <col min="555" max="556" width="18.5703125" style="244" customWidth="1"/>
    <col min="557" max="557" width="21.7109375" style="244" customWidth="1"/>
    <col min="558" max="768" width="9.140625" style="244"/>
    <col min="769" max="769" width="61.7109375" style="244" customWidth="1"/>
    <col min="770" max="770" width="18.5703125" style="244" customWidth="1"/>
    <col min="771" max="810" width="16.85546875" style="244" customWidth="1"/>
    <col min="811" max="812" width="18.5703125" style="244" customWidth="1"/>
    <col min="813" max="813" width="21.7109375" style="244" customWidth="1"/>
    <col min="814" max="1024" width="9.140625" style="244"/>
    <col min="1025" max="1025" width="61.7109375" style="244" customWidth="1"/>
    <col min="1026" max="1026" width="18.5703125" style="244" customWidth="1"/>
    <col min="1027" max="1066" width="16.85546875" style="244" customWidth="1"/>
    <col min="1067" max="1068" width="18.5703125" style="244" customWidth="1"/>
    <col min="1069" max="1069" width="21.7109375" style="244" customWidth="1"/>
    <col min="1070" max="1280" width="9.140625" style="244"/>
    <col min="1281" max="1281" width="61.7109375" style="244" customWidth="1"/>
    <col min="1282" max="1282" width="18.5703125" style="244" customWidth="1"/>
    <col min="1283" max="1322" width="16.85546875" style="244" customWidth="1"/>
    <col min="1323" max="1324" width="18.5703125" style="244" customWidth="1"/>
    <col min="1325" max="1325" width="21.7109375" style="244" customWidth="1"/>
    <col min="1326" max="1536" width="9.140625" style="244"/>
    <col min="1537" max="1537" width="61.7109375" style="244" customWidth="1"/>
    <col min="1538" max="1538" width="18.5703125" style="244" customWidth="1"/>
    <col min="1539" max="1578" width="16.85546875" style="244" customWidth="1"/>
    <col min="1579" max="1580" width="18.5703125" style="244" customWidth="1"/>
    <col min="1581" max="1581" width="21.7109375" style="244" customWidth="1"/>
    <col min="1582" max="1792" width="9.140625" style="244"/>
    <col min="1793" max="1793" width="61.7109375" style="244" customWidth="1"/>
    <col min="1794" max="1794" width="18.5703125" style="244" customWidth="1"/>
    <col min="1795" max="1834" width="16.85546875" style="244" customWidth="1"/>
    <col min="1835" max="1836" width="18.5703125" style="244" customWidth="1"/>
    <col min="1837" max="1837" width="21.7109375" style="244" customWidth="1"/>
    <col min="1838" max="2048" width="9.140625" style="244"/>
    <col min="2049" max="2049" width="61.7109375" style="244" customWidth="1"/>
    <col min="2050" max="2050" width="18.5703125" style="244" customWidth="1"/>
    <col min="2051" max="2090" width="16.85546875" style="244" customWidth="1"/>
    <col min="2091" max="2092" width="18.5703125" style="244" customWidth="1"/>
    <col min="2093" max="2093" width="21.7109375" style="244" customWidth="1"/>
    <col min="2094" max="2304" width="9.140625" style="244"/>
    <col min="2305" max="2305" width="61.7109375" style="244" customWidth="1"/>
    <col min="2306" max="2306" width="18.5703125" style="244" customWidth="1"/>
    <col min="2307" max="2346" width="16.85546875" style="244" customWidth="1"/>
    <col min="2347" max="2348" width="18.5703125" style="244" customWidth="1"/>
    <col min="2349" max="2349" width="21.7109375" style="244" customWidth="1"/>
    <col min="2350" max="2560" width="9.140625" style="244"/>
    <col min="2561" max="2561" width="61.7109375" style="244" customWidth="1"/>
    <col min="2562" max="2562" width="18.5703125" style="244" customWidth="1"/>
    <col min="2563" max="2602" width="16.85546875" style="244" customWidth="1"/>
    <col min="2603" max="2604" width="18.5703125" style="244" customWidth="1"/>
    <col min="2605" max="2605" width="21.7109375" style="244" customWidth="1"/>
    <col min="2606" max="2816" width="9.140625" style="244"/>
    <col min="2817" max="2817" width="61.7109375" style="244" customWidth="1"/>
    <col min="2818" max="2818" width="18.5703125" style="244" customWidth="1"/>
    <col min="2819" max="2858" width="16.85546875" style="244" customWidth="1"/>
    <col min="2859" max="2860" width="18.5703125" style="244" customWidth="1"/>
    <col min="2861" max="2861" width="21.7109375" style="244" customWidth="1"/>
    <col min="2862" max="3072" width="9.140625" style="244"/>
    <col min="3073" max="3073" width="61.7109375" style="244" customWidth="1"/>
    <col min="3074" max="3074" width="18.5703125" style="244" customWidth="1"/>
    <col min="3075" max="3114" width="16.85546875" style="244" customWidth="1"/>
    <col min="3115" max="3116" width="18.5703125" style="244" customWidth="1"/>
    <col min="3117" max="3117" width="21.7109375" style="244" customWidth="1"/>
    <col min="3118" max="3328" width="9.140625" style="244"/>
    <col min="3329" max="3329" width="61.7109375" style="244" customWidth="1"/>
    <col min="3330" max="3330" width="18.5703125" style="244" customWidth="1"/>
    <col min="3331" max="3370" width="16.85546875" style="244" customWidth="1"/>
    <col min="3371" max="3372" width="18.5703125" style="244" customWidth="1"/>
    <col min="3373" max="3373" width="21.7109375" style="244" customWidth="1"/>
    <col min="3374" max="3584" width="9.140625" style="244"/>
    <col min="3585" max="3585" width="61.7109375" style="244" customWidth="1"/>
    <col min="3586" max="3586" width="18.5703125" style="244" customWidth="1"/>
    <col min="3587" max="3626" width="16.85546875" style="244" customWidth="1"/>
    <col min="3627" max="3628" width="18.5703125" style="244" customWidth="1"/>
    <col min="3629" max="3629" width="21.7109375" style="244" customWidth="1"/>
    <col min="3630" max="3840" width="9.140625" style="244"/>
    <col min="3841" max="3841" width="61.7109375" style="244" customWidth="1"/>
    <col min="3842" max="3842" width="18.5703125" style="244" customWidth="1"/>
    <col min="3843" max="3882" width="16.85546875" style="244" customWidth="1"/>
    <col min="3883" max="3884" width="18.5703125" style="244" customWidth="1"/>
    <col min="3885" max="3885" width="21.7109375" style="244" customWidth="1"/>
    <col min="3886" max="4096" width="9.140625" style="244"/>
    <col min="4097" max="4097" width="61.7109375" style="244" customWidth="1"/>
    <col min="4098" max="4098" width="18.5703125" style="244" customWidth="1"/>
    <col min="4099" max="4138" width="16.85546875" style="244" customWidth="1"/>
    <col min="4139" max="4140" width="18.5703125" style="244" customWidth="1"/>
    <col min="4141" max="4141" width="21.7109375" style="244" customWidth="1"/>
    <col min="4142" max="4352" width="9.140625" style="244"/>
    <col min="4353" max="4353" width="61.7109375" style="244" customWidth="1"/>
    <col min="4354" max="4354" width="18.5703125" style="244" customWidth="1"/>
    <col min="4355" max="4394" width="16.85546875" style="244" customWidth="1"/>
    <col min="4395" max="4396" width="18.5703125" style="244" customWidth="1"/>
    <col min="4397" max="4397" width="21.7109375" style="244" customWidth="1"/>
    <col min="4398" max="4608" width="9.140625" style="244"/>
    <col min="4609" max="4609" width="61.7109375" style="244" customWidth="1"/>
    <col min="4610" max="4610" width="18.5703125" style="244" customWidth="1"/>
    <col min="4611" max="4650" width="16.85546875" style="244" customWidth="1"/>
    <col min="4651" max="4652" width="18.5703125" style="244" customWidth="1"/>
    <col min="4653" max="4653" width="21.7109375" style="244" customWidth="1"/>
    <col min="4654" max="4864" width="9.140625" style="244"/>
    <col min="4865" max="4865" width="61.7109375" style="244" customWidth="1"/>
    <col min="4866" max="4866" width="18.5703125" style="244" customWidth="1"/>
    <col min="4867" max="4906" width="16.85546875" style="244" customWidth="1"/>
    <col min="4907" max="4908" width="18.5703125" style="244" customWidth="1"/>
    <col min="4909" max="4909" width="21.7109375" style="244" customWidth="1"/>
    <col min="4910" max="5120" width="9.140625" style="244"/>
    <col min="5121" max="5121" width="61.7109375" style="244" customWidth="1"/>
    <col min="5122" max="5122" width="18.5703125" style="244" customWidth="1"/>
    <col min="5123" max="5162" width="16.85546875" style="244" customWidth="1"/>
    <col min="5163" max="5164" width="18.5703125" style="244" customWidth="1"/>
    <col min="5165" max="5165" width="21.7109375" style="244" customWidth="1"/>
    <col min="5166" max="5376" width="9.140625" style="244"/>
    <col min="5377" max="5377" width="61.7109375" style="244" customWidth="1"/>
    <col min="5378" max="5378" width="18.5703125" style="244" customWidth="1"/>
    <col min="5379" max="5418" width="16.85546875" style="244" customWidth="1"/>
    <col min="5419" max="5420" width="18.5703125" style="244" customWidth="1"/>
    <col min="5421" max="5421" width="21.7109375" style="244" customWidth="1"/>
    <col min="5422" max="5632" width="9.140625" style="244"/>
    <col min="5633" max="5633" width="61.7109375" style="244" customWidth="1"/>
    <col min="5634" max="5634" width="18.5703125" style="244" customWidth="1"/>
    <col min="5635" max="5674" width="16.85546875" style="244" customWidth="1"/>
    <col min="5675" max="5676" width="18.5703125" style="244" customWidth="1"/>
    <col min="5677" max="5677" width="21.7109375" style="244" customWidth="1"/>
    <col min="5678" max="5888" width="9.140625" style="244"/>
    <col min="5889" max="5889" width="61.7109375" style="244" customWidth="1"/>
    <col min="5890" max="5890" width="18.5703125" style="244" customWidth="1"/>
    <col min="5891" max="5930" width="16.85546875" style="244" customWidth="1"/>
    <col min="5931" max="5932" width="18.5703125" style="244" customWidth="1"/>
    <col min="5933" max="5933" width="21.7109375" style="244" customWidth="1"/>
    <col min="5934" max="6144" width="9.140625" style="244"/>
    <col min="6145" max="6145" width="61.7109375" style="244" customWidth="1"/>
    <col min="6146" max="6146" width="18.5703125" style="244" customWidth="1"/>
    <col min="6147" max="6186" width="16.85546875" style="244" customWidth="1"/>
    <col min="6187" max="6188" width="18.5703125" style="244" customWidth="1"/>
    <col min="6189" max="6189" width="21.7109375" style="244" customWidth="1"/>
    <col min="6190" max="6400" width="9.140625" style="244"/>
    <col min="6401" max="6401" width="61.7109375" style="244" customWidth="1"/>
    <col min="6402" max="6402" width="18.5703125" style="244" customWidth="1"/>
    <col min="6403" max="6442" width="16.85546875" style="244" customWidth="1"/>
    <col min="6443" max="6444" width="18.5703125" style="244" customWidth="1"/>
    <col min="6445" max="6445" width="21.7109375" style="244" customWidth="1"/>
    <col min="6446" max="6656" width="9.140625" style="244"/>
    <col min="6657" max="6657" width="61.7109375" style="244" customWidth="1"/>
    <col min="6658" max="6658" width="18.5703125" style="244" customWidth="1"/>
    <col min="6659" max="6698" width="16.85546875" style="244" customWidth="1"/>
    <col min="6699" max="6700" width="18.5703125" style="244" customWidth="1"/>
    <col min="6701" max="6701" width="21.7109375" style="244" customWidth="1"/>
    <col min="6702" max="6912" width="9.140625" style="244"/>
    <col min="6913" max="6913" width="61.7109375" style="244" customWidth="1"/>
    <col min="6914" max="6914" width="18.5703125" style="244" customWidth="1"/>
    <col min="6915" max="6954" width="16.85546875" style="244" customWidth="1"/>
    <col min="6955" max="6956" width="18.5703125" style="244" customWidth="1"/>
    <col min="6957" max="6957" width="21.7109375" style="244" customWidth="1"/>
    <col min="6958" max="7168" width="9.140625" style="244"/>
    <col min="7169" max="7169" width="61.7109375" style="244" customWidth="1"/>
    <col min="7170" max="7170" width="18.5703125" style="244" customWidth="1"/>
    <col min="7171" max="7210" width="16.85546875" style="244" customWidth="1"/>
    <col min="7211" max="7212" width="18.5703125" style="244" customWidth="1"/>
    <col min="7213" max="7213" width="21.7109375" style="244" customWidth="1"/>
    <col min="7214" max="7424" width="9.140625" style="244"/>
    <col min="7425" max="7425" width="61.7109375" style="244" customWidth="1"/>
    <col min="7426" max="7426" width="18.5703125" style="244" customWidth="1"/>
    <col min="7427" max="7466" width="16.85546875" style="244" customWidth="1"/>
    <col min="7467" max="7468" width="18.5703125" style="244" customWidth="1"/>
    <col min="7469" max="7469" width="21.7109375" style="244" customWidth="1"/>
    <col min="7470" max="7680" width="9.140625" style="244"/>
    <col min="7681" max="7681" width="61.7109375" style="244" customWidth="1"/>
    <col min="7682" max="7682" width="18.5703125" style="244" customWidth="1"/>
    <col min="7683" max="7722" width="16.85546875" style="244" customWidth="1"/>
    <col min="7723" max="7724" width="18.5703125" style="244" customWidth="1"/>
    <col min="7725" max="7725" width="21.7109375" style="244" customWidth="1"/>
    <col min="7726" max="7936" width="9.140625" style="244"/>
    <col min="7937" max="7937" width="61.7109375" style="244" customWidth="1"/>
    <col min="7938" max="7938" width="18.5703125" style="244" customWidth="1"/>
    <col min="7939" max="7978" width="16.85546875" style="244" customWidth="1"/>
    <col min="7979" max="7980" width="18.5703125" style="244" customWidth="1"/>
    <col min="7981" max="7981" width="21.7109375" style="244" customWidth="1"/>
    <col min="7982" max="8192" width="9.140625" style="244"/>
    <col min="8193" max="8193" width="61.7109375" style="244" customWidth="1"/>
    <col min="8194" max="8194" width="18.5703125" style="244" customWidth="1"/>
    <col min="8195" max="8234" width="16.85546875" style="244" customWidth="1"/>
    <col min="8235" max="8236" width="18.5703125" style="244" customWidth="1"/>
    <col min="8237" max="8237" width="21.7109375" style="244" customWidth="1"/>
    <col min="8238" max="8448" width="9.140625" style="244"/>
    <col min="8449" max="8449" width="61.7109375" style="244" customWidth="1"/>
    <col min="8450" max="8450" width="18.5703125" style="244" customWidth="1"/>
    <col min="8451" max="8490" width="16.85546875" style="244" customWidth="1"/>
    <col min="8491" max="8492" width="18.5703125" style="244" customWidth="1"/>
    <col min="8493" max="8493" width="21.7109375" style="244" customWidth="1"/>
    <col min="8494" max="8704" width="9.140625" style="244"/>
    <col min="8705" max="8705" width="61.7109375" style="244" customWidth="1"/>
    <col min="8706" max="8706" width="18.5703125" style="244" customWidth="1"/>
    <col min="8707" max="8746" width="16.85546875" style="244" customWidth="1"/>
    <col min="8747" max="8748" width="18.5703125" style="244" customWidth="1"/>
    <col min="8749" max="8749" width="21.7109375" style="244" customWidth="1"/>
    <col min="8750" max="8960" width="9.140625" style="244"/>
    <col min="8961" max="8961" width="61.7109375" style="244" customWidth="1"/>
    <col min="8962" max="8962" width="18.5703125" style="244" customWidth="1"/>
    <col min="8963" max="9002" width="16.85546875" style="244" customWidth="1"/>
    <col min="9003" max="9004" width="18.5703125" style="244" customWidth="1"/>
    <col min="9005" max="9005" width="21.7109375" style="244" customWidth="1"/>
    <col min="9006" max="9216" width="9.140625" style="244"/>
    <col min="9217" max="9217" width="61.7109375" style="244" customWidth="1"/>
    <col min="9218" max="9218" width="18.5703125" style="244" customWidth="1"/>
    <col min="9219" max="9258" width="16.85546875" style="244" customWidth="1"/>
    <col min="9259" max="9260" width="18.5703125" style="244" customWidth="1"/>
    <col min="9261" max="9261" width="21.7109375" style="244" customWidth="1"/>
    <col min="9262" max="9472" width="9.140625" style="244"/>
    <col min="9473" max="9473" width="61.7109375" style="244" customWidth="1"/>
    <col min="9474" max="9474" width="18.5703125" style="244" customWidth="1"/>
    <col min="9475" max="9514" width="16.85546875" style="244" customWidth="1"/>
    <col min="9515" max="9516" width="18.5703125" style="244" customWidth="1"/>
    <col min="9517" max="9517" width="21.7109375" style="244" customWidth="1"/>
    <col min="9518" max="9728" width="9.140625" style="244"/>
    <col min="9729" max="9729" width="61.7109375" style="244" customWidth="1"/>
    <col min="9730" max="9730" width="18.5703125" style="244" customWidth="1"/>
    <col min="9731" max="9770" width="16.85546875" style="244" customWidth="1"/>
    <col min="9771" max="9772" width="18.5703125" style="244" customWidth="1"/>
    <col min="9773" max="9773" width="21.7109375" style="244" customWidth="1"/>
    <col min="9774" max="9984" width="9.140625" style="244"/>
    <col min="9985" max="9985" width="61.7109375" style="244" customWidth="1"/>
    <col min="9986" max="9986" width="18.5703125" style="244" customWidth="1"/>
    <col min="9987" max="10026" width="16.85546875" style="244" customWidth="1"/>
    <col min="10027" max="10028" width="18.5703125" style="244" customWidth="1"/>
    <col min="10029" max="10029" width="21.7109375" style="244" customWidth="1"/>
    <col min="10030" max="10240" width="9.140625" style="244"/>
    <col min="10241" max="10241" width="61.7109375" style="244" customWidth="1"/>
    <col min="10242" max="10242" width="18.5703125" style="244" customWidth="1"/>
    <col min="10243" max="10282" width="16.85546875" style="244" customWidth="1"/>
    <col min="10283" max="10284" width="18.5703125" style="244" customWidth="1"/>
    <col min="10285" max="10285" width="21.7109375" style="244" customWidth="1"/>
    <col min="10286" max="10496" width="9.140625" style="244"/>
    <col min="10497" max="10497" width="61.7109375" style="244" customWidth="1"/>
    <col min="10498" max="10498" width="18.5703125" style="244" customWidth="1"/>
    <col min="10499" max="10538" width="16.85546875" style="244" customWidth="1"/>
    <col min="10539" max="10540" width="18.5703125" style="244" customWidth="1"/>
    <col min="10541" max="10541" width="21.7109375" style="244" customWidth="1"/>
    <col min="10542" max="10752" width="9.140625" style="244"/>
    <col min="10753" max="10753" width="61.7109375" style="244" customWidth="1"/>
    <col min="10754" max="10754" width="18.5703125" style="244" customWidth="1"/>
    <col min="10755" max="10794" width="16.85546875" style="244" customWidth="1"/>
    <col min="10795" max="10796" width="18.5703125" style="244" customWidth="1"/>
    <col min="10797" max="10797" width="21.7109375" style="244" customWidth="1"/>
    <col min="10798" max="11008" width="9.140625" style="244"/>
    <col min="11009" max="11009" width="61.7109375" style="244" customWidth="1"/>
    <col min="11010" max="11010" width="18.5703125" style="244" customWidth="1"/>
    <col min="11011" max="11050" width="16.85546875" style="244" customWidth="1"/>
    <col min="11051" max="11052" width="18.5703125" style="244" customWidth="1"/>
    <col min="11053" max="11053" width="21.7109375" style="244" customWidth="1"/>
    <col min="11054" max="11264" width="9.140625" style="244"/>
    <col min="11265" max="11265" width="61.7109375" style="244" customWidth="1"/>
    <col min="11266" max="11266" width="18.5703125" style="244" customWidth="1"/>
    <col min="11267" max="11306" width="16.85546875" style="244" customWidth="1"/>
    <col min="11307" max="11308" width="18.5703125" style="244" customWidth="1"/>
    <col min="11309" max="11309" width="21.7109375" style="244" customWidth="1"/>
    <col min="11310" max="11520" width="9.140625" style="244"/>
    <col min="11521" max="11521" width="61.7109375" style="244" customWidth="1"/>
    <col min="11522" max="11522" width="18.5703125" style="244" customWidth="1"/>
    <col min="11523" max="11562" width="16.85546875" style="244" customWidth="1"/>
    <col min="11563" max="11564" width="18.5703125" style="244" customWidth="1"/>
    <col min="11565" max="11565" width="21.7109375" style="244" customWidth="1"/>
    <col min="11566" max="11776" width="9.140625" style="244"/>
    <col min="11777" max="11777" width="61.7109375" style="244" customWidth="1"/>
    <col min="11778" max="11778" width="18.5703125" style="244" customWidth="1"/>
    <col min="11779" max="11818" width="16.85546875" style="244" customWidth="1"/>
    <col min="11819" max="11820" width="18.5703125" style="244" customWidth="1"/>
    <col min="11821" max="11821" width="21.7109375" style="244" customWidth="1"/>
    <col min="11822" max="12032" width="9.140625" style="244"/>
    <col min="12033" max="12033" width="61.7109375" style="244" customWidth="1"/>
    <col min="12034" max="12034" width="18.5703125" style="244" customWidth="1"/>
    <col min="12035" max="12074" width="16.85546875" style="244" customWidth="1"/>
    <col min="12075" max="12076" width="18.5703125" style="244" customWidth="1"/>
    <col min="12077" max="12077" width="21.7109375" style="244" customWidth="1"/>
    <col min="12078" max="12288" width="9.140625" style="244"/>
    <col min="12289" max="12289" width="61.7109375" style="244" customWidth="1"/>
    <col min="12290" max="12290" width="18.5703125" style="244" customWidth="1"/>
    <col min="12291" max="12330" width="16.85546875" style="244" customWidth="1"/>
    <col min="12331" max="12332" width="18.5703125" style="244" customWidth="1"/>
    <col min="12333" max="12333" width="21.7109375" style="244" customWidth="1"/>
    <col min="12334" max="12544" width="9.140625" style="244"/>
    <col min="12545" max="12545" width="61.7109375" style="244" customWidth="1"/>
    <col min="12546" max="12546" width="18.5703125" style="244" customWidth="1"/>
    <col min="12547" max="12586" width="16.85546875" style="244" customWidth="1"/>
    <col min="12587" max="12588" width="18.5703125" style="244" customWidth="1"/>
    <col min="12589" max="12589" width="21.7109375" style="244" customWidth="1"/>
    <col min="12590" max="12800" width="9.140625" style="244"/>
    <col min="12801" max="12801" width="61.7109375" style="244" customWidth="1"/>
    <col min="12802" max="12802" width="18.5703125" style="244" customWidth="1"/>
    <col min="12803" max="12842" width="16.85546875" style="244" customWidth="1"/>
    <col min="12843" max="12844" width="18.5703125" style="244" customWidth="1"/>
    <col min="12845" max="12845" width="21.7109375" style="244" customWidth="1"/>
    <col min="12846" max="13056" width="9.140625" style="244"/>
    <col min="13057" max="13057" width="61.7109375" style="244" customWidth="1"/>
    <col min="13058" max="13058" width="18.5703125" style="244" customWidth="1"/>
    <col min="13059" max="13098" width="16.85546875" style="244" customWidth="1"/>
    <col min="13099" max="13100" width="18.5703125" style="244" customWidth="1"/>
    <col min="13101" max="13101" width="21.7109375" style="244" customWidth="1"/>
    <col min="13102" max="13312" width="9.140625" style="244"/>
    <col min="13313" max="13313" width="61.7109375" style="244" customWidth="1"/>
    <col min="13314" max="13314" width="18.5703125" style="244" customWidth="1"/>
    <col min="13315" max="13354" width="16.85546875" style="244" customWidth="1"/>
    <col min="13355" max="13356" width="18.5703125" style="244" customWidth="1"/>
    <col min="13357" max="13357" width="21.7109375" style="244" customWidth="1"/>
    <col min="13358" max="13568" width="9.140625" style="244"/>
    <col min="13569" max="13569" width="61.7109375" style="244" customWidth="1"/>
    <col min="13570" max="13570" width="18.5703125" style="244" customWidth="1"/>
    <col min="13571" max="13610" width="16.85546875" style="244" customWidth="1"/>
    <col min="13611" max="13612" width="18.5703125" style="244" customWidth="1"/>
    <col min="13613" max="13613" width="21.7109375" style="244" customWidth="1"/>
    <col min="13614" max="13824" width="9.140625" style="244"/>
    <col min="13825" max="13825" width="61.7109375" style="244" customWidth="1"/>
    <col min="13826" max="13826" width="18.5703125" style="244" customWidth="1"/>
    <col min="13827" max="13866" width="16.85546875" style="244" customWidth="1"/>
    <col min="13867" max="13868" width="18.5703125" style="244" customWidth="1"/>
    <col min="13869" max="13869" width="21.7109375" style="244" customWidth="1"/>
    <col min="13870" max="14080" width="9.140625" style="244"/>
    <col min="14081" max="14081" width="61.7109375" style="244" customWidth="1"/>
    <col min="14082" max="14082" width="18.5703125" style="244" customWidth="1"/>
    <col min="14083" max="14122" width="16.85546875" style="244" customWidth="1"/>
    <col min="14123" max="14124" width="18.5703125" style="244" customWidth="1"/>
    <col min="14125" max="14125" width="21.7109375" style="244" customWidth="1"/>
    <col min="14126" max="14336" width="9.140625" style="244"/>
    <col min="14337" max="14337" width="61.7109375" style="244" customWidth="1"/>
    <col min="14338" max="14338" width="18.5703125" style="244" customWidth="1"/>
    <col min="14339" max="14378" width="16.85546875" style="244" customWidth="1"/>
    <col min="14379" max="14380" width="18.5703125" style="244" customWidth="1"/>
    <col min="14381" max="14381" width="21.7109375" style="244" customWidth="1"/>
    <col min="14382" max="14592" width="9.140625" style="244"/>
    <col min="14593" max="14593" width="61.7109375" style="244" customWidth="1"/>
    <col min="14594" max="14594" width="18.5703125" style="244" customWidth="1"/>
    <col min="14595" max="14634" width="16.85546875" style="244" customWidth="1"/>
    <col min="14635" max="14636" width="18.5703125" style="244" customWidth="1"/>
    <col min="14637" max="14637" width="21.7109375" style="244" customWidth="1"/>
    <col min="14638" max="14848" width="9.140625" style="244"/>
    <col min="14849" max="14849" width="61.7109375" style="244" customWidth="1"/>
    <col min="14850" max="14850" width="18.5703125" style="244" customWidth="1"/>
    <col min="14851" max="14890" width="16.85546875" style="244" customWidth="1"/>
    <col min="14891" max="14892" width="18.5703125" style="244" customWidth="1"/>
    <col min="14893" max="14893" width="21.7109375" style="244" customWidth="1"/>
    <col min="14894" max="15104" width="9.140625" style="244"/>
    <col min="15105" max="15105" width="61.7109375" style="244" customWidth="1"/>
    <col min="15106" max="15106" width="18.5703125" style="244" customWidth="1"/>
    <col min="15107" max="15146" width="16.85546875" style="244" customWidth="1"/>
    <col min="15147" max="15148" width="18.5703125" style="244" customWidth="1"/>
    <col min="15149" max="15149" width="21.7109375" style="244" customWidth="1"/>
    <col min="15150" max="15360" width="9.140625" style="244"/>
    <col min="15361" max="15361" width="61.7109375" style="244" customWidth="1"/>
    <col min="15362" max="15362" width="18.5703125" style="244" customWidth="1"/>
    <col min="15363" max="15402" width="16.85546875" style="244" customWidth="1"/>
    <col min="15403" max="15404" width="18.5703125" style="244" customWidth="1"/>
    <col min="15405" max="15405" width="21.7109375" style="244" customWidth="1"/>
    <col min="15406" max="15616" width="9.140625" style="244"/>
    <col min="15617" max="15617" width="61.7109375" style="244" customWidth="1"/>
    <col min="15618" max="15618" width="18.5703125" style="244" customWidth="1"/>
    <col min="15619" max="15658" width="16.85546875" style="244" customWidth="1"/>
    <col min="15659" max="15660" width="18.5703125" style="244" customWidth="1"/>
    <col min="15661" max="15661" width="21.7109375" style="244" customWidth="1"/>
    <col min="15662" max="15872" width="9.140625" style="244"/>
    <col min="15873" max="15873" width="61.7109375" style="244" customWidth="1"/>
    <col min="15874" max="15874" width="18.5703125" style="244" customWidth="1"/>
    <col min="15875" max="15914" width="16.85546875" style="244" customWidth="1"/>
    <col min="15915" max="15916" width="18.5703125" style="244" customWidth="1"/>
    <col min="15917" max="15917" width="21.7109375" style="244" customWidth="1"/>
    <col min="15918" max="16128" width="9.140625" style="244"/>
    <col min="16129" max="16129" width="61.7109375" style="244" customWidth="1"/>
    <col min="16130" max="16130" width="18.5703125" style="244" customWidth="1"/>
    <col min="16131" max="16170" width="16.85546875" style="244" customWidth="1"/>
    <col min="16171" max="16172" width="18.5703125" style="244" customWidth="1"/>
    <col min="16173" max="16173" width="21.7109375" style="244" customWidth="1"/>
    <col min="16174" max="16384" width="9.140625" style="244"/>
  </cols>
  <sheetData>
    <row r="1" spans="1:44" ht="18.75" x14ac:dyDescent="0.2">
      <c r="A1" s="2"/>
      <c r="B1" s="240"/>
      <c r="C1" s="240"/>
      <c r="D1" s="240"/>
      <c r="G1" s="240"/>
      <c r="H1" s="4" t="s">
        <v>66</v>
      </c>
      <c r="I1" s="242"/>
      <c r="J1" s="242"/>
      <c r="K1" s="4"/>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row>
    <row r="2" spans="1:44" ht="18.75" x14ac:dyDescent="0.3">
      <c r="A2" s="2"/>
      <c r="B2" s="240"/>
      <c r="C2" s="240"/>
      <c r="D2" s="240"/>
      <c r="E2" s="244"/>
      <c r="F2" s="244"/>
      <c r="G2" s="240"/>
      <c r="H2" s="1" t="s">
        <v>8</v>
      </c>
      <c r="I2" s="242"/>
      <c r="J2" s="242"/>
      <c r="K2" s="1"/>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5"/>
      <c r="AR2" s="245"/>
    </row>
    <row r="3" spans="1:44" ht="18.75" x14ac:dyDescent="0.3">
      <c r="A3" s="246"/>
      <c r="B3" s="240"/>
      <c r="C3" s="240"/>
      <c r="D3" s="240"/>
      <c r="E3" s="244"/>
      <c r="F3" s="244"/>
      <c r="G3" s="240"/>
      <c r="H3" s="1" t="s">
        <v>256</v>
      </c>
      <c r="I3" s="242"/>
      <c r="J3" s="242"/>
      <c r="K3" s="1"/>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5"/>
      <c r="AR3" s="245"/>
    </row>
    <row r="4" spans="1:44" ht="18.75" x14ac:dyDescent="0.3">
      <c r="A4" s="246"/>
      <c r="B4" s="240"/>
      <c r="C4" s="240"/>
      <c r="D4" s="240"/>
      <c r="E4" s="240"/>
      <c r="F4" s="240"/>
      <c r="G4" s="240"/>
      <c r="H4" s="240"/>
      <c r="I4" s="242"/>
      <c r="J4" s="242"/>
      <c r="K4" s="1"/>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7"/>
      <c r="AR4" s="247"/>
    </row>
    <row r="5" spans="1:44" x14ac:dyDescent="0.2">
      <c r="A5" s="468" t="str">
        <f>'1. паспорт местоположение'!A5:C5</f>
        <v>Год раскрытия информации: 2023 год</v>
      </c>
      <c r="B5" s="468"/>
      <c r="C5" s="468"/>
      <c r="D5" s="468"/>
      <c r="E5" s="468"/>
      <c r="F5" s="468"/>
      <c r="G5" s="468"/>
      <c r="H5" s="46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9"/>
      <c r="AR5" s="249"/>
    </row>
    <row r="6" spans="1:44" ht="18.75" x14ac:dyDescent="0.3">
      <c r="A6" s="246"/>
      <c r="B6" s="240"/>
      <c r="C6" s="240"/>
      <c r="D6" s="240"/>
      <c r="E6" s="240"/>
      <c r="F6" s="240"/>
      <c r="G6" s="240"/>
      <c r="H6" s="240"/>
      <c r="I6" s="242"/>
      <c r="J6" s="242"/>
      <c r="K6" s="1"/>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7"/>
      <c r="AR6" s="247"/>
    </row>
    <row r="7" spans="1:44" ht="18.75" x14ac:dyDescent="0.2">
      <c r="A7" s="469" t="s">
        <v>7</v>
      </c>
      <c r="B7" s="469"/>
      <c r="C7" s="469"/>
      <c r="D7" s="469"/>
      <c r="E7" s="469"/>
      <c r="F7" s="469"/>
      <c r="G7" s="469"/>
      <c r="H7" s="469"/>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1"/>
      <c r="AR7" s="251"/>
    </row>
    <row r="8" spans="1:44" ht="18.75" x14ac:dyDescent="0.2">
      <c r="A8" s="362"/>
      <c r="B8" s="362"/>
      <c r="C8" s="362"/>
      <c r="D8" s="362"/>
      <c r="E8" s="362"/>
      <c r="F8" s="362"/>
      <c r="G8" s="362"/>
      <c r="H8" s="362"/>
      <c r="I8" s="362"/>
      <c r="J8" s="362"/>
      <c r="K8" s="362"/>
      <c r="L8" s="250"/>
      <c r="M8" s="250"/>
      <c r="N8" s="250"/>
      <c r="O8" s="250"/>
      <c r="P8" s="250"/>
      <c r="Q8" s="250"/>
      <c r="R8" s="250"/>
      <c r="S8" s="250"/>
      <c r="T8" s="250"/>
      <c r="U8" s="250"/>
      <c r="V8" s="250"/>
      <c r="W8" s="250"/>
      <c r="X8" s="250"/>
      <c r="Y8" s="250"/>
      <c r="Z8" s="240"/>
      <c r="AA8" s="240"/>
      <c r="AB8" s="240"/>
      <c r="AC8" s="240"/>
      <c r="AD8" s="240"/>
      <c r="AE8" s="240"/>
      <c r="AF8" s="240"/>
      <c r="AG8" s="240"/>
      <c r="AH8" s="240"/>
      <c r="AI8" s="240"/>
      <c r="AJ8" s="240"/>
      <c r="AK8" s="240"/>
      <c r="AL8" s="240"/>
      <c r="AM8" s="240"/>
      <c r="AN8" s="240"/>
      <c r="AO8" s="240"/>
      <c r="AP8" s="240"/>
      <c r="AQ8" s="247"/>
      <c r="AR8" s="247"/>
    </row>
    <row r="9" spans="1:44" ht="18.75" x14ac:dyDescent="0.2">
      <c r="A9" s="470" t="str">
        <f>'1. паспорт местоположение'!A9:C9</f>
        <v>Акционерное общество "Россети Янтарь"</v>
      </c>
      <c r="B9" s="470"/>
      <c r="C9" s="470"/>
      <c r="D9" s="470"/>
      <c r="E9" s="470"/>
      <c r="F9" s="470"/>
      <c r="G9" s="470"/>
      <c r="H9" s="470"/>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3"/>
      <c r="AR9" s="253"/>
    </row>
    <row r="10" spans="1:44" x14ac:dyDescent="0.2">
      <c r="A10" s="471" t="s">
        <v>6</v>
      </c>
      <c r="B10" s="471"/>
      <c r="C10" s="471"/>
      <c r="D10" s="471"/>
      <c r="E10" s="471"/>
      <c r="F10" s="471"/>
      <c r="G10" s="471"/>
      <c r="H10" s="471"/>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5"/>
      <c r="AR10" s="255"/>
    </row>
    <row r="11" spans="1:44" ht="18.75" x14ac:dyDescent="0.2">
      <c r="A11" s="362"/>
      <c r="B11" s="362"/>
      <c r="C11" s="362"/>
      <c r="D11" s="362"/>
      <c r="E11" s="362"/>
      <c r="F11" s="362"/>
      <c r="G11" s="362"/>
      <c r="H11" s="362"/>
      <c r="I11" s="362"/>
      <c r="J11" s="362"/>
      <c r="K11" s="362"/>
      <c r="L11" s="250"/>
      <c r="M11" s="250"/>
      <c r="N11" s="250"/>
      <c r="O11" s="250"/>
      <c r="P11" s="250"/>
      <c r="Q11" s="250"/>
      <c r="R11" s="250"/>
      <c r="S11" s="250"/>
      <c r="T11" s="250"/>
      <c r="U11" s="250"/>
      <c r="V11" s="250"/>
      <c r="W11" s="250"/>
      <c r="X11" s="250"/>
      <c r="Y11" s="250"/>
      <c r="Z11" s="240"/>
      <c r="AA11" s="240"/>
      <c r="AB11" s="240"/>
      <c r="AC11" s="240"/>
      <c r="AD11" s="240"/>
      <c r="AE11" s="240"/>
      <c r="AF11" s="240"/>
      <c r="AG11" s="240"/>
      <c r="AH11" s="240"/>
      <c r="AI11" s="240"/>
      <c r="AJ11" s="240"/>
      <c r="AK11" s="240"/>
      <c r="AL11" s="240"/>
      <c r="AM11" s="240"/>
      <c r="AN11" s="240"/>
      <c r="AO11" s="240"/>
      <c r="AP11" s="240"/>
      <c r="AQ11" s="247"/>
      <c r="AR11" s="247"/>
    </row>
    <row r="12" spans="1:44" ht="18.75" x14ac:dyDescent="0.2">
      <c r="A12" s="470" t="str">
        <f>'1. паспорт местоположение'!A12:C12</f>
        <v>M_21-0752</v>
      </c>
      <c r="B12" s="470"/>
      <c r="C12" s="470"/>
      <c r="D12" s="470"/>
      <c r="E12" s="470"/>
      <c r="F12" s="470"/>
      <c r="G12" s="470"/>
      <c r="H12" s="470"/>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3"/>
      <c r="AR12" s="253"/>
    </row>
    <row r="13" spans="1:44" x14ac:dyDescent="0.2">
      <c r="A13" s="471" t="s">
        <v>5</v>
      </c>
      <c r="B13" s="471"/>
      <c r="C13" s="471"/>
      <c r="D13" s="471"/>
      <c r="E13" s="471"/>
      <c r="F13" s="471"/>
      <c r="G13" s="471"/>
      <c r="H13" s="471"/>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5"/>
      <c r="AR13" s="255"/>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256"/>
      <c r="AA14" s="256"/>
      <c r="AB14" s="256"/>
      <c r="AC14" s="256"/>
      <c r="AD14" s="256"/>
      <c r="AE14" s="256"/>
      <c r="AF14" s="256"/>
      <c r="AG14" s="256"/>
      <c r="AH14" s="256"/>
      <c r="AI14" s="256"/>
      <c r="AJ14" s="256"/>
      <c r="AK14" s="256"/>
      <c r="AL14" s="256"/>
      <c r="AM14" s="256"/>
      <c r="AN14" s="256"/>
      <c r="AO14" s="256"/>
      <c r="AP14" s="256"/>
      <c r="AQ14" s="257"/>
      <c r="AR14" s="257"/>
    </row>
    <row r="15" spans="1:44" ht="53.25" customHeight="1" x14ac:dyDescent="0.2">
      <c r="A15" s="472" t="str">
        <f>'1. паспорт местоположение'!A15:C15</f>
        <v>Строительство КТП 10/0,4 кВ, КЛ-10 кВ, организация системы учета электроэнергии по Московскому проспекту в г. Калининграде</v>
      </c>
      <c r="B15" s="473"/>
      <c r="C15" s="473"/>
      <c r="D15" s="473"/>
      <c r="E15" s="473"/>
      <c r="F15" s="473"/>
      <c r="G15" s="473"/>
      <c r="H15" s="473"/>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3"/>
      <c r="AR15" s="253"/>
    </row>
    <row r="16" spans="1:44" x14ac:dyDescent="0.2">
      <c r="A16" s="471" t="s">
        <v>4</v>
      </c>
      <c r="B16" s="471"/>
      <c r="C16" s="471"/>
      <c r="D16" s="471"/>
      <c r="E16" s="471"/>
      <c r="F16" s="471"/>
      <c r="G16" s="471"/>
      <c r="H16" s="471"/>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5"/>
      <c r="AR16" s="255"/>
    </row>
    <row r="17" spans="1:44"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ht="18.75" x14ac:dyDescent="0.2">
      <c r="A18" s="470" t="s">
        <v>357</v>
      </c>
      <c r="B18" s="470"/>
      <c r="C18" s="470"/>
      <c r="D18" s="470"/>
      <c r="E18" s="470"/>
      <c r="F18" s="470"/>
      <c r="G18" s="470"/>
      <c r="H18" s="470"/>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x14ac:dyDescent="0.2">
      <c r="A19" s="263"/>
      <c r="Q19" s="264"/>
    </row>
    <row r="20" spans="1:44" x14ac:dyDescent="0.2">
      <c r="A20" s="263"/>
      <c r="Q20" s="264"/>
    </row>
    <row r="21" spans="1:44" x14ac:dyDescent="0.2">
      <c r="A21" s="263"/>
      <c r="Q21" s="264"/>
    </row>
    <row r="22" spans="1:44" x14ac:dyDescent="0.2">
      <c r="A22" s="263"/>
      <c r="Q22" s="264"/>
    </row>
    <row r="23" spans="1:44" x14ac:dyDescent="0.2">
      <c r="D23" s="266"/>
      <c r="Q23" s="264"/>
    </row>
    <row r="24" spans="1:44" ht="16.5" thickBot="1" x14ac:dyDescent="0.25">
      <c r="A24" s="267" t="s">
        <v>255</v>
      </c>
      <c r="B24" s="268" t="s">
        <v>1</v>
      </c>
      <c r="D24" s="269"/>
      <c r="E24" s="270"/>
      <c r="F24" s="270"/>
      <c r="G24" s="270"/>
      <c r="H24" s="270"/>
    </row>
    <row r="25" spans="1:44" x14ac:dyDescent="0.2">
      <c r="A25" s="271" t="s">
        <v>391</v>
      </c>
      <c r="B25" s="272">
        <f>B126/1.2</f>
        <v>29453650.000000007</v>
      </c>
    </row>
    <row r="26" spans="1:44" x14ac:dyDescent="0.2">
      <c r="A26" s="273" t="s">
        <v>253</v>
      </c>
      <c r="B26" s="274">
        <v>0</v>
      </c>
    </row>
    <row r="27" spans="1:44" x14ac:dyDescent="0.2">
      <c r="A27" s="273" t="s">
        <v>251</v>
      </c>
      <c r="B27" s="274">
        <f>$B$123</f>
        <v>30</v>
      </c>
      <c r="D27" s="266" t="s">
        <v>254</v>
      </c>
    </row>
    <row r="28" spans="1:44" ht="16.149999999999999" customHeight="1" thickBot="1" x14ac:dyDescent="0.25">
      <c r="A28" s="275" t="s">
        <v>249</v>
      </c>
      <c r="B28" s="276">
        <v>1</v>
      </c>
      <c r="D28" s="458" t="s">
        <v>252</v>
      </c>
      <c r="E28" s="459"/>
      <c r="F28" s="460"/>
      <c r="G28" s="461">
        <f>IF(SUM(B89:L89)=0,"не окупается",SUM(B89:L89))</f>
        <v>3.4849806949349262</v>
      </c>
      <c r="H28" s="462"/>
    </row>
    <row r="29" spans="1:44" ht="15.6" customHeight="1" x14ac:dyDescent="0.2">
      <c r="A29" s="271" t="s">
        <v>248</v>
      </c>
      <c r="B29" s="272">
        <f>$B$126*$B$127</f>
        <v>353443.8000000001</v>
      </c>
      <c r="D29" s="458" t="s">
        <v>250</v>
      </c>
      <c r="E29" s="459"/>
      <c r="F29" s="460"/>
      <c r="G29" s="461">
        <f>IF(SUM(B90:L90)=0,"не окупается",SUM(B90:L90))</f>
        <v>4.3179596172785324</v>
      </c>
      <c r="H29" s="462"/>
    </row>
    <row r="30" spans="1:44" ht="27.6" customHeight="1" x14ac:dyDescent="0.2">
      <c r="A30" s="273" t="s">
        <v>392</v>
      </c>
      <c r="B30" s="274">
        <v>1</v>
      </c>
      <c r="D30" s="458" t="s">
        <v>547</v>
      </c>
      <c r="E30" s="459"/>
      <c r="F30" s="460"/>
      <c r="G30" s="463">
        <f>L87</f>
        <v>4725919.238886035</v>
      </c>
      <c r="H30" s="464"/>
    </row>
    <row r="31" spans="1:44" x14ac:dyDescent="0.2">
      <c r="A31" s="273" t="s">
        <v>247</v>
      </c>
      <c r="B31" s="274">
        <v>1</v>
      </c>
      <c r="D31" s="465"/>
      <c r="E31" s="466"/>
      <c r="F31" s="467"/>
      <c r="G31" s="465"/>
      <c r="H31" s="467"/>
    </row>
    <row r="32" spans="1:44" x14ac:dyDescent="0.2">
      <c r="A32" s="273" t="s">
        <v>226</v>
      </c>
      <c r="B32" s="274"/>
    </row>
    <row r="33" spans="1:42" x14ac:dyDescent="0.2">
      <c r="A33" s="273" t="s">
        <v>246</v>
      </c>
      <c r="B33" s="274"/>
    </row>
    <row r="34" spans="1:42" x14ac:dyDescent="0.2">
      <c r="A34" s="273" t="s">
        <v>245</v>
      </c>
      <c r="B34" s="274"/>
    </row>
    <row r="35" spans="1:42" x14ac:dyDescent="0.2">
      <c r="A35" s="277"/>
      <c r="B35" s="274"/>
    </row>
    <row r="36" spans="1:42" ht="16.5" thickBot="1" x14ac:dyDescent="0.25">
      <c r="A36" s="275" t="s">
        <v>220</v>
      </c>
      <c r="B36" s="278">
        <v>0.2</v>
      </c>
    </row>
    <row r="37" spans="1:42" x14ac:dyDescent="0.2">
      <c r="A37" s="271" t="s">
        <v>390</v>
      </c>
      <c r="B37" s="272">
        <v>0</v>
      </c>
    </row>
    <row r="38" spans="1:42" x14ac:dyDescent="0.2">
      <c r="A38" s="273" t="s">
        <v>244</v>
      </c>
      <c r="B38" s="274"/>
    </row>
    <row r="39" spans="1:42" ht="16.5" thickBot="1" x14ac:dyDescent="0.25">
      <c r="A39" s="279" t="s">
        <v>243</v>
      </c>
      <c r="B39" s="280"/>
    </row>
    <row r="40" spans="1:42" x14ac:dyDescent="0.2">
      <c r="A40" s="281" t="s">
        <v>393</v>
      </c>
      <c r="B40" s="282">
        <v>1</v>
      </c>
    </row>
    <row r="41" spans="1:42" x14ac:dyDescent="0.2">
      <c r="A41" s="283" t="s">
        <v>242</v>
      </c>
      <c r="B41" s="284"/>
    </row>
    <row r="42" spans="1:42" x14ac:dyDescent="0.2">
      <c r="A42" s="283" t="s">
        <v>241</v>
      </c>
      <c r="B42" s="285"/>
    </row>
    <row r="43" spans="1:42" x14ac:dyDescent="0.2">
      <c r="A43" s="283" t="s">
        <v>240</v>
      </c>
      <c r="B43" s="285">
        <v>0</v>
      </c>
    </row>
    <row r="44" spans="1:42" x14ac:dyDescent="0.2">
      <c r="A44" s="283" t="s">
        <v>239</v>
      </c>
      <c r="B44" s="285">
        <f>B129</f>
        <v>0.20499999999999999</v>
      </c>
    </row>
    <row r="45" spans="1:42" x14ac:dyDescent="0.2">
      <c r="A45" s="283" t="s">
        <v>238</v>
      </c>
      <c r="B45" s="285">
        <f>1-B43</f>
        <v>1</v>
      </c>
    </row>
    <row r="46" spans="1:42" ht="16.5" thickBot="1" x14ac:dyDescent="0.25">
      <c r="A46" s="286" t="s">
        <v>548</v>
      </c>
      <c r="B46" s="287">
        <f>B45*B44+B43*B42*(1-B36)</f>
        <v>0.20499999999999999</v>
      </c>
      <c r="C46" s="288"/>
    </row>
    <row r="47" spans="1:42" s="291" customFormat="1" x14ac:dyDescent="0.2">
      <c r="A47" s="289" t="s">
        <v>237</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91" customFormat="1" x14ac:dyDescent="0.2">
      <c r="A48" s="292" t="s">
        <v>236</v>
      </c>
      <c r="B48" s="364">
        <f>H136</f>
        <v>4.2000000000000003E-2</v>
      </c>
      <c r="C48" s="364">
        <f t="shared" ref="C48:R49" si="1">I136</f>
        <v>4.2000000000000003E-2</v>
      </c>
      <c r="D48" s="364">
        <f t="shared" si="1"/>
        <v>4.2000000000000003E-2</v>
      </c>
      <c r="E48" s="364">
        <f t="shared" si="1"/>
        <v>4.2000000000000003E-2</v>
      </c>
      <c r="F48" s="364">
        <f t="shared" si="1"/>
        <v>4.2000000000000003E-2</v>
      </c>
      <c r="G48" s="364">
        <f t="shared" si="1"/>
        <v>4.2000000000000003E-2</v>
      </c>
      <c r="H48" s="364">
        <f t="shared" si="1"/>
        <v>4.2000000000000003E-2</v>
      </c>
      <c r="I48" s="364">
        <f t="shared" si="1"/>
        <v>4.2000000000000003E-2</v>
      </c>
      <c r="J48" s="364">
        <f t="shared" si="1"/>
        <v>4.2000000000000003E-2</v>
      </c>
      <c r="K48" s="364">
        <f t="shared" si="1"/>
        <v>4.2000000000000003E-2</v>
      </c>
      <c r="L48" s="364">
        <f t="shared" si="1"/>
        <v>4.2000000000000003E-2</v>
      </c>
      <c r="M48" s="364">
        <f t="shared" si="1"/>
        <v>4.2000000000000003E-2</v>
      </c>
      <c r="N48" s="364">
        <f t="shared" si="1"/>
        <v>4.2000000000000003E-2</v>
      </c>
      <c r="O48" s="364">
        <f t="shared" si="1"/>
        <v>4.2000000000000003E-2</v>
      </c>
      <c r="P48" s="364">
        <f t="shared" si="1"/>
        <v>4.2000000000000003E-2</v>
      </c>
      <c r="Q48" s="364">
        <f t="shared" si="1"/>
        <v>4.2000000000000003E-2</v>
      </c>
      <c r="R48" s="364">
        <f t="shared" si="1"/>
        <v>4.2000000000000003E-2</v>
      </c>
      <c r="S48" s="364">
        <f t="shared" ref="S48:AH49" si="2">Y136</f>
        <v>4.2000000000000003E-2</v>
      </c>
      <c r="T48" s="364">
        <f t="shared" si="2"/>
        <v>4.2000000000000003E-2</v>
      </c>
      <c r="U48" s="364">
        <f t="shared" si="2"/>
        <v>4.2000000000000003E-2</v>
      </c>
      <c r="V48" s="364">
        <f t="shared" si="2"/>
        <v>4.2000000000000003E-2</v>
      </c>
      <c r="W48" s="364">
        <f t="shared" si="2"/>
        <v>4.2000000000000003E-2</v>
      </c>
      <c r="X48" s="364">
        <f t="shared" si="2"/>
        <v>4.2000000000000003E-2</v>
      </c>
      <c r="Y48" s="364">
        <f t="shared" si="2"/>
        <v>4.2000000000000003E-2</v>
      </c>
      <c r="Z48" s="364">
        <f t="shared" si="2"/>
        <v>4.2000000000000003E-2</v>
      </c>
      <c r="AA48" s="364">
        <f t="shared" si="2"/>
        <v>4.2000000000000003E-2</v>
      </c>
      <c r="AB48" s="364">
        <f t="shared" si="2"/>
        <v>4.2000000000000003E-2</v>
      </c>
      <c r="AC48" s="364">
        <f t="shared" si="2"/>
        <v>4.2000000000000003E-2</v>
      </c>
      <c r="AD48" s="364">
        <f t="shared" si="2"/>
        <v>4.2000000000000003E-2</v>
      </c>
      <c r="AE48" s="364">
        <f t="shared" si="2"/>
        <v>4.2000000000000003E-2</v>
      </c>
      <c r="AF48" s="364">
        <f t="shared" si="2"/>
        <v>4.2000000000000003E-2</v>
      </c>
      <c r="AG48" s="364">
        <f t="shared" si="2"/>
        <v>4.2000000000000003E-2</v>
      </c>
      <c r="AH48" s="364">
        <f t="shared" si="2"/>
        <v>4.2000000000000003E-2</v>
      </c>
      <c r="AI48" s="364">
        <f t="shared" ref="AI48:AP49" si="3">AO136</f>
        <v>4.2000000000000003E-2</v>
      </c>
      <c r="AJ48" s="364">
        <f t="shared" si="3"/>
        <v>4.2000000000000003E-2</v>
      </c>
      <c r="AK48" s="364">
        <f t="shared" si="3"/>
        <v>4.2000000000000003E-2</v>
      </c>
      <c r="AL48" s="364">
        <f t="shared" si="3"/>
        <v>4.2000000000000003E-2</v>
      </c>
      <c r="AM48" s="364">
        <f t="shared" si="3"/>
        <v>4.2000000000000003E-2</v>
      </c>
      <c r="AN48" s="364">
        <f t="shared" si="3"/>
        <v>4.2000000000000003E-2</v>
      </c>
      <c r="AO48" s="364">
        <f t="shared" si="3"/>
        <v>4.2000000000000003E-2</v>
      </c>
      <c r="AP48" s="364">
        <f t="shared" si="3"/>
        <v>4.2000000000000003E-2</v>
      </c>
    </row>
    <row r="49" spans="1:45" s="291" customFormat="1" x14ac:dyDescent="0.2">
      <c r="A49" s="292" t="s">
        <v>235</v>
      </c>
      <c r="B49" s="364">
        <f>H137</f>
        <v>0.2354789208821122</v>
      </c>
      <c r="C49" s="364">
        <f t="shared" si="1"/>
        <v>0.28736903555916093</v>
      </c>
      <c r="D49" s="364">
        <f t="shared" si="1"/>
        <v>0.34143853505264565</v>
      </c>
      <c r="E49" s="364">
        <f t="shared" si="1"/>
        <v>0.39777895352485682</v>
      </c>
      <c r="F49" s="364">
        <f t="shared" si="1"/>
        <v>0.45648566957290093</v>
      </c>
      <c r="G49" s="364">
        <f t="shared" si="1"/>
        <v>0.51765806769496292</v>
      </c>
      <c r="H49" s="364">
        <f t="shared" si="1"/>
        <v>0.58139970653815132</v>
      </c>
      <c r="I49" s="364">
        <f t="shared" si="1"/>
        <v>0.64781849421275384</v>
      </c>
      <c r="J49" s="364">
        <f t="shared" si="1"/>
        <v>0.71702687096968964</v>
      </c>
      <c r="K49" s="364">
        <f t="shared" si="1"/>
        <v>0.78914199955041675</v>
      </c>
      <c r="L49" s="364">
        <f t="shared" si="1"/>
        <v>0.86428596353153431</v>
      </c>
      <c r="M49" s="364">
        <f t="shared" si="1"/>
        <v>0.94258597399985877</v>
      </c>
      <c r="N49" s="364">
        <f t="shared" si="1"/>
        <v>1.0241745849078527</v>
      </c>
      <c r="O49" s="364">
        <f t="shared" si="1"/>
        <v>1.1091899174739828</v>
      </c>
      <c r="P49" s="364">
        <f t="shared" si="1"/>
        <v>1.19777589400789</v>
      </c>
      <c r="Q49" s="364">
        <f t="shared" si="1"/>
        <v>1.2900824815562215</v>
      </c>
      <c r="R49" s="364">
        <f t="shared" si="1"/>
        <v>1.3862659457815827</v>
      </c>
      <c r="S49" s="364">
        <f t="shared" si="2"/>
        <v>1.4864891155044093</v>
      </c>
      <c r="T49" s="364">
        <f t="shared" si="2"/>
        <v>1.5909216583555947</v>
      </c>
      <c r="U49" s="364">
        <f t="shared" si="2"/>
        <v>1.6997403680065299</v>
      </c>
      <c r="V49" s="364">
        <f t="shared" si="2"/>
        <v>1.8131294634628041</v>
      </c>
      <c r="W49" s="364">
        <f t="shared" si="2"/>
        <v>1.9312809009282419</v>
      </c>
      <c r="X49" s="364">
        <f t="shared" si="2"/>
        <v>2.0543946987672284</v>
      </c>
      <c r="Y49" s="364">
        <f t="shared" si="2"/>
        <v>2.1826792761154521</v>
      </c>
      <c r="Z49" s="364">
        <f t="shared" si="2"/>
        <v>2.3163518057123014</v>
      </c>
      <c r="AA49" s="364">
        <f t="shared" si="2"/>
        <v>2.4556385815522184</v>
      </c>
      <c r="AB49" s="364">
        <f t="shared" si="2"/>
        <v>2.6007754019774119</v>
      </c>
      <c r="AC49" s="364">
        <f t="shared" si="2"/>
        <v>2.7520079688604633</v>
      </c>
      <c r="AD49" s="364">
        <f t="shared" si="2"/>
        <v>2.909592303552603</v>
      </c>
      <c r="AE49" s="364">
        <f t="shared" si="2"/>
        <v>3.0737951803018122</v>
      </c>
      <c r="AF49" s="364">
        <f t="shared" si="2"/>
        <v>3.2448945778744882</v>
      </c>
      <c r="AG49" s="364">
        <f t="shared" si="2"/>
        <v>3.4231801501452166</v>
      </c>
      <c r="AH49" s="364">
        <f t="shared" si="2"/>
        <v>3.6089537164513157</v>
      </c>
      <c r="AI49" s="364">
        <f t="shared" si="3"/>
        <v>3.8025297725422709</v>
      </c>
      <c r="AJ49" s="364">
        <f t="shared" si="3"/>
        <v>4.0042360229890468</v>
      </c>
      <c r="AK49" s="364">
        <f t="shared" si="3"/>
        <v>4.2144139359545871</v>
      </c>
      <c r="AL49" s="364">
        <f t="shared" si="3"/>
        <v>4.4334193212646804</v>
      </c>
      <c r="AM49" s="364">
        <f t="shared" si="3"/>
        <v>4.6616229327577976</v>
      </c>
      <c r="AN49" s="364">
        <f t="shared" si="3"/>
        <v>4.8994110959336252</v>
      </c>
      <c r="AO49" s="364">
        <f t="shared" si="3"/>
        <v>5.147186361962838</v>
      </c>
      <c r="AP49" s="364">
        <f t="shared" si="3"/>
        <v>5.4053681891652774</v>
      </c>
    </row>
    <row r="50" spans="1:45" s="291" customFormat="1" ht="16.5" thickBot="1" x14ac:dyDescent="0.25">
      <c r="A50" s="293" t="s">
        <v>394</v>
      </c>
      <c r="B50" s="294">
        <f>IF($B$124="да",($B$126-0.05),0)</f>
        <v>35344379.95000001</v>
      </c>
      <c r="C50" s="294">
        <f>C108*(1+C49)</f>
        <v>1984133.2930327903</v>
      </c>
      <c r="D50" s="294">
        <f t="shared" ref="D50:AP50" si="4">D108*(1+D49)</f>
        <v>4134933.7826803345</v>
      </c>
      <c r="E50" s="294">
        <f t="shared" si="4"/>
        <v>6528183.3356862254</v>
      </c>
      <c r="F50" s="294">
        <f t="shared" si="4"/>
        <v>6802367.0357850473</v>
      </c>
      <c r="G50" s="294">
        <f t="shared" si="4"/>
        <v>7088066.4512880202</v>
      </c>
      <c r="H50" s="294">
        <f t="shared" si="4"/>
        <v>7385765.2422421165</v>
      </c>
      <c r="I50" s="294">
        <f t="shared" si="4"/>
        <v>7695967.3824162865</v>
      </c>
      <c r="J50" s="294">
        <f t="shared" si="4"/>
        <v>8019198.0124777714</v>
      </c>
      <c r="K50" s="294">
        <f t="shared" si="4"/>
        <v>8356004.3290018383</v>
      </c>
      <c r="L50" s="294">
        <f t="shared" si="4"/>
        <v>8706956.5108199157</v>
      </c>
      <c r="M50" s="294">
        <f t="shared" si="4"/>
        <v>9072648.6842743531</v>
      </c>
      <c r="N50" s="294">
        <f t="shared" si="4"/>
        <v>9453699.9290138744</v>
      </c>
      <c r="O50" s="294">
        <f t="shared" si="4"/>
        <v>9850755.3260324579</v>
      </c>
      <c r="P50" s="294">
        <f t="shared" si="4"/>
        <v>10264487.049725821</v>
      </c>
      <c r="Q50" s="294">
        <f t="shared" si="4"/>
        <v>10695595.505814306</v>
      </c>
      <c r="R50" s="294">
        <f t="shared" si="4"/>
        <v>11144810.517058507</v>
      </c>
      <c r="S50" s="294">
        <f t="shared" si="4"/>
        <v>11612892.558774965</v>
      </c>
      <c r="T50" s="294">
        <f t="shared" si="4"/>
        <v>12100634.046243515</v>
      </c>
      <c r="U50" s="294">
        <f t="shared" si="4"/>
        <v>12608860.676185744</v>
      </c>
      <c r="V50" s="294">
        <f t="shared" si="4"/>
        <v>13138432.824585544</v>
      </c>
      <c r="W50" s="294">
        <f t="shared" si="4"/>
        <v>13690247.003218137</v>
      </c>
      <c r="X50" s="294">
        <f t="shared" si="4"/>
        <v>14265237.377353299</v>
      </c>
      <c r="Y50" s="294">
        <f t="shared" si="4"/>
        <v>14864377.347202139</v>
      </c>
      <c r="Z50" s="294">
        <f t="shared" si="4"/>
        <v>15488681.19578463</v>
      </c>
      <c r="AA50" s="294">
        <f t="shared" si="4"/>
        <v>16139205.806007586</v>
      </c>
      <c r="AB50" s="294">
        <f t="shared" si="4"/>
        <v>16817052.449859906</v>
      </c>
      <c r="AC50" s="294">
        <f t="shared" si="4"/>
        <v>17523368.652754024</v>
      </c>
      <c r="AD50" s="294">
        <f t="shared" si="4"/>
        <v>18259350.136169694</v>
      </c>
      <c r="AE50" s="294">
        <f t="shared" si="4"/>
        <v>19026242.841888819</v>
      </c>
      <c r="AF50" s="294">
        <f t="shared" si="4"/>
        <v>19825345.04124815</v>
      </c>
      <c r="AG50" s="294">
        <f t="shared" si="4"/>
        <v>20658009.532980572</v>
      </c>
      <c r="AH50" s="294">
        <f t="shared" si="4"/>
        <v>21525645.933365755</v>
      </c>
      <c r="AI50" s="294">
        <f t="shared" si="4"/>
        <v>22429723.062567119</v>
      </c>
      <c r="AJ50" s="294">
        <f t="shared" si="4"/>
        <v>23371771.431194939</v>
      </c>
      <c r="AK50" s="294">
        <f t="shared" si="4"/>
        <v>24353385.831305128</v>
      </c>
      <c r="AL50" s="294">
        <f t="shared" si="4"/>
        <v>25376228.036219947</v>
      </c>
      <c r="AM50" s="294">
        <f t="shared" si="4"/>
        <v>26442029.613741186</v>
      </c>
      <c r="AN50" s="294">
        <f t="shared" si="4"/>
        <v>27552594.857518315</v>
      </c>
      <c r="AO50" s="294">
        <f t="shared" si="4"/>
        <v>28709803.841534089</v>
      </c>
      <c r="AP50" s="294">
        <f t="shared" si="4"/>
        <v>29915615.602878522</v>
      </c>
    </row>
    <row r="51" spans="1:45" ht="16.5" thickBot="1" x14ac:dyDescent="0.25"/>
    <row r="52" spans="1:45" x14ac:dyDescent="0.2">
      <c r="A52" s="295"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6" t="s">
        <v>233</v>
      </c>
      <c r="B53" s="365">
        <v>0</v>
      </c>
      <c r="C53" s="365">
        <f t="shared" ref="C53:AP53" si="6">B53+B54-B55</f>
        <v>0</v>
      </c>
      <c r="D53" s="365">
        <f t="shared" si="6"/>
        <v>0</v>
      </c>
      <c r="E53" s="365">
        <f t="shared" si="6"/>
        <v>0</v>
      </c>
      <c r="F53" s="365">
        <f t="shared" si="6"/>
        <v>0</v>
      </c>
      <c r="G53" s="365">
        <f t="shared" si="6"/>
        <v>0</v>
      </c>
      <c r="H53" s="365">
        <f t="shared" si="6"/>
        <v>0</v>
      </c>
      <c r="I53" s="365">
        <f t="shared" si="6"/>
        <v>0</v>
      </c>
      <c r="J53" s="365">
        <f t="shared" si="6"/>
        <v>0</v>
      </c>
      <c r="K53" s="365">
        <f t="shared" si="6"/>
        <v>0</v>
      </c>
      <c r="L53" s="365">
        <f t="shared" si="6"/>
        <v>0</v>
      </c>
      <c r="M53" s="365">
        <f t="shared" si="6"/>
        <v>0</v>
      </c>
      <c r="N53" s="365">
        <f t="shared" si="6"/>
        <v>0</v>
      </c>
      <c r="O53" s="365">
        <f t="shared" si="6"/>
        <v>0</v>
      </c>
      <c r="P53" s="365">
        <f t="shared" si="6"/>
        <v>0</v>
      </c>
      <c r="Q53" s="365">
        <f t="shared" si="6"/>
        <v>0</v>
      </c>
      <c r="R53" s="365">
        <f t="shared" si="6"/>
        <v>0</v>
      </c>
      <c r="S53" s="365">
        <f t="shared" si="6"/>
        <v>0</v>
      </c>
      <c r="T53" s="365">
        <f t="shared" si="6"/>
        <v>0</v>
      </c>
      <c r="U53" s="365">
        <f t="shared" si="6"/>
        <v>0</v>
      </c>
      <c r="V53" s="365">
        <f t="shared" si="6"/>
        <v>0</v>
      </c>
      <c r="W53" s="365">
        <f t="shared" si="6"/>
        <v>0</v>
      </c>
      <c r="X53" s="365">
        <f t="shared" si="6"/>
        <v>0</v>
      </c>
      <c r="Y53" s="365">
        <f t="shared" si="6"/>
        <v>0</v>
      </c>
      <c r="Z53" s="365">
        <f t="shared" si="6"/>
        <v>0</v>
      </c>
      <c r="AA53" s="365">
        <f t="shared" si="6"/>
        <v>0</v>
      </c>
      <c r="AB53" s="365">
        <f t="shared" si="6"/>
        <v>0</v>
      </c>
      <c r="AC53" s="365">
        <f t="shared" si="6"/>
        <v>0</v>
      </c>
      <c r="AD53" s="365">
        <f t="shared" si="6"/>
        <v>0</v>
      </c>
      <c r="AE53" s="365">
        <f t="shared" si="6"/>
        <v>0</v>
      </c>
      <c r="AF53" s="365">
        <f t="shared" si="6"/>
        <v>0</v>
      </c>
      <c r="AG53" s="365">
        <f t="shared" si="6"/>
        <v>0</v>
      </c>
      <c r="AH53" s="365">
        <f t="shared" si="6"/>
        <v>0</v>
      </c>
      <c r="AI53" s="365">
        <f t="shared" si="6"/>
        <v>0</v>
      </c>
      <c r="AJ53" s="365">
        <f t="shared" si="6"/>
        <v>0</v>
      </c>
      <c r="AK53" s="365">
        <f t="shared" si="6"/>
        <v>0</v>
      </c>
      <c r="AL53" s="365">
        <f t="shared" si="6"/>
        <v>0</v>
      </c>
      <c r="AM53" s="365">
        <f t="shared" si="6"/>
        <v>0</v>
      </c>
      <c r="AN53" s="365">
        <f t="shared" si="6"/>
        <v>0</v>
      </c>
      <c r="AO53" s="365">
        <f t="shared" si="6"/>
        <v>0</v>
      </c>
      <c r="AP53" s="365">
        <f t="shared" si="6"/>
        <v>0</v>
      </c>
    </row>
    <row r="54" spans="1:45" x14ac:dyDescent="0.2">
      <c r="A54" s="296" t="s">
        <v>232</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96" t="s">
        <v>231</v>
      </c>
      <c r="B55" s="365">
        <f>$B$54/$B$40</f>
        <v>0</v>
      </c>
      <c r="C55" s="365">
        <f t="shared" ref="C55:AP55" si="7">IF(ROUND(C53,1)=0,0,B55+C54/$B$40)</f>
        <v>0</v>
      </c>
      <c r="D55" s="365">
        <f t="shared" si="7"/>
        <v>0</v>
      </c>
      <c r="E55" s="365">
        <f t="shared" si="7"/>
        <v>0</v>
      </c>
      <c r="F55" s="365">
        <f t="shared" si="7"/>
        <v>0</v>
      </c>
      <c r="G55" s="365">
        <f t="shared" si="7"/>
        <v>0</v>
      </c>
      <c r="H55" s="365">
        <f t="shared" si="7"/>
        <v>0</v>
      </c>
      <c r="I55" s="365">
        <f t="shared" si="7"/>
        <v>0</v>
      </c>
      <c r="J55" s="365">
        <f t="shared" si="7"/>
        <v>0</v>
      </c>
      <c r="K55" s="365">
        <f t="shared" si="7"/>
        <v>0</v>
      </c>
      <c r="L55" s="365">
        <f t="shared" si="7"/>
        <v>0</v>
      </c>
      <c r="M55" s="365">
        <f t="shared" si="7"/>
        <v>0</v>
      </c>
      <c r="N55" s="365">
        <f t="shared" si="7"/>
        <v>0</v>
      </c>
      <c r="O55" s="365">
        <f t="shared" si="7"/>
        <v>0</v>
      </c>
      <c r="P55" s="365">
        <f t="shared" si="7"/>
        <v>0</v>
      </c>
      <c r="Q55" s="365">
        <f t="shared" si="7"/>
        <v>0</v>
      </c>
      <c r="R55" s="365">
        <f t="shared" si="7"/>
        <v>0</v>
      </c>
      <c r="S55" s="365">
        <f t="shared" si="7"/>
        <v>0</v>
      </c>
      <c r="T55" s="365">
        <f t="shared" si="7"/>
        <v>0</v>
      </c>
      <c r="U55" s="365">
        <f t="shared" si="7"/>
        <v>0</v>
      </c>
      <c r="V55" s="365">
        <f t="shared" si="7"/>
        <v>0</v>
      </c>
      <c r="W55" s="365">
        <f t="shared" si="7"/>
        <v>0</v>
      </c>
      <c r="X55" s="365">
        <f t="shared" si="7"/>
        <v>0</v>
      </c>
      <c r="Y55" s="365">
        <f t="shared" si="7"/>
        <v>0</v>
      </c>
      <c r="Z55" s="365">
        <f t="shared" si="7"/>
        <v>0</v>
      </c>
      <c r="AA55" s="365">
        <f t="shared" si="7"/>
        <v>0</v>
      </c>
      <c r="AB55" s="365">
        <f t="shared" si="7"/>
        <v>0</v>
      </c>
      <c r="AC55" s="365">
        <f t="shared" si="7"/>
        <v>0</v>
      </c>
      <c r="AD55" s="365">
        <f t="shared" si="7"/>
        <v>0</v>
      </c>
      <c r="AE55" s="365">
        <f t="shared" si="7"/>
        <v>0</v>
      </c>
      <c r="AF55" s="365">
        <f t="shared" si="7"/>
        <v>0</v>
      </c>
      <c r="AG55" s="365">
        <f t="shared" si="7"/>
        <v>0</v>
      </c>
      <c r="AH55" s="365">
        <f t="shared" si="7"/>
        <v>0</v>
      </c>
      <c r="AI55" s="365">
        <f t="shared" si="7"/>
        <v>0</v>
      </c>
      <c r="AJ55" s="365">
        <f t="shared" si="7"/>
        <v>0</v>
      </c>
      <c r="AK55" s="365">
        <f t="shared" si="7"/>
        <v>0</v>
      </c>
      <c r="AL55" s="365">
        <f t="shared" si="7"/>
        <v>0</v>
      </c>
      <c r="AM55" s="365">
        <f t="shared" si="7"/>
        <v>0</v>
      </c>
      <c r="AN55" s="365">
        <f t="shared" si="7"/>
        <v>0</v>
      </c>
      <c r="AO55" s="365">
        <f t="shared" si="7"/>
        <v>0</v>
      </c>
      <c r="AP55" s="365">
        <f t="shared" si="7"/>
        <v>0</v>
      </c>
    </row>
    <row r="56" spans="1:45" ht="16.5" thickBot="1" x14ac:dyDescent="0.25">
      <c r="A56" s="297"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300" customFormat="1" ht="16.5" thickBot="1" x14ac:dyDescent="0.25">
      <c r="A57" s="29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43"/>
      <c r="AR57" s="243"/>
      <c r="AS57" s="243"/>
    </row>
    <row r="58" spans="1:45" x14ac:dyDescent="0.2">
      <c r="A58" s="295"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1" t="s">
        <v>229</v>
      </c>
      <c r="B59" s="366">
        <f t="shared" ref="B59:AP59" si="10">B50*$B$28</f>
        <v>35344379.95000001</v>
      </c>
      <c r="C59" s="366">
        <f t="shared" si="10"/>
        <v>1984133.2930327903</v>
      </c>
      <c r="D59" s="366">
        <f t="shared" si="10"/>
        <v>4134933.7826803345</v>
      </c>
      <c r="E59" s="366">
        <f t="shared" si="10"/>
        <v>6528183.3356862254</v>
      </c>
      <c r="F59" s="366">
        <f t="shared" si="10"/>
        <v>6802367.0357850473</v>
      </c>
      <c r="G59" s="366">
        <f t="shared" si="10"/>
        <v>7088066.4512880202</v>
      </c>
      <c r="H59" s="366">
        <f t="shared" si="10"/>
        <v>7385765.2422421165</v>
      </c>
      <c r="I59" s="366">
        <f t="shared" si="10"/>
        <v>7695967.3824162865</v>
      </c>
      <c r="J59" s="366">
        <f t="shared" si="10"/>
        <v>8019198.0124777714</v>
      </c>
      <c r="K59" s="366">
        <f t="shared" si="10"/>
        <v>8356004.3290018383</v>
      </c>
      <c r="L59" s="366">
        <f t="shared" si="10"/>
        <v>8706956.5108199157</v>
      </c>
      <c r="M59" s="366">
        <f t="shared" si="10"/>
        <v>9072648.6842743531</v>
      </c>
      <c r="N59" s="366">
        <f t="shared" si="10"/>
        <v>9453699.9290138744</v>
      </c>
      <c r="O59" s="366">
        <f t="shared" si="10"/>
        <v>9850755.3260324579</v>
      </c>
      <c r="P59" s="366">
        <f t="shared" si="10"/>
        <v>10264487.049725821</v>
      </c>
      <c r="Q59" s="366">
        <f t="shared" si="10"/>
        <v>10695595.505814306</v>
      </c>
      <c r="R59" s="366">
        <f t="shared" si="10"/>
        <v>11144810.517058507</v>
      </c>
      <c r="S59" s="366">
        <f t="shared" si="10"/>
        <v>11612892.558774965</v>
      </c>
      <c r="T59" s="366">
        <f t="shared" si="10"/>
        <v>12100634.046243515</v>
      </c>
      <c r="U59" s="366">
        <f t="shared" si="10"/>
        <v>12608860.676185744</v>
      </c>
      <c r="V59" s="366">
        <f t="shared" si="10"/>
        <v>13138432.824585544</v>
      </c>
      <c r="W59" s="366">
        <f t="shared" si="10"/>
        <v>13690247.003218137</v>
      </c>
      <c r="X59" s="366">
        <f t="shared" si="10"/>
        <v>14265237.377353299</v>
      </c>
      <c r="Y59" s="366">
        <f t="shared" si="10"/>
        <v>14864377.347202139</v>
      </c>
      <c r="Z59" s="366">
        <f t="shared" si="10"/>
        <v>15488681.19578463</v>
      </c>
      <c r="AA59" s="366">
        <f t="shared" si="10"/>
        <v>16139205.806007586</v>
      </c>
      <c r="AB59" s="366">
        <f t="shared" si="10"/>
        <v>16817052.449859906</v>
      </c>
      <c r="AC59" s="366">
        <f t="shared" si="10"/>
        <v>17523368.652754024</v>
      </c>
      <c r="AD59" s="366">
        <f t="shared" si="10"/>
        <v>18259350.136169694</v>
      </c>
      <c r="AE59" s="366">
        <f t="shared" si="10"/>
        <v>19026242.841888819</v>
      </c>
      <c r="AF59" s="366">
        <f t="shared" si="10"/>
        <v>19825345.04124815</v>
      </c>
      <c r="AG59" s="366">
        <f t="shared" si="10"/>
        <v>20658009.532980572</v>
      </c>
      <c r="AH59" s="366">
        <f t="shared" si="10"/>
        <v>21525645.933365755</v>
      </c>
      <c r="AI59" s="366">
        <f t="shared" si="10"/>
        <v>22429723.062567119</v>
      </c>
      <c r="AJ59" s="366">
        <f t="shared" si="10"/>
        <v>23371771.431194939</v>
      </c>
      <c r="AK59" s="366">
        <f t="shared" si="10"/>
        <v>24353385.831305128</v>
      </c>
      <c r="AL59" s="366">
        <f t="shared" si="10"/>
        <v>25376228.036219947</v>
      </c>
      <c r="AM59" s="366">
        <f t="shared" si="10"/>
        <v>26442029.613741186</v>
      </c>
      <c r="AN59" s="366">
        <f t="shared" si="10"/>
        <v>27552594.857518315</v>
      </c>
      <c r="AO59" s="366">
        <f t="shared" si="10"/>
        <v>28709803.841534089</v>
      </c>
      <c r="AP59" s="366">
        <f t="shared" si="10"/>
        <v>29915615.602878522</v>
      </c>
    </row>
    <row r="60" spans="1:45" x14ac:dyDescent="0.2">
      <c r="A60" s="296" t="s">
        <v>228</v>
      </c>
      <c r="B60" s="365">
        <f t="shared" ref="B60:Z60" si="11">SUM(B61:B65)</f>
        <v>0</v>
      </c>
      <c r="C60" s="365">
        <f t="shared" si="11"/>
        <v>-455012.60393036512</v>
      </c>
      <c r="D60" s="365">
        <f>SUM(D61:D65)</f>
        <v>-474123.13329544041</v>
      </c>
      <c r="E60" s="365">
        <f t="shared" si="11"/>
        <v>-494036.30489384895</v>
      </c>
      <c r="F60" s="365">
        <f t="shared" si="11"/>
        <v>-514785.82969939063</v>
      </c>
      <c r="G60" s="365">
        <f t="shared" si="11"/>
        <v>-536406.83454676508</v>
      </c>
      <c r="H60" s="365">
        <f t="shared" si="11"/>
        <v>-558935.9215977292</v>
      </c>
      <c r="I60" s="365">
        <f t="shared" si="11"/>
        <v>-582411.23030483385</v>
      </c>
      <c r="J60" s="365">
        <f t="shared" si="11"/>
        <v>-606872.50197763694</v>
      </c>
      <c r="K60" s="365">
        <f t="shared" si="11"/>
        <v>-632361.14706069778</v>
      </c>
      <c r="L60" s="365">
        <f t="shared" si="11"/>
        <v>-658920.31523724715</v>
      </c>
      <c r="M60" s="365">
        <f t="shared" si="11"/>
        <v>-686594.96847721154</v>
      </c>
      <c r="N60" s="365">
        <f t="shared" si="11"/>
        <v>-715431.95715325431</v>
      </c>
      <c r="O60" s="365">
        <f t="shared" si="11"/>
        <v>-745480.0993536911</v>
      </c>
      <c r="P60" s="365">
        <f t="shared" si="11"/>
        <v>-776790.26352654607</v>
      </c>
      <c r="Q60" s="365">
        <f t="shared" si="11"/>
        <v>-809415.45459466113</v>
      </c>
      <c r="R60" s="365">
        <f t="shared" si="11"/>
        <v>-843410.90368763683</v>
      </c>
      <c r="S60" s="365">
        <f t="shared" si="11"/>
        <v>-878834.16164251766</v>
      </c>
      <c r="T60" s="365">
        <f t="shared" si="11"/>
        <v>-915745.1964315034</v>
      </c>
      <c r="U60" s="365">
        <f t="shared" si="11"/>
        <v>-954206.49468162667</v>
      </c>
      <c r="V60" s="365">
        <f t="shared" si="11"/>
        <v>-994283.16745825496</v>
      </c>
      <c r="W60" s="365">
        <f t="shared" si="11"/>
        <v>-1036043.0604915017</v>
      </c>
      <c r="X60" s="365">
        <f t="shared" si="11"/>
        <v>-1079556.8690321448</v>
      </c>
      <c r="Y60" s="365">
        <f t="shared" si="11"/>
        <v>-1124898.2575314951</v>
      </c>
      <c r="Z60" s="365">
        <f t="shared" si="11"/>
        <v>-1172143.984347818</v>
      </c>
      <c r="AA60" s="365">
        <f t="shared" ref="AA60:AP60" si="12">SUM(AA61:AA65)</f>
        <v>-1221374.0316904264</v>
      </c>
      <c r="AB60" s="365">
        <f t="shared" si="12"/>
        <v>-1272671.7410214243</v>
      </c>
      <c r="AC60" s="365">
        <f t="shared" si="12"/>
        <v>-1326123.9541443242</v>
      </c>
      <c r="AD60" s="365">
        <f t="shared" si="12"/>
        <v>-1381821.160218386</v>
      </c>
      <c r="AE60" s="365">
        <f t="shared" si="12"/>
        <v>-1439857.6489475581</v>
      </c>
      <c r="AF60" s="365">
        <f t="shared" si="12"/>
        <v>-1500331.6702033554</v>
      </c>
      <c r="AG60" s="365">
        <f t="shared" si="12"/>
        <v>-1563345.6003518964</v>
      </c>
      <c r="AH60" s="365">
        <f t="shared" si="12"/>
        <v>-1629006.115566676</v>
      </c>
      <c r="AI60" s="365">
        <f t="shared" si="12"/>
        <v>-1697424.3724204763</v>
      </c>
      <c r="AJ60" s="365">
        <f t="shared" si="12"/>
        <v>-1768716.1960621367</v>
      </c>
      <c r="AK60" s="365">
        <f t="shared" si="12"/>
        <v>-1843002.2762967465</v>
      </c>
      <c r="AL60" s="365">
        <f t="shared" si="12"/>
        <v>-1920408.3719012099</v>
      </c>
      <c r="AM60" s="365">
        <f t="shared" si="12"/>
        <v>-2001065.5235210611</v>
      </c>
      <c r="AN60" s="365">
        <f t="shared" si="12"/>
        <v>-2085110.2755089456</v>
      </c>
      <c r="AO60" s="365">
        <f t="shared" si="12"/>
        <v>-2172684.9070803216</v>
      </c>
      <c r="AP60" s="365">
        <f t="shared" si="12"/>
        <v>-2263937.6731776954</v>
      </c>
    </row>
    <row r="61" spans="1:45" x14ac:dyDescent="0.2">
      <c r="A61" s="123" t="s">
        <v>227</v>
      </c>
      <c r="B61" s="365"/>
      <c r="C61" s="365">
        <f>-IF(C$47&lt;=$B$30,0,$B$29*(1+C$49)*$B$28)</f>
        <v>-455012.60393036512</v>
      </c>
      <c r="D61" s="365">
        <f>-IF(D$47&lt;=$B$30,0,$B$29*(1+D$49)*$B$28)</f>
        <v>-474123.13329544041</v>
      </c>
      <c r="E61" s="365">
        <f t="shared" ref="E61:AP61" si="13">-IF(E$47&lt;=$B$30,0,$B$29*(1+E$49)*$B$28)</f>
        <v>-494036.30489384895</v>
      </c>
      <c r="F61" s="365">
        <f t="shared" si="13"/>
        <v>-514785.82969939063</v>
      </c>
      <c r="G61" s="365">
        <f t="shared" si="13"/>
        <v>-536406.83454676508</v>
      </c>
      <c r="H61" s="365">
        <f t="shared" si="13"/>
        <v>-558935.9215977292</v>
      </c>
      <c r="I61" s="365">
        <f t="shared" si="13"/>
        <v>-582411.23030483385</v>
      </c>
      <c r="J61" s="365">
        <f t="shared" si="13"/>
        <v>-606872.50197763694</v>
      </c>
      <c r="K61" s="365">
        <f t="shared" si="13"/>
        <v>-632361.14706069778</v>
      </c>
      <c r="L61" s="365">
        <f t="shared" si="13"/>
        <v>-658920.31523724715</v>
      </c>
      <c r="M61" s="365">
        <f t="shared" si="13"/>
        <v>-686594.96847721154</v>
      </c>
      <c r="N61" s="365">
        <f t="shared" si="13"/>
        <v>-715431.95715325431</v>
      </c>
      <c r="O61" s="365">
        <f t="shared" si="13"/>
        <v>-745480.0993536911</v>
      </c>
      <c r="P61" s="365">
        <f t="shared" si="13"/>
        <v>-776790.26352654607</v>
      </c>
      <c r="Q61" s="365">
        <f t="shared" si="13"/>
        <v>-809415.45459466113</v>
      </c>
      <c r="R61" s="365">
        <f t="shared" si="13"/>
        <v>-843410.90368763683</v>
      </c>
      <c r="S61" s="365">
        <f t="shared" si="13"/>
        <v>-878834.16164251766</v>
      </c>
      <c r="T61" s="365">
        <f t="shared" si="13"/>
        <v>-915745.1964315034</v>
      </c>
      <c r="U61" s="365">
        <f t="shared" si="13"/>
        <v>-954206.49468162667</v>
      </c>
      <c r="V61" s="365">
        <f t="shared" si="13"/>
        <v>-994283.16745825496</v>
      </c>
      <c r="W61" s="365">
        <f t="shared" si="13"/>
        <v>-1036043.0604915017</v>
      </c>
      <c r="X61" s="365">
        <f t="shared" si="13"/>
        <v>-1079556.8690321448</v>
      </c>
      <c r="Y61" s="365">
        <f t="shared" si="13"/>
        <v>-1124898.2575314951</v>
      </c>
      <c r="Z61" s="365">
        <f t="shared" si="13"/>
        <v>-1172143.984347818</v>
      </c>
      <c r="AA61" s="365">
        <f t="shared" si="13"/>
        <v>-1221374.0316904264</v>
      </c>
      <c r="AB61" s="365">
        <f t="shared" si="13"/>
        <v>-1272671.7410214243</v>
      </c>
      <c r="AC61" s="365">
        <f t="shared" si="13"/>
        <v>-1326123.9541443242</v>
      </c>
      <c r="AD61" s="365">
        <f t="shared" si="13"/>
        <v>-1381821.160218386</v>
      </c>
      <c r="AE61" s="365">
        <f t="shared" si="13"/>
        <v>-1439857.6489475581</v>
      </c>
      <c r="AF61" s="365">
        <f t="shared" si="13"/>
        <v>-1500331.6702033554</v>
      </c>
      <c r="AG61" s="365">
        <f t="shared" si="13"/>
        <v>-1563345.6003518964</v>
      </c>
      <c r="AH61" s="365">
        <f t="shared" si="13"/>
        <v>-1629006.115566676</v>
      </c>
      <c r="AI61" s="365">
        <f t="shared" si="13"/>
        <v>-1697424.3724204763</v>
      </c>
      <c r="AJ61" s="365">
        <f t="shared" si="13"/>
        <v>-1768716.1960621367</v>
      </c>
      <c r="AK61" s="365">
        <f t="shared" si="13"/>
        <v>-1843002.2762967465</v>
      </c>
      <c r="AL61" s="365">
        <f t="shared" si="13"/>
        <v>-1920408.3719012099</v>
      </c>
      <c r="AM61" s="365">
        <f t="shared" si="13"/>
        <v>-2001065.5235210611</v>
      </c>
      <c r="AN61" s="365">
        <f t="shared" si="13"/>
        <v>-2085110.2755089456</v>
      </c>
      <c r="AO61" s="365">
        <f t="shared" si="13"/>
        <v>-2172684.9070803216</v>
      </c>
      <c r="AP61" s="365">
        <f t="shared" si="13"/>
        <v>-2263937.6731776954</v>
      </c>
    </row>
    <row r="62" spans="1:45" x14ac:dyDescent="0.2">
      <c r="A62" s="123"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123" t="s">
        <v>390</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123" t="s">
        <v>390</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123" t="s">
        <v>549</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302" t="s">
        <v>550</v>
      </c>
      <c r="B66" s="366">
        <f t="shared" ref="B66:AO66" si="14">B59+B60</f>
        <v>35344379.95000001</v>
      </c>
      <c r="C66" s="366">
        <f t="shared" si="14"/>
        <v>1529120.6891024252</v>
      </c>
      <c r="D66" s="366">
        <f t="shared" si="14"/>
        <v>3660810.6493848939</v>
      </c>
      <c r="E66" s="366">
        <f t="shared" si="14"/>
        <v>6034147.030792376</v>
      </c>
      <c r="F66" s="366">
        <f t="shared" si="14"/>
        <v>6287581.2060856568</v>
      </c>
      <c r="G66" s="366">
        <f t="shared" si="14"/>
        <v>6551659.6167412549</v>
      </c>
      <c r="H66" s="366">
        <f t="shared" si="14"/>
        <v>6826829.320644387</v>
      </c>
      <c r="I66" s="366">
        <f t="shared" si="14"/>
        <v>7113556.152111453</v>
      </c>
      <c r="J66" s="366">
        <f t="shared" si="14"/>
        <v>7412325.5105001349</v>
      </c>
      <c r="K66" s="366">
        <f t="shared" si="14"/>
        <v>7723643.1819411404</v>
      </c>
      <c r="L66" s="366">
        <f t="shared" si="14"/>
        <v>8048036.1955826683</v>
      </c>
      <c r="M66" s="366">
        <f t="shared" si="14"/>
        <v>8386053.7157971412</v>
      </c>
      <c r="N66" s="366">
        <f t="shared" si="14"/>
        <v>8738267.9718606193</v>
      </c>
      <c r="O66" s="366">
        <f t="shared" si="14"/>
        <v>9105275.2266787663</v>
      </c>
      <c r="P66" s="366">
        <f t="shared" si="14"/>
        <v>9487696.7861992754</v>
      </c>
      <c r="Q66" s="366">
        <f t="shared" si="14"/>
        <v>9886180.0512196459</v>
      </c>
      <c r="R66" s="366">
        <f t="shared" si="14"/>
        <v>10301399.613370869</v>
      </c>
      <c r="S66" s="366">
        <f t="shared" si="14"/>
        <v>10734058.397132447</v>
      </c>
      <c r="T66" s="366">
        <f t="shared" si="14"/>
        <v>11184888.849812012</v>
      </c>
      <c r="U66" s="366">
        <f t="shared" si="14"/>
        <v>11654654.181504117</v>
      </c>
      <c r="V66" s="366">
        <f t="shared" si="14"/>
        <v>12144149.657127289</v>
      </c>
      <c r="W66" s="366">
        <f t="shared" si="14"/>
        <v>12654203.942726634</v>
      </c>
      <c r="X66" s="366">
        <f t="shared" si="14"/>
        <v>13185680.508321155</v>
      </c>
      <c r="Y66" s="366">
        <f t="shared" si="14"/>
        <v>13739479.089670643</v>
      </c>
      <c r="Z66" s="366">
        <f t="shared" si="14"/>
        <v>14316537.211436812</v>
      </c>
      <c r="AA66" s="366">
        <f t="shared" si="14"/>
        <v>14917831.77431716</v>
      </c>
      <c r="AB66" s="366">
        <f t="shared" si="14"/>
        <v>15544380.708838481</v>
      </c>
      <c r="AC66" s="366">
        <f t="shared" si="14"/>
        <v>16197244.698609699</v>
      </c>
      <c r="AD66" s="366">
        <f t="shared" si="14"/>
        <v>16877528.975951307</v>
      </c>
      <c r="AE66" s="366">
        <f t="shared" si="14"/>
        <v>17586385.19294126</v>
      </c>
      <c r="AF66" s="366">
        <f t="shared" si="14"/>
        <v>18325013.371044796</v>
      </c>
      <c r="AG66" s="366">
        <f t="shared" si="14"/>
        <v>19094663.932628676</v>
      </c>
      <c r="AH66" s="366">
        <f t="shared" si="14"/>
        <v>19896639.81779908</v>
      </c>
      <c r="AI66" s="366">
        <f t="shared" si="14"/>
        <v>20732298.690146644</v>
      </c>
      <c r="AJ66" s="366">
        <f t="shared" si="14"/>
        <v>21603055.235132802</v>
      </c>
      <c r="AK66" s="366">
        <f t="shared" si="14"/>
        <v>22510383.555008382</v>
      </c>
      <c r="AL66" s="366">
        <f t="shared" si="14"/>
        <v>23455819.664318737</v>
      </c>
      <c r="AM66" s="366">
        <f t="shared" si="14"/>
        <v>24440964.090220124</v>
      </c>
      <c r="AN66" s="366">
        <f t="shared" si="14"/>
        <v>25467484.582009371</v>
      </c>
      <c r="AO66" s="366">
        <f t="shared" si="14"/>
        <v>26537118.934453767</v>
      </c>
      <c r="AP66" s="366">
        <f>AP59+AP60</f>
        <v>27651677.929700825</v>
      </c>
    </row>
    <row r="67" spans="1:45" x14ac:dyDescent="0.2">
      <c r="A67" s="123" t="s">
        <v>222</v>
      </c>
      <c r="B67" s="119"/>
      <c r="C67" s="365">
        <f>-($B$25)*1.18*$B$28/$B$27</f>
        <v>-1158510.2333333336</v>
      </c>
      <c r="D67" s="365">
        <f>C67</f>
        <v>-1158510.2333333336</v>
      </c>
      <c r="E67" s="365">
        <f t="shared" ref="E67:AP67" si="15">D67</f>
        <v>-1158510.2333333336</v>
      </c>
      <c r="F67" s="365">
        <f t="shared" si="15"/>
        <v>-1158510.2333333336</v>
      </c>
      <c r="G67" s="365">
        <f t="shared" si="15"/>
        <v>-1158510.2333333336</v>
      </c>
      <c r="H67" s="365">
        <f t="shared" si="15"/>
        <v>-1158510.2333333336</v>
      </c>
      <c r="I67" s="365">
        <f t="shared" si="15"/>
        <v>-1158510.2333333336</v>
      </c>
      <c r="J67" s="365">
        <f t="shared" si="15"/>
        <v>-1158510.2333333336</v>
      </c>
      <c r="K67" s="365">
        <f t="shared" si="15"/>
        <v>-1158510.2333333336</v>
      </c>
      <c r="L67" s="365">
        <f t="shared" si="15"/>
        <v>-1158510.2333333336</v>
      </c>
      <c r="M67" s="365">
        <f t="shared" si="15"/>
        <v>-1158510.2333333336</v>
      </c>
      <c r="N67" s="365">
        <f t="shared" si="15"/>
        <v>-1158510.2333333336</v>
      </c>
      <c r="O67" s="365">
        <f t="shared" si="15"/>
        <v>-1158510.2333333336</v>
      </c>
      <c r="P67" s="365">
        <f t="shared" si="15"/>
        <v>-1158510.2333333336</v>
      </c>
      <c r="Q67" s="365">
        <f t="shared" si="15"/>
        <v>-1158510.2333333336</v>
      </c>
      <c r="R67" s="365">
        <f t="shared" si="15"/>
        <v>-1158510.2333333336</v>
      </c>
      <c r="S67" s="365">
        <f t="shared" si="15"/>
        <v>-1158510.2333333336</v>
      </c>
      <c r="T67" s="365">
        <f t="shared" si="15"/>
        <v>-1158510.2333333336</v>
      </c>
      <c r="U67" s="365">
        <f t="shared" si="15"/>
        <v>-1158510.2333333336</v>
      </c>
      <c r="V67" s="365">
        <f t="shared" si="15"/>
        <v>-1158510.2333333336</v>
      </c>
      <c r="W67" s="365">
        <f t="shared" si="15"/>
        <v>-1158510.2333333336</v>
      </c>
      <c r="X67" s="365">
        <f t="shared" si="15"/>
        <v>-1158510.2333333336</v>
      </c>
      <c r="Y67" s="365">
        <f t="shared" si="15"/>
        <v>-1158510.2333333336</v>
      </c>
      <c r="Z67" s="365">
        <f t="shared" si="15"/>
        <v>-1158510.2333333336</v>
      </c>
      <c r="AA67" s="365">
        <f t="shared" si="15"/>
        <v>-1158510.2333333336</v>
      </c>
      <c r="AB67" s="365">
        <f t="shared" si="15"/>
        <v>-1158510.2333333336</v>
      </c>
      <c r="AC67" s="365">
        <f t="shared" si="15"/>
        <v>-1158510.2333333336</v>
      </c>
      <c r="AD67" s="365">
        <f t="shared" si="15"/>
        <v>-1158510.2333333336</v>
      </c>
      <c r="AE67" s="365">
        <f t="shared" si="15"/>
        <v>-1158510.2333333336</v>
      </c>
      <c r="AF67" s="365">
        <f t="shared" si="15"/>
        <v>-1158510.2333333336</v>
      </c>
      <c r="AG67" s="365">
        <f t="shared" si="15"/>
        <v>-1158510.2333333336</v>
      </c>
      <c r="AH67" s="365">
        <f t="shared" si="15"/>
        <v>-1158510.2333333336</v>
      </c>
      <c r="AI67" s="365">
        <f t="shared" si="15"/>
        <v>-1158510.2333333336</v>
      </c>
      <c r="AJ67" s="365">
        <f t="shared" si="15"/>
        <v>-1158510.2333333336</v>
      </c>
      <c r="AK67" s="365">
        <f t="shared" si="15"/>
        <v>-1158510.2333333336</v>
      </c>
      <c r="AL67" s="365">
        <f t="shared" si="15"/>
        <v>-1158510.2333333336</v>
      </c>
      <c r="AM67" s="365">
        <f t="shared" si="15"/>
        <v>-1158510.2333333336</v>
      </c>
      <c r="AN67" s="365">
        <f t="shared" si="15"/>
        <v>-1158510.2333333336</v>
      </c>
      <c r="AO67" s="365">
        <f t="shared" si="15"/>
        <v>-1158510.2333333336</v>
      </c>
      <c r="AP67" s="365">
        <f t="shared" si="15"/>
        <v>-1158510.2333333336</v>
      </c>
      <c r="AQ67" s="303">
        <f>SUM(B67:AA67)/1.18</f>
        <v>-24544708.333333351</v>
      </c>
      <c r="AR67" s="304">
        <f>SUM(B67:AF67)/1.18</f>
        <v>-29453650.000000022</v>
      </c>
      <c r="AS67" s="304">
        <f>SUM(B67:AP67)/1.18</f>
        <v>-39271533.333333366</v>
      </c>
    </row>
    <row r="68" spans="1:45" ht="28.5" x14ac:dyDescent="0.2">
      <c r="A68" s="302" t="s">
        <v>551</v>
      </c>
      <c r="B68" s="366">
        <f t="shared" ref="B68:J68" si="16">B66+B67</f>
        <v>35344379.95000001</v>
      </c>
      <c r="C68" s="366">
        <f>C66+C67</f>
        <v>370610.45576909161</v>
      </c>
      <c r="D68" s="366">
        <f>D66+D67</f>
        <v>2502300.4160515601</v>
      </c>
      <c r="E68" s="366">
        <f t="shared" si="16"/>
        <v>4875636.7974590426</v>
      </c>
      <c r="F68" s="366">
        <f>F66+C67</f>
        <v>5129070.9727523234</v>
      </c>
      <c r="G68" s="366">
        <f t="shared" si="16"/>
        <v>5393149.3834079215</v>
      </c>
      <c r="H68" s="366">
        <f t="shared" si="16"/>
        <v>5668319.0873110536</v>
      </c>
      <c r="I68" s="366">
        <f t="shared" si="16"/>
        <v>5955045.9187781196</v>
      </c>
      <c r="J68" s="366">
        <f t="shared" si="16"/>
        <v>6253815.2771668015</v>
      </c>
      <c r="K68" s="366">
        <f>K66+K67</f>
        <v>6565132.948607807</v>
      </c>
      <c r="L68" s="366">
        <f>L66+L67</f>
        <v>6889525.9622493349</v>
      </c>
      <c r="M68" s="366">
        <f t="shared" ref="M68:AO68" si="17">M66+M67</f>
        <v>7227543.4824638078</v>
      </c>
      <c r="N68" s="366">
        <f t="shared" si="17"/>
        <v>7579757.7385272859</v>
      </c>
      <c r="O68" s="366">
        <f t="shared" si="17"/>
        <v>7946764.9933454329</v>
      </c>
      <c r="P68" s="366">
        <f t="shared" si="17"/>
        <v>8329186.552865942</v>
      </c>
      <c r="Q68" s="366">
        <f t="shared" si="17"/>
        <v>8727669.8178863116</v>
      </c>
      <c r="R68" s="366">
        <f t="shared" si="17"/>
        <v>9142889.380037535</v>
      </c>
      <c r="S68" s="366">
        <f t="shared" si="17"/>
        <v>9575548.1637991127</v>
      </c>
      <c r="T68" s="366">
        <f t="shared" si="17"/>
        <v>10026378.616478678</v>
      </c>
      <c r="U68" s="366">
        <f t="shared" si="17"/>
        <v>10496143.948170783</v>
      </c>
      <c r="V68" s="366">
        <f t="shared" si="17"/>
        <v>10985639.423793955</v>
      </c>
      <c r="W68" s="366">
        <f t="shared" si="17"/>
        <v>11495693.7093933</v>
      </c>
      <c r="X68" s="366">
        <f t="shared" si="17"/>
        <v>12027170.274987821</v>
      </c>
      <c r="Y68" s="366">
        <f t="shared" si="17"/>
        <v>12580968.856337309</v>
      </c>
      <c r="Z68" s="366">
        <f t="shared" si="17"/>
        <v>13158026.978103478</v>
      </c>
      <c r="AA68" s="366">
        <f t="shared" si="17"/>
        <v>13759321.540983826</v>
      </c>
      <c r="AB68" s="366">
        <f t="shared" si="17"/>
        <v>14385870.475505147</v>
      </c>
      <c r="AC68" s="366">
        <f t="shared" si="17"/>
        <v>15038734.465276364</v>
      </c>
      <c r="AD68" s="366">
        <f t="shared" si="17"/>
        <v>15719018.742617972</v>
      </c>
      <c r="AE68" s="366">
        <f t="shared" si="17"/>
        <v>16427874.959607925</v>
      </c>
      <c r="AF68" s="366">
        <f t="shared" si="17"/>
        <v>17166503.137711462</v>
      </c>
      <c r="AG68" s="366">
        <f t="shared" si="17"/>
        <v>17936153.699295342</v>
      </c>
      <c r="AH68" s="366">
        <f t="shared" si="17"/>
        <v>18738129.584465746</v>
      </c>
      <c r="AI68" s="366">
        <f t="shared" si="17"/>
        <v>19573788.456813309</v>
      </c>
      <c r="AJ68" s="366">
        <f t="shared" si="17"/>
        <v>20444545.001799468</v>
      </c>
      <c r="AK68" s="366">
        <f t="shared" si="17"/>
        <v>21351873.321675047</v>
      </c>
      <c r="AL68" s="366">
        <f t="shared" si="17"/>
        <v>22297309.430985402</v>
      </c>
      <c r="AM68" s="366">
        <f t="shared" si="17"/>
        <v>23282453.856886789</v>
      </c>
      <c r="AN68" s="366">
        <f t="shared" si="17"/>
        <v>24308974.348676037</v>
      </c>
      <c r="AO68" s="366">
        <f t="shared" si="17"/>
        <v>25378608.701120432</v>
      </c>
      <c r="AP68" s="366">
        <f>AP66+AP67</f>
        <v>26493167.696367491</v>
      </c>
      <c r="AQ68" s="243">
        <v>25</v>
      </c>
      <c r="AR68" s="243">
        <v>30</v>
      </c>
      <c r="AS68" s="243">
        <v>40</v>
      </c>
    </row>
    <row r="69" spans="1:45" x14ac:dyDescent="0.2">
      <c r="A69" s="123" t="s">
        <v>221</v>
      </c>
      <c r="B69" s="365">
        <f t="shared" ref="B69:AO69" si="18">-B56</f>
        <v>0</v>
      </c>
      <c r="C69" s="365">
        <f t="shared" si="18"/>
        <v>0</v>
      </c>
      <c r="D69" s="365">
        <f t="shared" si="18"/>
        <v>0</v>
      </c>
      <c r="E69" s="365">
        <f t="shared" si="18"/>
        <v>0</v>
      </c>
      <c r="F69" s="365">
        <f t="shared" si="18"/>
        <v>0</v>
      </c>
      <c r="G69" s="365">
        <f t="shared" si="18"/>
        <v>0</v>
      </c>
      <c r="H69" s="365">
        <f t="shared" si="18"/>
        <v>0</v>
      </c>
      <c r="I69" s="365">
        <f t="shared" si="18"/>
        <v>0</v>
      </c>
      <c r="J69" s="365">
        <f t="shared" si="18"/>
        <v>0</v>
      </c>
      <c r="K69" s="365">
        <f t="shared" si="18"/>
        <v>0</v>
      </c>
      <c r="L69" s="365">
        <f t="shared" si="18"/>
        <v>0</v>
      </c>
      <c r="M69" s="365">
        <f t="shared" si="18"/>
        <v>0</v>
      </c>
      <c r="N69" s="365">
        <f t="shared" si="18"/>
        <v>0</v>
      </c>
      <c r="O69" s="365">
        <f t="shared" si="18"/>
        <v>0</v>
      </c>
      <c r="P69" s="365">
        <f t="shared" si="18"/>
        <v>0</v>
      </c>
      <c r="Q69" s="365">
        <f t="shared" si="18"/>
        <v>0</v>
      </c>
      <c r="R69" s="365">
        <f t="shared" si="18"/>
        <v>0</v>
      </c>
      <c r="S69" s="365">
        <f t="shared" si="18"/>
        <v>0</v>
      </c>
      <c r="T69" s="365">
        <f t="shared" si="18"/>
        <v>0</v>
      </c>
      <c r="U69" s="365">
        <f t="shared" si="18"/>
        <v>0</v>
      </c>
      <c r="V69" s="365">
        <f t="shared" si="18"/>
        <v>0</v>
      </c>
      <c r="W69" s="365">
        <f t="shared" si="18"/>
        <v>0</v>
      </c>
      <c r="X69" s="365">
        <f t="shared" si="18"/>
        <v>0</v>
      </c>
      <c r="Y69" s="365">
        <f t="shared" si="18"/>
        <v>0</v>
      </c>
      <c r="Z69" s="365">
        <f t="shared" si="18"/>
        <v>0</v>
      </c>
      <c r="AA69" s="365">
        <f t="shared" si="18"/>
        <v>0</v>
      </c>
      <c r="AB69" s="365">
        <f t="shared" si="18"/>
        <v>0</v>
      </c>
      <c r="AC69" s="365">
        <f t="shared" si="18"/>
        <v>0</v>
      </c>
      <c r="AD69" s="365">
        <f t="shared" si="18"/>
        <v>0</v>
      </c>
      <c r="AE69" s="365">
        <f t="shared" si="18"/>
        <v>0</v>
      </c>
      <c r="AF69" s="365">
        <f t="shared" si="18"/>
        <v>0</v>
      </c>
      <c r="AG69" s="365">
        <f t="shared" si="18"/>
        <v>0</v>
      </c>
      <c r="AH69" s="365">
        <f t="shared" si="18"/>
        <v>0</v>
      </c>
      <c r="AI69" s="365">
        <f t="shared" si="18"/>
        <v>0</v>
      </c>
      <c r="AJ69" s="365">
        <f t="shared" si="18"/>
        <v>0</v>
      </c>
      <c r="AK69" s="365">
        <f t="shared" si="18"/>
        <v>0</v>
      </c>
      <c r="AL69" s="365">
        <f t="shared" si="18"/>
        <v>0</v>
      </c>
      <c r="AM69" s="365">
        <f t="shared" si="18"/>
        <v>0</v>
      </c>
      <c r="AN69" s="365">
        <f t="shared" si="18"/>
        <v>0</v>
      </c>
      <c r="AO69" s="365">
        <f t="shared" si="18"/>
        <v>0</v>
      </c>
      <c r="AP69" s="365">
        <f>-AP56</f>
        <v>0</v>
      </c>
    </row>
    <row r="70" spans="1:45" ht="14.25" x14ac:dyDescent="0.2">
      <c r="A70" s="302" t="s">
        <v>225</v>
      </c>
      <c r="B70" s="366">
        <f t="shared" ref="B70:AO70" si="19">B68+B69</f>
        <v>35344379.95000001</v>
      </c>
      <c r="C70" s="366">
        <f t="shared" si="19"/>
        <v>370610.45576909161</v>
      </c>
      <c r="D70" s="366">
        <f t="shared" si="19"/>
        <v>2502300.4160515601</v>
      </c>
      <c r="E70" s="366">
        <f t="shared" si="19"/>
        <v>4875636.7974590426</v>
      </c>
      <c r="F70" s="366">
        <f t="shared" si="19"/>
        <v>5129070.9727523234</v>
      </c>
      <c r="G70" s="366">
        <f t="shared" si="19"/>
        <v>5393149.3834079215</v>
      </c>
      <c r="H70" s="366">
        <f t="shared" si="19"/>
        <v>5668319.0873110536</v>
      </c>
      <c r="I70" s="366">
        <f t="shared" si="19"/>
        <v>5955045.9187781196</v>
      </c>
      <c r="J70" s="366">
        <f t="shared" si="19"/>
        <v>6253815.2771668015</v>
      </c>
      <c r="K70" s="366">
        <f t="shared" si="19"/>
        <v>6565132.948607807</v>
      </c>
      <c r="L70" s="366">
        <f t="shared" si="19"/>
        <v>6889525.9622493349</v>
      </c>
      <c r="M70" s="366">
        <f t="shared" si="19"/>
        <v>7227543.4824638078</v>
      </c>
      <c r="N70" s="366">
        <f t="shared" si="19"/>
        <v>7579757.7385272859</v>
      </c>
      <c r="O70" s="366">
        <f t="shared" si="19"/>
        <v>7946764.9933454329</v>
      </c>
      <c r="P70" s="366">
        <f t="shared" si="19"/>
        <v>8329186.552865942</v>
      </c>
      <c r="Q70" s="366">
        <f t="shared" si="19"/>
        <v>8727669.8178863116</v>
      </c>
      <c r="R70" s="366">
        <f t="shared" si="19"/>
        <v>9142889.380037535</v>
      </c>
      <c r="S70" s="366">
        <f t="shared" si="19"/>
        <v>9575548.1637991127</v>
      </c>
      <c r="T70" s="366">
        <f t="shared" si="19"/>
        <v>10026378.616478678</v>
      </c>
      <c r="U70" s="366">
        <f t="shared" si="19"/>
        <v>10496143.948170783</v>
      </c>
      <c r="V70" s="366">
        <f t="shared" si="19"/>
        <v>10985639.423793955</v>
      </c>
      <c r="W70" s="366">
        <f t="shared" si="19"/>
        <v>11495693.7093933</v>
      </c>
      <c r="X70" s="366">
        <f t="shared" si="19"/>
        <v>12027170.274987821</v>
      </c>
      <c r="Y70" s="366">
        <f t="shared" si="19"/>
        <v>12580968.856337309</v>
      </c>
      <c r="Z70" s="366">
        <f t="shared" si="19"/>
        <v>13158026.978103478</v>
      </c>
      <c r="AA70" s="366">
        <f t="shared" si="19"/>
        <v>13759321.540983826</v>
      </c>
      <c r="AB70" s="366">
        <f t="shared" si="19"/>
        <v>14385870.475505147</v>
      </c>
      <c r="AC70" s="366">
        <f t="shared" si="19"/>
        <v>15038734.465276364</v>
      </c>
      <c r="AD70" s="366">
        <f t="shared" si="19"/>
        <v>15719018.742617972</v>
      </c>
      <c r="AE70" s="366">
        <f t="shared" si="19"/>
        <v>16427874.959607925</v>
      </c>
      <c r="AF70" s="366">
        <f t="shared" si="19"/>
        <v>17166503.137711462</v>
      </c>
      <c r="AG70" s="366">
        <f t="shared" si="19"/>
        <v>17936153.699295342</v>
      </c>
      <c r="AH70" s="366">
        <f t="shared" si="19"/>
        <v>18738129.584465746</v>
      </c>
      <c r="AI70" s="366">
        <f t="shared" si="19"/>
        <v>19573788.456813309</v>
      </c>
      <c r="AJ70" s="366">
        <f t="shared" si="19"/>
        <v>20444545.001799468</v>
      </c>
      <c r="AK70" s="366">
        <f t="shared" si="19"/>
        <v>21351873.321675047</v>
      </c>
      <c r="AL70" s="366">
        <f t="shared" si="19"/>
        <v>22297309.430985402</v>
      </c>
      <c r="AM70" s="366">
        <f t="shared" si="19"/>
        <v>23282453.856886789</v>
      </c>
      <c r="AN70" s="366">
        <f t="shared" si="19"/>
        <v>24308974.348676037</v>
      </c>
      <c r="AO70" s="366">
        <f t="shared" si="19"/>
        <v>25378608.701120432</v>
      </c>
      <c r="AP70" s="366">
        <f>AP68+AP69</f>
        <v>26493167.696367491</v>
      </c>
    </row>
    <row r="71" spans="1:45" x14ac:dyDescent="0.2">
      <c r="A71" s="123" t="s">
        <v>220</v>
      </c>
      <c r="B71" s="365">
        <f t="shared" ref="B71:AP71" si="20">-B70*$B$36</f>
        <v>-7068875.9900000021</v>
      </c>
      <c r="C71" s="365">
        <f t="shared" si="20"/>
        <v>-74122.091153818328</v>
      </c>
      <c r="D71" s="365">
        <f t="shared" si="20"/>
        <v>-500460.08321031206</v>
      </c>
      <c r="E71" s="365">
        <f t="shared" si="20"/>
        <v>-975127.35949180857</v>
      </c>
      <c r="F71" s="365">
        <f t="shared" si="20"/>
        <v>-1025814.1945504647</v>
      </c>
      <c r="G71" s="365">
        <f t="shared" si="20"/>
        <v>-1078629.8766815844</v>
      </c>
      <c r="H71" s="365">
        <f t="shared" si="20"/>
        <v>-1133663.8174622108</v>
      </c>
      <c r="I71" s="365">
        <f t="shared" si="20"/>
        <v>-1191009.1837556239</v>
      </c>
      <c r="J71" s="365">
        <f t="shared" si="20"/>
        <v>-1250763.0554333604</v>
      </c>
      <c r="K71" s="365">
        <f t="shared" si="20"/>
        <v>-1313026.5897215614</v>
      </c>
      <c r="L71" s="365">
        <f t="shared" si="20"/>
        <v>-1377905.192449867</v>
      </c>
      <c r="M71" s="365">
        <f t="shared" si="20"/>
        <v>-1445508.6964927616</v>
      </c>
      <c r="N71" s="365">
        <f t="shared" si="20"/>
        <v>-1515951.5477054573</v>
      </c>
      <c r="O71" s="365">
        <f t="shared" si="20"/>
        <v>-1589352.9986690867</v>
      </c>
      <c r="P71" s="365">
        <f t="shared" si="20"/>
        <v>-1665837.3105731886</v>
      </c>
      <c r="Q71" s="365">
        <f t="shared" si="20"/>
        <v>-1745533.9635772624</v>
      </c>
      <c r="R71" s="365">
        <f t="shared" si="20"/>
        <v>-1828577.8760075071</v>
      </c>
      <c r="S71" s="365">
        <f t="shared" si="20"/>
        <v>-1915109.6327598225</v>
      </c>
      <c r="T71" s="365">
        <f t="shared" si="20"/>
        <v>-2005275.7232957357</v>
      </c>
      <c r="U71" s="365">
        <f t="shared" si="20"/>
        <v>-2099228.7896341565</v>
      </c>
      <c r="V71" s="365">
        <f t="shared" si="20"/>
        <v>-2197127.884758791</v>
      </c>
      <c r="W71" s="365">
        <f t="shared" si="20"/>
        <v>-2299138.7418786599</v>
      </c>
      <c r="X71" s="365">
        <f t="shared" si="20"/>
        <v>-2405434.0549975643</v>
      </c>
      <c r="Y71" s="365">
        <f t="shared" si="20"/>
        <v>-2516193.7712674621</v>
      </c>
      <c r="Z71" s="365">
        <f t="shared" si="20"/>
        <v>-2631605.3956206958</v>
      </c>
      <c r="AA71" s="365">
        <f t="shared" si="20"/>
        <v>-2751864.3081967654</v>
      </c>
      <c r="AB71" s="365">
        <f t="shared" si="20"/>
        <v>-2877174.0951010296</v>
      </c>
      <c r="AC71" s="365">
        <f t="shared" si="20"/>
        <v>-3007746.8930552732</v>
      </c>
      <c r="AD71" s="365">
        <f t="shared" si="20"/>
        <v>-3143803.7485235948</v>
      </c>
      <c r="AE71" s="365">
        <f t="shared" si="20"/>
        <v>-3285574.9919215851</v>
      </c>
      <c r="AF71" s="365">
        <f t="shared" si="20"/>
        <v>-3433300.6275422927</v>
      </c>
      <c r="AG71" s="365">
        <f t="shared" si="20"/>
        <v>-3587230.7398590688</v>
      </c>
      <c r="AH71" s="365">
        <f t="shared" si="20"/>
        <v>-3747625.9168931493</v>
      </c>
      <c r="AI71" s="365">
        <f t="shared" si="20"/>
        <v>-3914757.6913626622</v>
      </c>
      <c r="AJ71" s="365">
        <f t="shared" si="20"/>
        <v>-4088909.0003598938</v>
      </c>
      <c r="AK71" s="365">
        <f t="shared" si="20"/>
        <v>-4270374.6643350096</v>
      </c>
      <c r="AL71" s="365">
        <f t="shared" si="20"/>
        <v>-4459461.8861970808</v>
      </c>
      <c r="AM71" s="365">
        <f t="shared" si="20"/>
        <v>-4656490.7713773577</v>
      </c>
      <c r="AN71" s="365">
        <f t="shared" si="20"/>
        <v>-4861794.8697352074</v>
      </c>
      <c r="AO71" s="365">
        <f t="shared" si="20"/>
        <v>-5075721.7402240867</v>
      </c>
      <c r="AP71" s="365">
        <f t="shared" si="20"/>
        <v>-5298633.5392734986</v>
      </c>
    </row>
    <row r="72" spans="1:45" ht="15" thickBot="1" x14ac:dyDescent="0.25">
      <c r="A72" s="305" t="s">
        <v>224</v>
      </c>
      <c r="B72" s="122">
        <f t="shared" ref="B72:AO72" si="21">B70+B71</f>
        <v>28275503.960000008</v>
      </c>
      <c r="C72" s="122">
        <f t="shared" si="21"/>
        <v>296488.36461527331</v>
      </c>
      <c r="D72" s="122">
        <f t="shared" si="21"/>
        <v>2001840.332841248</v>
      </c>
      <c r="E72" s="122">
        <f t="shared" si="21"/>
        <v>3900509.4379672343</v>
      </c>
      <c r="F72" s="122">
        <f t="shared" si="21"/>
        <v>4103256.7782018585</v>
      </c>
      <c r="G72" s="122">
        <f t="shared" si="21"/>
        <v>4314519.5067263376</v>
      </c>
      <c r="H72" s="122">
        <f t="shared" si="21"/>
        <v>4534655.2698488431</v>
      </c>
      <c r="I72" s="122">
        <f t="shared" si="21"/>
        <v>4764036.7350224955</v>
      </c>
      <c r="J72" s="122">
        <f t="shared" si="21"/>
        <v>5003052.2217334416</v>
      </c>
      <c r="K72" s="122">
        <f t="shared" si="21"/>
        <v>5252106.3588862456</v>
      </c>
      <c r="L72" s="122">
        <f t="shared" si="21"/>
        <v>5511620.7697994681</v>
      </c>
      <c r="M72" s="122">
        <f t="shared" si="21"/>
        <v>5782034.7859710464</v>
      </c>
      <c r="N72" s="122">
        <f t="shared" si="21"/>
        <v>6063806.1908218283</v>
      </c>
      <c r="O72" s="122">
        <f t="shared" si="21"/>
        <v>6357411.994676346</v>
      </c>
      <c r="P72" s="122">
        <f t="shared" si="21"/>
        <v>6663349.2422927534</v>
      </c>
      <c r="Q72" s="122">
        <f t="shared" si="21"/>
        <v>6982135.8543090494</v>
      </c>
      <c r="R72" s="122">
        <f t="shared" si="21"/>
        <v>7314311.5040300284</v>
      </c>
      <c r="S72" s="122">
        <f t="shared" si="21"/>
        <v>7660438.5310392901</v>
      </c>
      <c r="T72" s="122">
        <f t="shared" si="21"/>
        <v>8021102.8931829426</v>
      </c>
      <c r="U72" s="122">
        <f t="shared" si="21"/>
        <v>8396915.158536626</v>
      </c>
      <c r="V72" s="122">
        <f t="shared" si="21"/>
        <v>8788511.5390351638</v>
      </c>
      <c r="W72" s="122">
        <f t="shared" si="21"/>
        <v>9196554.9675146397</v>
      </c>
      <c r="X72" s="122">
        <f t="shared" si="21"/>
        <v>9621736.2199902572</v>
      </c>
      <c r="Y72" s="122">
        <f t="shared" si="21"/>
        <v>10064775.085069846</v>
      </c>
      <c r="Z72" s="122">
        <f t="shared" si="21"/>
        <v>10526421.582482781</v>
      </c>
      <c r="AA72" s="122">
        <f t="shared" si="21"/>
        <v>11007457.232787061</v>
      </c>
      <c r="AB72" s="122">
        <f t="shared" si="21"/>
        <v>11508696.380404118</v>
      </c>
      <c r="AC72" s="122">
        <f t="shared" si="21"/>
        <v>12030987.572221091</v>
      </c>
      <c r="AD72" s="122">
        <f t="shared" si="21"/>
        <v>12575214.994094377</v>
      </c>
      <c r="AE72" s="122">
        <f t="shared" si="21"/>
        <v>13142299.96768634</v>
      </c>
      <c r="AF72" s="122">
        <f t="shared" si="21"/>
        <v>13733202.510169169</v>
      </c>
      <c r="AG72" s="122">
        <f t="shared" si="21"/>
        <v>14348922.959436273</v>
      </c>
      <c r="AH72" s="122">
        <f t="shared" si="21"/>
        <v>14990503.667572597</v>
      </c>
      <c r="AI72" s="122">
        <f t="shared" si="21"/>
        <v>15659030.765450647</v>
      </c>
      <c r="AJ72" s="122">
        <f t="shared" si="21"/>
        <v>16355636.001439575</v>
      </c>
      <c r="AK72" s="122">
        <f t="shared" si="21"/>
        <v>17081498.657340039</v>
      </c>
      <c r="AL72" s="122">
        <f t="shared" si="21"/>
        <v>17837847.544788323</v>
      </c>
      <c r="AM72" s="122">
        <f t="shared" si="21"/>
        <v>18625963.085509431</v>
      </c>
      <c r="AN72" s="122">
        <f t="shared" si="21"/>
        <v>19447179.47894083</v>
      </c>
      <c r="AO72" s="122">
        <f t="shared" si="21"/>
        <v>20302886.960896347</v>
      </c>
      <c r="AP72" s="122">
        <f>AP70+AP71</f>
        <v>21194534.157093994</v>
      </c>
    </row>
    <row r="73" spans="1:45" s="307" customFormat="1" ht="16.5" thickBot="1" x14ac:dyDescent="0.25">
      <c r="A73" s="298"/>
      <c r="B73" s="306">
        <f>H141</f>
        <v>4.5</v>
      </c>
      <c r="C73" s="306">
        <f t="shared" ref="C73:AP73" si="22">I141</f>
        <v>5.5</v>
      </c>
      <c r="D73" s="306">
        <f t="shared" si="22"/>
        <v>6.5</v>
      </c>
      <c r="E73" s="306">
        <f t="shared" si="22"/>
        <v>7.5</v>
      </c>
      <c r="F73" s="306">
        <f t="shared" si="22"/>
        <v>8.5</v>
      </c>
      <c r="G73" s="306">
        <f t="shared" si="22"/>
        <v>9.5</v>
      </c>
      <c r="H73" s="306">
        <f t="shared" si="22"/>
        <v>10.5</v>
      </c>
      <c r="I73" s="306">
        <f t="shared" si="22"/>
        <v>11.5</v>
      </c>
      <c r="J73" s="306">
        <f t="shared" si="22"/>
        <v>12.5</v>
      </c>
      <c r="K73" s="306">
        <f t="shared" si="22"/>
        <v>13.5</v>
      </c>
      <c r="L73" s="306">
        <f t="shared" si="22"/>
        <v>14.5</v>
      </c>
      <c r="M73" s="306">
        <f t="shared" si="22"/>
        <v>15.5</v>
      </c>
      <c r="N73" s="306">
        <f t="shared" si="22"/>
        <v>16.5</v>
      </c>
      <c r="O73" s="306">
        <f t="shared" si="22"/>
        <v>17.5</v>
      </c>
      <c r="P73" s="306">
        <f t="shared" si="22"/>
        <v>18.5</v>
      </c>
      <c r="Q73" s="306">
        <f t="shared" si="22"/>
        <v>19.5</v>
      </c>
      <c r="R73" s="306">
        <f t="shared" si="22"/>
        <v>20.5</v>
      </c>
      <c r="S73" s="306">
        <f t="shared" si="22"/>
        <v>21.5</v>
      </c>
      <c r="T73" s="306">
        <f t="shared" si="22"/>
        <v>22.5</v>
      </c>
      <c r="U73" s="306">
        <f t="shared" si="22"/>
        <v>23.5</v>
      </c>
      <c r="V73" s="306">
        <f t="shared" si="22"/>
        <v>24.5</v>
      </c>
      <c r="W73" s="306">
        <f t="shared" si="22"/>
        <v>25.5</v>
      </c>
      <c r="X73" s="306">
        <f t="shared" si="22"/>
        <v>26.5</v>
      </c>
      <c r="Y73" s="306">
        <f t="shared" si="22"/>
        <v>27.5</v>
      </c>
      <c r="Z73" s="306">
        <f t="shared" si="22"/>
        <v>28.5</v>
      </c>
      <c r="AA73" s="306">
        <f t="shared" si="22"/>
        <v>29.5</v>
      </c>
      <c r="AB73" s="306">
        <f t="shared" si="22"/>
        <v>30.5</v>
      </c>
      <c r="AC73" s="306">
        <f t="shared" si="22"/>
        <v>31.5</v>
      </c>
      <c r="AD73" s="306">
        <f t="shared" si="22"/>
        <v>32.5</v>
      </c>
      <c r="AE73" s="306">
        <f t="shared" si="22"/>
        <v>33.5</v>
      </c>
      <c r="AF73" s="306">
        <f t="shared" si="22"/>
        <v>34.5</v>
      </c>
      <c r="AG73" s="306">
        <f t="shared" si="22"/>
        <v>35.5</v>
      </c>
      <c r="AH73" s="306">
        <f t="shared" si="22"/>
        <v>36.5</v>
      </c>
      <c r="AI73" s="306">
        <f t="shared" si="22"/>
        <v>37.5</v>
      </c>
      <c r="AJ73" s="306">
        <f t="shared" si="22"/>
        <v>38.5</v>
      </c>
      <c r="AK73" s="306">
        <f t="shared" si="22"/>
        <v>39.5</v>
      </c>
      <c r="AL73" s="306">
        <f t="shared" si="22"/>
        <v>40.5</v>
      </c>
      <c r="AM73" s="306">
        <f t="shared" si="22"/>
        <v>41.5</v>
      </c>
      <c r="AN73" s="306">
        <f t="shared" si="22"/>
        <v>42.5</v>
      </c>
      <c r="AO73" s="306">
        <f t="shared" si="22"/>
        <v>43.5</v>
      </c>
      <c r="AP73" s="306">
        <f t="shared" si="22"/>
        <v>44.5</v>
      </c>
      <c r="AQ73" s="243"/>
      <c r="AR73" s="243"/>
      <c r="AS73" s="243"/>
    </row>
    <row r="74" spans="1:45" x14ac:dyDescent="0.2">
      <c r="A74" s="295"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1" t="s">
        <v>551</v>
      </c>
      <c r="B75" s="366">
        <f t="shared" ref="B75:AO75" si="24">B68</f>
        <v>35344379.95000001</v>
      </c>
      <c r="C75" s="366">
        <f t="shared" si="24"/>
        <v>370610.45576909161</v>
      </c>
      <c r="D75" s="366">
        <f>D68</f>
        <v>2502300.4160515601</v>
      </c>
      <c r="E75" s="366">
        <f t="shared" si="24"/>
        <v>4875636.7974590426</v>
      </c>
      <c r="F75" s="366">
        <f t="shared" si="24"/>
        <v>5129070.9727523234</v>
      </c>
      <c r="G75" s="366">
        <f t="shared" si="24"/>
        <v>5393149.3834079215</v>
      </c>
      <c r="H75" s="366">
        <f t="shared" si="24"/>
        <v>5668319.0873110536</v>
      </c>
      <c r="I75" s="366">
        <f t="shared" si="24"/>
        <v>5955045.9187781196</v>
      </c>
      <c r="J75" s="366">
        <f t="shared" si="24"/>
        <v>6253815.2771668015</v>
      </c>
      <c r="K75" s="366">
        <f t="shared" si="24"/>
        <v>6565132.948607807</v>
      </c>
      <c r="L75" s="366">
        <f t="shared" si="24"/>
        <v>6889525.9622493349</v>
      </c>
      <c r="M75" s="366">
        <f t="shared" si="24"/>
        <v>7227543.4824638078</v>
      </c>
      <c r="N75" s="366">
        <f t="shared" si="24"/>
        <v>7579757.7385272859</v>
      </c>
      <c r="O75" s="366">
        <f t="shared" si="24"/>
        <v>7946764.9933454329</v>
      </c>
      <c r="P75" s="366">
        <f t="shared" si="24"/>
        <v>8329186.552865942</v>
      </c>
      <c r="Q75" s="366">
        <f t="shared" si="24"/>
        <v>8727669.8178863116</v>
      </c>
      <c r="R75" s="366">
        <f t="shared" si="24"/>
        <v>9142889.380037535</v>
      </c>
      <c r="S75" s="366">
        <f t="shared" si="24"/>
        <v>9575548.1637991127</v>
      </c>
      <c r="T75" s="366">
        <f t="shared" si="24"/>
        <v>10026378.616478678</v>
      </c>
      <c r="U75" s="366">
        <f t="shared" si="24"/>
        <v>10496143.948170783</v>
      </c>
      <c r="V75" s="366">
        <f t="shared" si="24"/>
        <v>10985639.423793955</v>
      </c>
      <c r="W75" s="366">
        <f t="shared" si="24"/>
        <v>11495693.7093933</v>
      </c>
      <c r="X75" s="366">
        <f t="shared" si="24"/>
        <v>12027170.274987821</v>
      </c>
      <c r="Y75" s="366">
        <f t="shared" si="24"/>
        <v>12580968.856337309</v>
      </c>
      <c r="Z75" s="366">
        <f t="shared" si="24"/>
        <v>13158026.978103478</v>
      </c>
      <c r="AA75" s="366">
        <f t="shared" si="24"/>
        <v>13759321.540983826</v>
      </c>
      <c r="AB75" s="366">
        <f t="shared" si="24"/>
        <v>14385870.475505147</v>
      </c>
      <c r="AC75" s="366">
        <f t="shared" si="24"/>
        <v>15038734.465276364</v>
      </c>
      <c r="AD75" s="366">
        <f t="shared" si="24"/>
        <v>15719018.742617972</v>
      </c>
      <c r="AE75" s="366">
        <f t="shared" si="24"/>
        <v>16427874.959607925</v>
      </c>
      <c r="AF75" s="366">
        <f t="shared" si="24"/>
        <v>17166503.137711462</v>
      </c>
      <c r="AG75" s="366">
        <f t="shared" si="24"/>
        <v>17936153.699295342</v>
      </c>
      <c r="AH75" s="366">
        <f t="shared" si="24"/>
        <v>18738129.584465746</v>
      </c>
      <c r="AI75" s="366">
        <f t="shared" si="24"/>
        <v>19573788.456813309</v>
      </c>
      <c r="AJ75" s="366">
        <f t="shared" si="24"/>
        <v>20444545.001799468</v>
      </c>
      <c r="AK75" s="366">
        <f t="shared" si="24"/>
        <v>21351873.321675047</v>
      </c>
      <c r="AL75" s="366">
        <f t="shared" si="24"/>
        <v>22297309.430985402</v>
      </c>
      <c r="AM75" s="366">
        <f t="shared" si="24"/>
        <v>23282453.856886789</v>
      </c>
      <c r="AN75" s="366">
        <f t="shared" si="24"/>
        <v>24308974.348676037</v>
      </c>
      <c r="AO75" s="366">
        <f t="shared" si="24"/>
        <v>25378608.701120432</v>
      </c>
      <c r="AP75" s="366">
        <f>AP68</f>
        <v>26493167.696367491</v>
      </c>
    </row>
    <row r="76" spans="1:45" x14ac:dyDescent="0.2">
      <c r="A76" s="123" t="s">
        <v>222</v>
      </c>
      <c r="B76" s="365">
        <f t="shared" ref="B76:AO76" si="25">-B67</f>
        <v>0</v>
      </c>
      <c r="C76" s="365">
        <f>-C67</f>
        <v>1158510.2333333336</v>
      </c>
      <c r="D76" s="365">
        <f t="shared" si="25"/>
        <v>1158510.2333333336</v>
      </c>
      <c r="E76" s="365">
        <f t="shared" si="25"/>
        <v>1158510.2333333336</v>
      </c>
      <c r="F76" s="365">
        <f>-C67</f>
        <v>1158510.2333333336</v>
      </c>
      <c r="G76" s="365">
        <f t="shared" si="25"/>
        <v>1158510.2333333336</v>
      </c>
      <c r="H76" s="365">
        <f t="shared" si="25"/>
        <v>1158510.2333333336</v>
      </c>
      <c r="I76" s="365">
        <f t="shared" si="25"/>
        <v>1158510.2333333336</v>
      </c>
      <c r="J76" s="365">
        <f t="shared" si="25"/>
        <v>1158510.2333333336</v>
      </c>
      <c r="K76" s="365">
        <f t="shared" si="25"/>
        <v>1158510.2333333336</v>
      </c>
      <c r="L76" s="365">
        <f>-L67</f>
        <v>1158510.2333333336</v>
      </c>
      <c r="M76" s="365">
        <f>-M67</f>
        <v>1158510.2333333336</v>
      </c>
      <c r="N76" s="365">
        <f t="shared" si="25"/>
        <v>1158510.2333333336</v>
      </c>
      <c r="O76" s="365">
        <f t="shared" si="25"/>
        <v>1158510.2333333336</v>
      </c>
      <c r="P76" s="365">
        <f t="shared" si="25"/>
        <v>1158510.2333333336</v>
      </c>
      <c r="Q76" s="365">
        <f t="shared" si="25"/>
        <v>1158510.2333333336</v>
      </c>
      <c r="R76" s="365">
        <f t="shared" si="25"/>
        <v>1158510.2333333336</v>
      </c>
      <c r="S76" s="365">
        <f t="shared" si="25"/>
        <v>1158510.2333333336</v>
      </c>
      <c r="T76" s="365">
        <f t="shared" si="25"/>
        <v>1158510.2333333336</v>
      </c>
      <c r="U76" s="365">
        <f t="shared" si="25"/>
        <v>1158510.2333333336</v>
      </c>
      <c r="V76" s="365">
        <f t="shared" si="25"/>
        <v>1158510.2333333336</v>
      </c>
      <c r="W76" s="365">
        <f t="shared" si="25"/>
        <v>1158510.2333333336</v>
      </c>
      <c r="X76" s="365">
        <f t="shared" si="25"/>
        <v>1158510.2333333336</v>
      </c>
      <c r="Y76" s="365">
        <f t="shared" si="25"/>
        <v>1158510.2333333336</v>
      </c>
      <c r="Z76" s="365">
        <f t="shared" si="25"/>
        <v>1158510.2333333336</v>
      </c>
      <c r="AA76" s="365">
        <f t="shared" si="25"/>
        <v>1158510.2333333336</v>
      </c>
      <c r="AB76" s="365">
        <f t="shared" si="25"/>
        <v>1158510.2333333336</v>
      </c>
      <c r="AC76" s="365">
        <f t="shared" si="25"/>
        <v>1158510.2333333336</v>
      </c>
      <c r="AD76" s="365">
        <f t="shared" si="25"/>
        <v>1158510.2333333336</v>
      </c>
      <c r="AE76" s="365">
        <f t="shared" si="25"/>
        <v>1158510.2333333336</v>
      </c>
      <c r="AF76" s="365">
        <f t="shared" si="25"/>
        <v>1158510.2333333336</v>
      </c>
      <c r="AG76" s="365">
        <f t="shared" si="25"/>
        <v>1158510.2333333336</v>
      </c>
      <c r="AH76" s="365">
        <f t="shared" si="25"/>
        <v>1158510.2333333336</v>
      </c>
      <c r="AI76" s="365">
        <f t="shared" si="25"/>
        <v>1158510.2333333336</v>
      </c>
      <c r="AJ76" s="365">
        <f t="shared" si="25"/>
        <v>1158510.2333333336</v>
      </c>
      <c r="AK76" s="365">
        <f t="shared" si="25"/>
        <v>1158510.2333333336</v>
      </c>
      <c r="AL76" s="365">
        <f t="shared" si="25"/>
        <v>1158510.2333333336</v>
      </c>
      <c r="AM76" s="365">
        <f t="shared" si="25"/>
        <v>1158510.2333333336</v>
      </c>
      <c r="AN76" s="365">
        <f t="shared" si="25"/>
        <v>1158510.2333333336</v>
      </c>
      <c r="AO76" s="365">
        <f t="shared" si="25"/>
        <v>1158510.2333333336</v>
      </c>
      <c r="AP76" s="365">
        <f>-AP67</f>
        <v>1158510.2333333336</v>
      </c>
    </row>
    <row r="77" spans="1:45" x14ac:dyDescent="0.2">
      <c r="A77" s="123" t="s">
        <v>221</v>
      </c>
      <c r="B77" s="365">
        <f t="shared" ref="B77:AO77" si="26">B69</f>
        <v>0</v>
      </c>
      <c r="C77" s="365">
        <f t="shared" si="26"/>
        <v>0</v>
      </c>
      <c r="D77" s="365">
        <f t="shared" si="26"/>
        <v>0</v>
      </c>
      <c r="E77" s="365">
        <f t="shared" si="26"/>
        <v>0</v>
      </c>
      <c r="F77" s="365">
        <f t="shared" si="26"/>
        <v>0</v>
      </c>
      <c r="G77" s="365">
        <f t="shared" si="26"/>
        <v>0</v>
      </c>
      <c r="H77" s="365">
        <f t="shared" si="26"/>
        <v>0</v>
      </c>
      <c r="I77" s="365">
        <f t="shared" si="26"/>
        <v>0</v>
      </c>
      <c r="J77" s="365">
        <f t="shared" si="26"/>
        <v>0</v>
      </c>
      <c r="K77" s="365">
        <f t="shared" si="26"/>
        <v>0</v>
      </c>
      <c r="L77" s="365">
        <f t="shared" si="26"/>
        <v>0</v>
      </c>
      <c r="M77" s="365">
        <f t="shared" si="26"/>
        <v>0</v>
      </c>
      <c r="N77" s="365">
        <f t="shared" si="26"/>
        <v>0</v>
      </c>
      <c r="O77" s="365">
        <f t="shared" si="26"/>
        <v>0</v>
      </c>
      <c r="P77" s="365">
        <f t="shared" si="26"/>
        <v>0</v>
      </c>
      <c r="Q77" s="365">
        <f t="shared" si="26"/>
        <v>0</v>
      </c>
      <c r="R77" s="365">
        <f t="shared" si="26"/>
        <v>0</v>
      </c>
      <c r="S77" s="365">
        <f t="shared" si="26"/>
        <v>0</v>
      </c>
      <c r="T77" s="365">
        <f t="shared" si="26"/>
        <v>0</v>
      </c>
      <c r="U77" s="365">
        <f t="shared" si="26"/>
        <v>0</v>
      </c>
      <c r="V77" s="365">
        <f t="shared" si="26"/>
        <v>0</v>
      </c>
      <c r="W77" s="365">
        <f t="shared" si="26"/>
        <v>0</v>
      </c>
      <c r="X77" s="365">
        <f t="shared" si="26"/>
        <v>0</v>
      </c>
      <c r="Y77" s="365">
        <f t="shared" si="26"/>
        <v>0</v>
      </c>
      <c r="Z77" s="365">
        <f t="shared" si="26"/>
        <v>0</v>
      </c>
      <c r="AA77" s="365">
        <f t="shared" si="26"/>
        <v>0</v>
      </c>
      <c r="AB77" s="365">
        <f t="shared" si="26"/>
        <v>0</v>
      </c>
      <c r="AC77" s="365">
        <f t="shared" si="26"/>
        <v>0</v>
      </c>
      <c r="AD77" s="365">
        <f t="shared" si="26"/>
        <v>0</v>
      </c>
      <c r="AE77" s="365">
        <f t="shared" si="26"/>
        <v>0</v>
      </c>
      <c r="AF77" s="365">
        <f t="shared" si="26"/>
        <v>0</v>
      </c>
      <c r="AG77" s="365">
        <f t="shared" si="26"/>
        <v>0</v>
      </c>
      <c r="AH77" s="365">
        <f t="shared" si="26"/>
        <v>0</v>
      </c>
      <c r="AI77" s="365">
        <f t="shared" si="26"/>
        <v>0</v>
      </c>
      <c r="AJ77" s="365">
        <f t="shared" si="26"/>
        <v>0</v>
      </c>
      <c r="AK77" s="365">
        <f t="shared" si="26"/>
        <v>0</v>
      </c>
      <c r="AL77" s="365">
        <f t="shared" si="26"/>
        <v>0</v>
      </c>
      <c r="AM77" s="365">
        <f t="shared" si="26"/>
        <v>0</v>
      </c>
      <c r="AN77" s="365">
        <f t="shared" si="26"/>
        <v>0</v>
      </c>
      <c r="AO77" s="365">
        <f t="shared" si="26"/>
        <v>0</v>
      </c>
      <c r="AP77" s="365">
        <f>AP69</f>
        <v>0</v>
      </c>
    </row>
    <row r="78" spans="1:45" x14ac:dyDescent="0.2">
      <c r="A78" s="123" t="s">
        <v>220</v>
      </c>
      <c r="B78" s="365">
        <f>IF(SUM($B$71:B71)+SUM($A$78:A78)&gt;0,0,SUM($B$71:B71)-SUM($A$78:A78))</f>
        <v>-7068875.9900000021</v>
      </c>
      <c r="C78" s="365">
        <f>IF(SUM($B$71:C71)+SUM($A$78:B78)&gt;0,0,SUM($B$71:C71)-SUM($A$78:B78))</f>
        <v>-74122.091153818183</v>
      </c>
      <c r="D78" s="365">
        <f>IF(SUM($B$71:D71)+SUM($A$78:C78)&gt;0,0,SUM($B$71:D71)-SUM($A$78:C78))</f>
        <v>-500460.08321031183</v>
      </c>
      <c r="E78" s="365">
        <f>IF(SUM($B$71:E71)+SUM($A$78:D78)&gt;0,0,SUM($B$71:E71)-SUM($A$78:D78))</f>
        <v>-975127.35949180927</v>
      </c>
      <c r="F78" s="365">
        <f>IF(SUM($B$71:F71)+SUM($A$78:E78)&gt;0,0,SUM($B$71:F71)-SUM($A$78:E78))</f>
        <v>-1025814.1945504639</v>
      </c>
      <c r="G78" s="365">
        <f>IF(SUM($B$71:G71)+SUM($A$78:F78)&gt;0,0,SUM($B$71:G71)-SUM($A$78:F78))</f>
        <v>-1078629.8766815849</v>
      </c>
      <c r="H78" s="365">
        <f>IF(SUM($B$71:H71)+SUM($A$78:G78)&gt;0,0,SUM($B$71:H71)-SUM($A$78:G78))</f>
        <v>-1133663.8174622115</v>
      </c>
      <c r="I78" s="365">
        <f>IF(SUM($B$71:I71)+SUM($A$78:H78)&gt;0,0,SUM($B$71:I71)-SUM($A$78:H78))</f>
        <v>-1191009.1837556232</v>
      </c>
      <c r="J78" s="365">
        <f>IF(SUM($B$71:J71)+SUM($A$78:I78)&gt;0,0,SUM($B$71:J71)-SUM($A$78:I78))</f>
        <v>-1250763.0554333609</v>
      </c>
      <c r="K78" s="365">
        <f>IF(SUM($B$71:K71)+SUM($A$78:J78)&gt;0,0,SUM($B$71:K71)-SUM($A$78:J78))</f>
        <v>-1313026.5897215623</v>
      </c>
      <c r="L78" s="365">
        <f>IF(SUM($B$71:L71)+SUM($A$78:K78)&gt;0,0,SUM($B$71:L71)-SUM($A$78:K78))</f>
        <v>-1377905.1924498677</v>
      </c>
      <c r="M78" s="365">
        <f>IF(SUM($B$71:M71)+SUM($A$78:L78)&gt;0,0,SUM($B$71:M71)-SUM($A$78:L78))</f>
        <v>-1445508.6964927614</v>
      </c>
      <c r="N78" s="365">
        <f>IF(SUM($B$71:N71)+SUM($A$78:M78)&gt;0,0,SUM($B$71:N71)-SUM($A$78:M78))</f>
        <v>-1515951.5477054566</v>
      </c>
      <c r="O78" s="365">
        <f>IF(SUM($B$71:O71)+SUM($A$78:N78)&gt;0,0,SUM($B$71:O71)-SUM($A$78:N78))</f>
        <v>-1589352.9986690879</v>
      </c>
      <c r="P78" s="365">
        <f>IF(SUM($B$71:P71)+SUM($A$78:O78)&gt;0,0,SUM($B$71:P71)-SUM($A$78:O78))</f>
        <v>-1665837.3105731905</v>
      </c>
      <c r="Q78" s="365">
        <f>IF(SUM($B$71:Q71)+SUM($A$78:P78)&gt;0,0,SUM($B$71:Q71)-SUM($A$78:P78))</f>
        <v>-1745533.9635772631</v>
      </c>
      <c r="R78" s="365">
        <f>IF(SUM($B$71:R71)+SUM($A$78:Q78)&gt;0,0,SUM($B$71:R71)-SUM($A$78:Q78))</f>
        <v>-1828577.8760075085</v>
      </c>
      <c r="S78" s="365">
        <f>IF(SUM($B$71:S71)+SUM($A$78:R78)&gt;0,0,SUM($B$71:S71)-SUM($A$78:R78))</f>
        <v>-1915109.6327598207</v>
      </c>
      <c r="T78" s="365">
        <f>IF(SUM($B$71:T71)+SUM($A$78:S78)&gt;0,0,SUM($B$71:T71)-SUM($A$78:S78))</f>
        <v>-2005275.7232957371</v>
      </c>
      <c r="U78" s="365">
        <f>IF(SUM($B$71:U71)+SUM($A$78:T78)&gt;0,0,SUM($B$71:U71)-SUM($A$78:T78))</f>
        <v>-2099228.789634157</v>
      </c>
      <c r="V78" s="365">
        <f>IF(SUM($B$71:V71)+SUM($A$78:U78)&gt;0,0,SUM($B$71:V71)-SUM($A$78:U78))</f>
        <v>-2197127.8847587928</v>
      </c>
      <c r="W78" s="365">
        <f>IF(SUM($B$71:W71)+SUM($A$78:V78)&gt;0,0,SUM($B$71:W71)-SUM($A$78:V78))</f>
        <v>-2299138.7418786585</v>
      </c>
      <c r="X78" s="365">
        <f>IF(SUM($B$71:X71)+SUM($A$78:W78)&gt;0,0,SUM($B$71:X71)-SUM($A$78:W78))</f>
        <v>-2405434.0549975634</v>
      </c>
      <c r="Y78" s="365">
        <f>IF(SUM($B$71:Y71)+SUM($A$78:X78)&gt;0,0,SUM($B$71:Y71)-SUM($A$78:X78))</f>
        <v>-2516193.7712674588</v>
      </c>
      <c r="Z78" s="365">
        <f>IF(SUM($B$71:Z71)+SUM($A$78:Y78)&gt;0,0,SUM($B$71:Z71)-SUM($A$78:Y78))</f>
        <v>-2631605.3956206962</v>
      </c>
      <c r="AA78" s="365">
        <f>IF(SUM($B$71:AA71)+SUM($A$78:Z78)&gt;0,0,SUM($B$71:AA71)-SUM($A$78:Z78))</f>
        <v>-2751864.3081967682</v>
      </c>
      <c r="AB78" s="365">
        <f>IF(SUM($B$71:AB71)+SUM($A$78:AA78)&gt;0,0,SUM($B$71:AB71)-SUM($A$78:AA78))</f>
        <v>-2877174.0951010287</v>
      </c>
      <c r="AC78" s="365">
        <f>IF(SUM($B$71:AC71)+SUM($A$78:AB78)&gt;0,0,SUM($B$71:AC71)-SUM($A$78:AB78))</f>
        <v>-3007746.8930552751</v>
      </c>
      <c r="AD78" s="365">
        <f>IF(SUM($B$71:AD71)+SUM($A$78:AC78)&gt;0,0,SUM($B$71:AD71)-SUM($A$78:AC78))</f>
        <v>-3143803.7485235929</v>
      </c>
      <c r="AE78" s="365">
        <f>IF(SUM($B$71:AE71)+SUM($A$78:AD78)&gt;0,0,SUM($B$71:AE71)-SUM($A$78:AD78))</f>
        <v>-3285574.9919215888</v>
      </c>
      <c r="AF78" s="365">
        <f>IF(SUM($B$71:AF71)+SUM($A$78:AE78)&gt;0,0,SUM($B$71:AF71)-SUM($A$78:AE78))</f>
        <v>-3433300.6275422946</v>
      </c>
      <c r="AG78" s="365">
        <f>IF(SUM($B$71:AG71)+SUM($A$78:AF78)&gt;0,0,SUM($B$71:AG71)-SUM($A$78:AF78))</f>
        <v>-3587230.7398590669</v>
      </c>
      <c r="AH78" s="365">
        <f>IF(SUM($B$71:AH71)+SUM($A$78:AG78)&gt;0,0,SUM($B$71:AH71)-SUM($A$78:AG78))</f>
        <v>-3747625.9168931544</v>
      </c>
      <c r="AI78" s="365">
        <f>IF(SUM($B$71:AI71)+SUM($A$78:AH78)&gt;0,0,SUM($B$71:AI71)-SUM($A$78:AH78))</f>
        <v>-3914757.6913626641</v>
      </c>
      <c r="AJ78" s="365">
        <f>IF(SUM($B$71:AJ71)+SUM($A$78:AI78)&gt;0,0,SUM($B$71:AJ71)-SUM($A$78:AI78))</f>
        <v>-4088909.0003598928</v>
      </c>
      <c r="AK78" s="365">
        <f>IF(SUM($B$71:AK71)+SUM($A$78:AJ78)&gt;0,0,SUM($B$71:AK71)-SUM($A$78:AJ78))</f>
        <v>-4270374.6643350124</v>
      </c>
      <c r="AL78" s="365">
        <f>IF(SUM($B$71:AL71)+SUM($A$78:AK78)&gt;0,0,SUM($B$71:AL71)-SUM($A$78:AK78))</f>
        <v>-4459461.8861970752</v>
      </c>
      <c r="AM78" s="365">
        <f>IF(SUM($B$71:AM71)+SUM($A$78:AL78)&gt;0,0,SUM($B$71:AM71)-SUM($A$78:AL78))</f>
        <v>-4656490.7713773549</v>
      </c>
      <c r="AN78" s="365">
        <f>IF(SUM($B$71:AN71)+SUM($A$78:AM78)&gt;0,0,SUM($B$71:AN71)-SUM($A$78:AM78))</f>
        <v>-4861794.8697352111</v>
      </c>
      <c r="AO78" s="365">
        <f>IF(SUM($B$71:AO71)+SUM($A$78:AN78)&gt;0,0,SUM($B$71:AO71)-SUM($A$78:AN78))</f>
        <v>-5075721.7402240932</v>
      </c>
      <c r="AP78" s="365">
        <f>IF(SUM($B$71:AP71)+SUM($A$78:AO78)&gt;0,0,SUM($B$71:AP71)-SUM($A$78:AO78))</f>
        <v>-5298633.5392735004</v>
      </c>
    </row>
    <row r="79" spans="1:45" x14ac:dyDescent="0.2">
      <c r="A79" s="123" t="s">
        <v>219</v>
      </c>
      <c r="B79" s="365">
        <f>IF(((SUM($B$59:B59)+SUM($B$61:B64))+SUM($B$81:B81))&lt;0,((SUM($B$59:B59)+SUM($B$61:B64))+SUM($B$81:B81))*0.18-SUM($A$79:A79),IF(SUM(A$79:$B79)&lt;0,0-SUM(A$79:$B79),0))</f>
        <v>-8.9999994635581969E-3</v>
      </c>
      <c r="C79" s="365">
        <f>IF(((SUM($B$59:C59)+SUM($B$61:C64))+SUM($B$81:C81))&lt;0,((SUM($B$59:C59)+SUM($B$61:C64))+SUM($B$81:C81))*0.18-SUM($A$79:B79),IF(SUM($B$79:B79)&lt;0,0-SUM($B$79:B79),0))</f>
        <v>8.9999994635581969E-3</v>
      </c>
      <c r="D79" s="365">
        <f>IF(((SUM($B$59:D59)+SUM($B$61:D64))+SUM($B$81:D81))&lt;0,((SUM($B$59:D59)+SUM($B$61:D64))+SUM($B$81:D81))*0.18-SUM($A$79:C79),IF(SUM($B$79:C79)&lt;0,0-SUM($B$79:C79),0))</f>
        <v>0</v>
      </c>
      <c r="E79" s="365">
        <f>IF(((SUM($B$59:E59)+SUM($B$61:E64))+SUM($B$81:E81))&lt;0,((SUM($B$59:E59)+SUM($B$61:E64))+SUM($B$81:E81))*0.18-SUM($A$79:D79),IF(SUM($B$79:D79)&lt;0,0-SUM($B$79:D79),0))</f>
        <v>0</v>
      </c>
      <c r="F79" s="365">
        <f>IF(((SUM($B$59:F59)+SUM($B$61:F64))+SUM($B$81:F81))&lt;0,((SUM($B$59:F59)+SUM($B$61:F64))+SUM($B$81:F81))*0.18-SUM($A$79:E79),IF(SUM($B$79:E79)&lt;0,0-SUM($B$79:E79),0))</f>
        <v>0</v>
      </c>
      <c r="G79" s="365">
        <f>IF(((SUM($B$59:G59)+SUM($B$61:G64))+SUM($B$81:G81))&lt;0,((SUM($B$59:G59)+SUM($B$61:G64))+SUM($B$81:G81))*0.18-SUM($A$79:F79),IF(SUM($B$79:F79)&lt;0,0-SUM($B$79:F79),0))</f>
        <v>0</v>
      </c>
      <c r="H79" s="365">
        <f>IF(((SUM($B$59:H59)+SUM($B$61:H64))+SUM($B$81:H81))&lt;0,((SUM($B$59:H59)+SUM($B$61:H64))+SUM($B$81:H81))*0.18-SUM($A$79:G79),IF(SUM($B$79:G79)&lt;0,0-SUM($B$79:G79),0))</f>
        <v>0</v>
      </c>
      <c r="I79" s="365">
        <f>IF(((SUM($B$59:I59)+SUM($B$61:I64))+SUM($B$81:I81))&lt;0,((SUM($B$59:I59)+SUM($B$61:I64))+SUM($B$81:I81))*0.18-SUM($A$79:H79),IF(SUM($B$79:H79)&lt;0,0-SUM($B$79:H79),0))</f>
        <v>0</v>
      </c>
      <c r="J79" s="365">
        <f>IF(((SUM($B$59:J59)+SUM($B$61:J64))+SUM($B$81:J81))&lt;0,((SUM($B$59:J59)+SUM($B$61:J64))+SUM($B$81:J81))*0.18-SUM($A$79:I79),IF(SUM($B$79:I79)&lt;0,0-SUM($B$79:I79),0))</f>
        <v>0</v>
      </c>
      <c r="K79" s="365">
        <f>IF(((SUM($B$59:K59)+SUM($B$61:K64))+SUM($B$81:K81))&lt;0,((SUM($B$59:K59)+SUM($B$61:K64))+SUM($B$81:K81))*0.18-SUM($A$79:J79),IF(SUM($B$79:J79)&lt;0,0-SUM($B$79:J79),0))</f>
        <v>0</v>
      </c>
      <c r="L79" s="365">
        <f>IF(((SUM($B$59:L59)+SUM($B$61:L64))+SUM($B$81:L81))&lt;0,((SUM($B$59:L59)+SUM($B$61:L64))+SUM($B$81:L81))*0.18-SUM($A$79:K79),IF(SUM($B$79:K79)&lt;0,0-SUM($B$79:K79),0))</f>
        <v>0</v>
      </c>
      <c r="M79" s="365">
        <f>IF(((SUM($B$59:M59)+SUM($B$61:M64))+SUM($B$81:M81))&lt;0,((SUM($B$59:M59)+SUM($B$61:M64))+SUM($B$81:M81))*0.18-SUM($A$79:L79),IF(SUM($B$79:L79)&lt;0,0-SUM($B$79:L79),0))</f>
        <v>0</v>
      </c>
      <c r="N79" s="365">
        <f>IF(((SUM($B$59:N59)+SUM($B$61:N64))+SUM($B$81:N81))&lt;0,((SUM($B$59:N59)+SUM($B$61:N64))+SUM($B$81:N81))*0.18-SUM($A$79:M79),IF(SUM($B$79:M79)&lt;0,0-SUM($B$79:M79),0))</f>
        <v>0</v>
      </c>
      <c r="O79" s="365">
        <f>IF(((SUM($B$59:O59)+SUM($B$61:O64))+SUM($B$81:O81))&lt;0,((SUM($B$59:O59)+SUM($B$61:O64))+SUM($B$81:O81))*0.18-SUM($A$79:N79),IF(SUM($B$79:N79)&lt;0,0-SUM($B$79:N79),0))</f>
        <v>0</v>
      </c>
      <c r="P79" s="365">
        <f>IF(((SUM($B$59:P59)+SUM($B$61:P64))+SUM($B$81:P81))&lt;0,((SUM($B$59:P59)+SUM($B$61:P64))+SUM($B$81:P81))*0.18-SUM($A$79:O79),IF(SUM($B$79:O79)&lt;0,0-SUM($B$79:O79),0))</f>
        <v>0</v>
      </c>
      <c r="Q79" s="365">
        <f>IF(((SUM($B$59:Q59)+SUM($B$61:Q64))+SUM($B$81:Q81))&lt;0,((SUM($B$59:Q59)+SUM($B$61:Q64))+SUM($B$81:Q81))*0.18-SUM($A$79:P79),IF(SUM($B$79:P79)&lt;0,0-SUM($B$79:P79),0))</f>
        <v>0</v>
      </c>
      <c r="R79" s="365">
        <f>IF(((SUM($B$59:R59)+SUM($B$61:R64))+SUM($B$81:R81))&lt;0,((SUM($B$59:R59)+SUM($B$61:R64))+SUM($B$81:R81))*0.18-SUM($A$79:Q79),IF(SUM($B$79:Q79)&lt;0,0-SUM($B$79:Q79),0))</f>
        <v>0</v>
      </c>
      <c r="S79" s="365">
        <f>IF(((SUM($B$59:S59)+SUM($B$61:S64))+SUM($B$81:S81))&lt;0,((SUM($B$59:S59)+SUM($B$61:S64))+SUM($B$81:S81))*0.18-SUM($A$79:R79),IF(SUM($B$79:R79)&lt;0,0-SUM($B$79:R79),0))</f>
        <v>0</v>
      </c>
      <c r="T79" s="365">
        <f>IF(((SUM($B$59:T59)+SUM($B$61:T64))+SUM($B$81:T81))&lt;0,((SUM($B$59:T59)+SUM($B$61:T64))+SUM($B$81:T81))*0.18-SUM($A$79:S79),IF(SUM($B$79:S79)&lt;0,0-SUM($B$79:S79),0))</f>
        <v>0</v>
      </c>
      <c r="U79" s="365">
        <f>IF(((SUM($B$59:U59)+SUM($B$61:U64))+SUM($B$81:U81))&lt;0,((SUM($B$59:U59)+SUM($B$61:U64))+SUM($B$81:U81))*0.18-SUM($A$79:T79),IF(SUM($B$79:T79)&lt;0,0-SUM($B$79:T79),0))</f>
        <v>0</v>
      </c>
      <c r="V79" s="365">
        <f>IF(((SUM($B$59:V59)+SUM($B$61:V64))+SUM($B$81:V81))&lt;0,((SUM($B$59:V59)+SUM($B$61:V64))+SUM($B$81:V81))*0.18-SUM($A$79:U79),IF(SUM($B$79:U79)&lt;0,0-SUM($B$79:U79),0))</f>
        <v>0</v>
      </c>
      <c r="W79" s="365">
        <f>IF(((SUM($B$59:W59)+SUM($B$61:W64))+SUM($B$81:W81))&lt;0,((SUM($B$59:W59)+SUM($B$61:W64))+SUM($B$81:W81))*0.18-SUM($A$79:V79),IF(SUM($B$79:V79)&lt;0,0-SUM($B$79:V79),0))</f>
        <v>0</v>
      </c>
      <c r="X79" s="365">
        <f>IF(((SUM($B$59:X59)+SUM($B$61:X64))+SUM($B$81:X81))&lt;0,((SUM($B$59:X59)+SUM($B$61:X64))+SUM($B$81:X81))*0.18-SUM($A$79:W79),IF(SUM($B$79:W79)&lt;0,0-SUM($B$79:W79),0))</f>
        <v>0</v>
      </c>
      <c r="Y79" s="365">
        <f>IF(((SUM($B$59:Y59)+SUM($B$61:Y64))+SUM($B$81:Y81))&lt;0,((SUM($B$59:Y59)+SUM($B$61:Y64))+SUM($B$81:Y81))*0.18-SUM($A$79:X79),IF(SUM($B$79:X79)&lt;0,0-SUM($B$79:X79),0))</f>
        <v>0</v>
      </c>
      <c r="Z79" s="365">
        <f>IF(((SUM($B$59:Z59)+SUM($B$61:Z64))+SUM($B$81:Z81))&lt;0,((SUM($B$59:Z59)+SUM($B$61:Z64))+SUM($B$81:Z81))*0.18-SUM($A$79:Y79),IF(SUM($B$79:Y79)&lt;0,0-SUM($B$79:Y79),0))</f>
        <v>0</v>
      </c>
      <c r="AA79" s="365">
        <f>IF(((SUM($B$59:AA59)+SUM($B$61:AA64))+SUM($B$81:AA81))&lt;0,((SUM($B$59:AA59)+SUM($B$61:AA64))+SUM($B$81:AA81))*0.18-SUM($A$79:Z79),IF(SUM($B$79:Z79)&lt;0,0-SUM($B$79:Z79),0))</f>
        <v>0</v>
      </c>
      <c r="AB79" s="365">
        <f>IF(((SUM($B$59:AB59)+SUM($B$61:AB64))+SUM($B$81:AB81))&lt;0,((SUM($B$59:AB59)+SUM($B$61:AB64))+SUM($B$81:AB81))*0.18-SUM($A$79:AA79),IF(SUM($B$79:AA79)&lt;0,0-SUM($B$79:AA79),0))</f>
        <v>0</v>
      </c>
      <c r="AC79" s="365">
        <f>IF(((SUM($B$59:AC59)+SUM($B$61:AC64))+SUM($B$81:AC81))&lt;0,((SUM($B$59:AC59)+SUM($B$61:AC64))+SUM($B$81:AC81))*0.18-SUM($A$79:AB79),IF(SUM($B$79:AB79)&lt;0,0-SUM($B$79:AB79),0))</f>
        <v>0</v>
      </c>
      <c r="AD79" s="365">
        <f>IF(((SUM($B$59:AD59)+SUM($B$61:AD64))+SUM($B$81:AD81))&lt;0,((SUM($B$59:AD59)+SUM($B$61:AD64))+SUM($B$81:AD81))*0.18-SUM($A$79:AC79),IF(SUM($B$79:AC79)&lt;0,0-SUM($B$79:AC79),0))</f>
        <v>0</v>
      </c>
      <c r="AE79" s="365">
        <f>IF(((SUM($B$59:AE59)+SUM($B$61:AE64))+SUM($B$81:AE81))&lt;0,((SUM($B$59:AE59)+SUM($B$61:AE64))+SUM($B$81:AE81))*0.18-SUM($A$79:AD79),IF(SUM($B$79:AD79)&lt;0,0-SUM($B$79:AD79),0))</f>
        <v>0</v>
      </c>
      <c r="AF79" s="365">
        <f>IF(((SUM($B$59:AF59)+SUM($B$61:AF64))+SUM($B$81:AF81))&lt;0,((SUM($B$59:AF59)+SUM($B$61:AF64))+SUM($B$81:AF81))*0.18-SUM($A$79:AE79),IF(SUM($B$79:AE79)&lt;0,0-SUM($B$79:AE79),0))</f>
        <v>0</v>
      </c>
      <c r="AG79" s="365">
        <f>IF(((SUM($B$59:AG59)+SUM($B$61:AG64))+SUM($B$81:AG81))&lt;0,((SUM($B$59:AG59)+SUM($B$61:AG64))+SUM($B$81:AG81))*0.18-SUM($A$79:AF79),IF(SUM($B$79:AF79)&lt;0,0-SUM($B$79:AF79),0))</f>
        <v>0</v>
      </c>
      <c r="AH79" s="365">
        <f>IF(((SUM($B$59:AH59)+SUM($B$61:AH64))+SUM($B$81:AH81))&lt;0,((SUM($B$59:AH59)+SUM($B$61:AH64))+SUM($B$81:AH81))*0.18-SUM($A$79:AG79),IF(SUM($B$79:AG79)&lt;0,0-SUM($B$79:AG79),0))</f>
        <v>0</v>
      </c>
      <c r="AI79" s="365">
        <f>IF(((SUM($B$59:AI59)+SUM($B$61:AI64))+SUM($B$81:AI81))&lt;0,((SUM($B$59:AI59)+SUM($B$61:AI64))+SUM($B$81:AI81))*0.18-SUM($A$79:AH79),IF(SUM($B$79:AH79)&lt;0,0-SUM($B$79:AH79),0))</f>
        <v>0</v>
      </c>
      <c r="AJ79" s="365">
        <f>IF(((SUM($B$59:AJ59)+SUM($B$61:AJ64))+SUM($B$81:AJ81))&lt;0,((SUM($B$59:AJ59)+SUM($B$61:AJ64))+SUM($B$81:AJ81))*0.18-SUM($A$79:AI79),IF(SUM($B$79:AI79)&lt;0,0-SUM($B$79:AI79),0))</f>
        <v>0</v>
      </c>
      <c r="AK79" s="365">
        <f>IF(((SUM($B$59:AK59)+SUM($B$61:AK64))+SUM($B$81:AK81))&lt;0,((SUM($B$59:AK59)+SUM($B$61:AK64))+SUM($B$81:AK81))*0.18-SUM($A$79:AJ79),IF(SUM($B$79:AJ79)&lt;0,0-SUM($B$79:AJ79),0))</f>
        <v>0</v>
      </c>
      <c r="AL79" s="365">
        <f>IF(((SUM($B$59:AL59)+SUM($B$61:AL64))+SUM($B$81:AL81))&lt;0,((SUM($B$59:AL59)+SUM($B$61:AL64))+SUM($B$81:AL81))*0.18-SUM($A$79:AK79),IF(SUM($B$79:AK79)&lt;0,0-SUM($B$79:AK79),0))</f>
        <v>0</v>
      </c>
      <c r="AM79" s="365">
        <f>IF(((SUM($B$59:AM59)+SUM($B$61:AM64))+SUM($B$81:AM81))&lt;0,((SUM($B$59:AM59)+SUM($B$61:AM64))+SUM($B$81:AM81))*0.18-SUM($A$79:AL79),IF(SUM($B$79:AL79)&lt;0,0-SUM($B$79:AL79),0))</f>
        <v>0</v>
      </c>
      <c r="AN79" s="365">
        <f>IF(((SUM($B$59:AN59)+SUM($B$61:AN64))+SUM($B$81:AN81))&lt;0,((SUM($B$59:AN59)+SUM($B$61:AN64))+SUM($B$81:AN81))*0.18-SUM($A$79:AM79),IF(SUM($B$79:AM79)&lt;0,0-SUM($B$79:AM79),0))</f>
        <v>0</v>
      </c>
      <c r="AO79" s="365">
        <f>IF(((SUM($B$59:AO59)+SUM($B$61:AO64))+SUM($B$81:AO81))&lt;0,((SUM($B$59:AO59)+SUM($B$61:AO64))+SUM($B$81:AO81))*0.18-SUM($A$79:AN79),IF(SUM($B$79:AN79)&lt;0,0-SUM($B$79:AN79),0))</f>
        <v>0</v>
      </c>
      <c r="AP79" s="365">
        <f>IF(((SUM($B$59:AP59)+SUM($B$61:AP64))+SUM($B$81:AP81))&lt;0,((SUM($B$59:AP59)+SUM($B$61:AP64))+SUM($B$81:AP81))*0.18-SUM($A$79:AO79),IF(SUM($B$79:AO79)&lt;0,0-SUM($B$79:AO79),0))</f>
        <v>0</v>
      </c>
    </row>
    <row r="80" spans="1:45" x14ac:dyDescent="0.2">
      <c r="A80" s="123" t="s">
        <v>218</v>
      </c>
      <c r="B80" s="365">
        <f>-B59*(B39)</f>
        <v>0</v>
      </c>
      <c r="C80" s="365">
        <f t="shared" ref="C80:AP80" si="27">-(C59-B59)*$B$39</f>
        <v>0</v>
      </c>
      <c r="D80" s="365">
        <f t="shared" si="27"/>
        <v>0</v>
      </c>
      <c r="E80" s="365">
        <f t="shared" si="27"/>
        <v>0</v>
      </c>
      <c r="F80" s="365">
        <f t="shared" si="27"/>
        <v>0</v>
      </c>
      <c r="G80" s="365">
        <f t="shared" si="27"/>
        <v>0</v>
      </c>
      <c r="H80" s="365">
        <f t="shared" si="27"/>
        <v>0</v>
      </c>
      <c r="I80" s="365">
        <f t="shared" si="27"/>
        <v>0</v>
      </c>
      <c r="J80" s="365">
        <f t="shared" si="27"/>
        <v>0</v>
      </c>
      <c r="K80" s="365">
        <f t="shared" si="27"/>
        <v>0</v>
      </c>
      <c r="L80" s="365">
        <f t="shared" si="27"/>
        <v>0</v>
      </c>
      <c r="M80" s="365">
        <f t="shared" si="27"/>
        <v>0</v>
      </c>
      <c r="N80" s="365">
        <f t="shared" si="27"/>
        <v>0</v>
      </c>
      <c r="O80" s="365">
        <f t="shared" si="27"/>
        <v>0</v>
      </c>
      <c r="P80" s="365">
        <f t="shared" si="27"/>
        <v>0</v>
      </c>
      <c r="Q80" s="365">
        <f t="shared" si="27"/>
        <v>0</v>
      </c>
      <c r="R80" s="365">
        <f t="shared" si="27"/>
        <v>0</v>
      </c>
      <c r="S80" s="365">
        <f t="shared" si="27"/>
        <v>0</v>
      </c>
      <c r="T80" s="365">
        <f t="shared" si="27"/>
        <v>0</v>
      </c>
      <c r="U80" s="365">
        <f t="shared" si="27"/>
        <v>0</v>
      </c>
      <c r="V80" s="365">
        <f t="shared" si="27"/>
        <v>0</v>
      </c>
      <c r="W80" s="365">
        <f t="shared" si="27"/>
        <v>0</v>
      </c>
      <c r="X80" s="365">
        <f t="shared" si="27"/>
        <v>0</v>
      </c>
      <c r="Y80" s="365">
        <f t="shared" si="27"/>
        <v>0</v>
      </c>
      <c r="Z80" s="365">
        <f t="shared" si="27"/>
        <v>0</v>
      </c>
      <c r="AA80" s="365">
        <f t="shared" si="27"/>
        <v>0</v>
      </c>
      <c r="AB80" s="365">
        <f t="shared" si="27"/>
        <v>0</v>
      </c>
      <c r="AC80" s="365">
        <f t="shared" si="27"/>
        <v>0</v>
      </c>
      <c r="AD80" s="365">
        <f t="shared" si="27"/>
        <v>0</v>
      </c>
      <c r="AE80" s="365">
        <f t="shared" si="27"/>
        <v>0</v>
      </c>
      <c r="AF80" s="365">
        <f t="shared" si="27"/>
        <v>0</v>
      </c>
      <c r="AG80" s="365">
        <f t="shared" si="27"/>
        <v>0</v>
      </c>
      <c r="AH80" s="365">
        <f t="shared" si="27"/>
        <v>0</v>
      </c>
      <c r="AI80" s="365">
        <f t="shared" si="27"/>
        <v>0</v>
      </c>
      <c r="AJ80" s="365">
        <f t="shared" si="27"/>
        <v>0</v>
      </c>
      <c r="AK80" s="365">
        <f t="shared" si="27"/>
        <v>0</v>
      </c>
      <c r="AL80" s="365">
        <f t="shared" si="27"/>
        <v>0</v>
      </c>
      <c r="AM80" s="365">
        <f t="shared" si="27"/>
        <v>0</v>
      </c>
      <c r="AN80" s="365">
        <f t="shared" si="27"/>
        <v>0</v>
      </c>
      <c r="AO80" s="365">
        <f t="shared" si="27"/>
        <v>0</v>
      </c>
      <c r="AP80" s="365">
        <f t="shared" si="27"/>
        <v>0</v>
      </c>
    </row>
    <row r="81" spans="1:45" x14ac:dyDescent="0.2">
      <c r="A81" s="123" t="s">
        <v>396</v>
      </c>
      <c r="B81" s="365">
        <f>-$B$126</f>
        <v>-35344380.000000007</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303">
        <f>SUM(B81:AP81)</f>
        <v>-35344380.000000007</v>
      </c>
      <c r="AR81" s="304"/>
    </row>
    <row r="82" spans="1:45" x14ac:dyDescent="0.2">
      <c r="A82" s="123" t="s">
        <v>217</v>
      </c>
      <c r="B82" s="365">
        <f t="shared" ref="B82:AO82" si="28">B54-B55</f>
        <v>0</v>
      </c>
      <c r="C82" s="365">
        <f t="shared" si="28"/>
        <v>0</v>
      </c>
      <c r="D82" s="365">
        <f t="shared" si="28"/>
        <v>0</v>
      </c>
      <c r="E82" s="365">
        <f t="shared" si="28"/>
        <v>0</v>
      </c>
      <c r="F82" s="365">
        <f t="shared" si="28"/>
        <v>0</v>
      </c>
      <c r="G82" s="365">
        <f t="shared" si="28"/>
        <v>0</v>
      </c>
      <c r="H82" s="365">
        <f t="shared" si="28"/>
        <v>0</v>
      </c>
      <c r="I82" s="365">
        <f t="shared" si="28"/>
        <v>0</v>
      </c>
      <c r="J82" s="365">
        <f t="shared" si="28"/>
        <v>0</v>
      </c>
      <c r="K82" s="365">
        <f t="shared" si="28"/>
        <v>0</v>
      </c>
      <c r="L82" s="365">
        <f t="shared" si="28"/>
        <v>0</v>
      </c>
      <c r="M82" s="365">
        <f t="shared" si="28"/>
        <v>0</v>
      </c>
      <c r="N82" s="365">
        <f t="shared" si="28"/>
        <v>0</v>
      </c>
      <c r="O82" s="365">
        <f t="shared" si="28"/>
        <v>0</v>
      </c>
      <c r="P82" s="365">
        <f t="shared" si="28"/>
        <v>0</v>
      </c>
      <c r="Q82" s="365">
        <f t="shared" si="28"/>
        <v>0</v>
      </c>
      <c r="R82" s="365">
        <f t="shared" si="28"/>
        <v>0</v>
      </c>
      <c r="S82" s="365">
        <f t="shared" si="28"/>
        <v>0</v>
      </c>
      <c r="T82" s="365">
        <f t="shared" si="28"/>
        <v>0</v>
      </c>
      <c r="U82" s="365">
        <f t="shared" si="28"/>
        <v>0</v>
      </c>
      <c r="V82" s="365">
        <f t="shared" si="28"/>
        <v>0</v>
      </c>
      <c r="W82" s="365">
        <f t="shared" si="28"/>
        <v>0</v>
      </c>
      <c r="X82" s="365">
        <f t="shared" si="28"/>
        <v>0</v>
      </c>
      <c r="Y82" s="365">
        <f t="shared" si="28"/>
        <v>0</v>
      </c>
      <c r="Z82" s="365">
        <f t="shared" si="28"/>
        <v>0</v>
      </c>
      <c r="AA82" s="365">
        <f t="shared" si="28"/>
        <v>0</v>
      </c>
      <c r="AB82" s="365">
        <f t="shared" si="28"/>
        <v>0</v>
      </c>
      <c r="AC82" s="365">
        <f t="shared" si="28"/>
        <v>0</v>
      </c>
      <c r="AD82" s="365">
        <f t="shared" si="28"/>
        <v>0</v>
      </c>
      <c r="AE82" s="365">
        <f t="shared" si="28"/>
        <v>0</v>
      </c>
      <c r="AF82" s="365">
        <f t="shared" si="28"/>
        <v>0</v>
      </c>
      <c r="AG82" s="365">
        <f t="shared" si="28"/>
        <v>0</v>
      </c>
      <c r="AH82" s="365">
        <f t="shared" si="28"/>
        <v>0</v>
      </c>
      <c r="AI82" s="365">
        <f t="shared" si="28"/>
        <v>0</v>
      </c>
      <c r="AJ82" s="365">
        <f t="shared" si="28"/>
        <v>0</v>
      </c>
      <c r="AK82" s="365">
        <f t="shared" si="28"/>
        <v>0</v>
      </c>
      <c r="AL82" s="365">
        <f t="shared" si="28"/>
        <v>0</v>
      </c>
      <c r="AM82" s="365">
        <f t="shared" si="28"/>
        <v>0</v>
      </c>
      <c r="AN82" s="365">
        <f t="shared" si="28"/>
        <v>0</v>
      </c>
      <c r="AO82" s="365">
        <f t="shared" si="28"/>
        <v>0</v>
      </c>
      <c r="AP82" s="365">
        <f>AP54-AP55</f>
        <v>0</v>
      </c>
    </row>
    <row r="83" spans="1:45" ht="14.25" x14ac:dyDescent="0.2">
      <c r="A83" s="302" t="s">
        <v>216</v>
      </c>
      <c r="B83" s="366">
        <f>SUM(B75:B82)</f>
        <v>-7068876.0489999987</v>
      </c>
      <c r="C83" s="366">
        <f t="shared" ref="C83:V83" si="29">SUM(C75:C82)</f>
        <v>1454998.6069486064</v>
      </c>
      <c r="D83" s="366">
        <f t="shared" si="29"/>
        <v>3160350.5661745816</v>
      </c>
      <c r="E83" s="366">
        <f t="shared" si="29"/>
        <v>5059019.6713005668</v>
      </c>
      <c r="F83" s="366">
        <f t="shared" si="29"/>
        <v>5261767.0115351928</v>
      </c>
      <c r="G83" s="366">
        <f t="shared" si="29"/>
        <v>5473029.7400596701</v>
      </c>
      <c r="H83" s="366">
        <f t="shared" si="29"/>
        <v>5693165.5031821756</v>
      </c>
      <c r="I83" s="366">
        <f t="shared" si="29"/>
        <v>5922546.9683558298</v>
      </c>
      <c r="J83" s="366">
        <f t="shared" si="29"/>
        <v>6161562.455066774</v>
      </c>
      <c r="K83" s="366">
        <f t="shared" si="29"/>
        <v>6410616.5922195781</v>
      </c>
      <c r="L83" s="366">
        <f t="shared" si="29"/>
        <v>6670131.0031328006</v>
      </c>
      <c r="M83" s="366">
        <f t="shared" si="29"/>
        <v>6940545.0193043798</v>
      </c>
      <c r="N83" s="366">
        <f t="shared" si="29"/>
        <v>7222316.4241551626</v>
      </c>
      <c r="O83" s="366">
        <f t="shared" si="29"/>
        <v>7515922.2280096784</v>
      </c>
      <c r="P83" s="366">
        <f t="shared" si="29"/>
        <v>7821859.475626085</v>
      </c>
      <c r="Q83" s="366">
        <f t="shared" si="29"/>
        <v>8140646.0876423828</v>
      </c>
      <c r="R83" s="366">
        <f t="shared" si="29"/>
        <v>8472821.7373633608</v>
      </c>
      <c r="S83" s="366">
        <f t="shared" si="29"/>
        <v>8818948.7643726263</v>
      </c>
      <c r="T83" s="366">
        <f t="shared" si="29"/>
        <v>9179613.1265162751</v>
      </c>
      <c r="U83" s="366">
        <f t="shared" si="29"/>
        <v>9555425.3918699604</v>
      </c>
      <c r="V83" s="366">
        <f t="shared" si="29"/>
        <v>9947021.7723684963</v>
      </c>
      <c r="W83" s="366">
        <f>SUM(W75:W82)</f>
        <v>10355065.200847976</v>
      </c>
      <c r="X83" s="366">
        <f>SUM(X75:X82)</f>
        <v>10780246.453323592</v>
      </c>
      <c r="Y83" s="366">
        <f>SUM(Y75:Y82)</f>
        <v>11223285.318403184</v>
      </c>
      <c r="Z83" s="366">
        <f>SUM(Z75:Z82)</f>
        <v>11684931.815816116</v>
      </c>
      <c r="AA83" s="366">
        <f t="shared" ref="AA83:AP83" si="30">SUM(AA75:AA82)</f>
        <v>12165967.466120392</v>
      </c>
      <c r="AB83" s="366">
        <f t="shared" si="30"/>
        <v>12667206.613737453</v>
      </c>
      <c r="AC83" s="366">
        <f t="shared" si="30"/>
        <v>13189497.805554423</v>
      </c>
      <c r="AD83" s="366">
        <f t="shared" si="30"/>
        <v>13733725.227427714</v>
      </c>
      <c r="AE83" s="366">
        <f t="shared" si="30"/>
        <v>14300810.201019671</v>
      </c>
      <c r="AF83" s="366">
        <f t="shared" si="30"/>
        <v>14891712.743502501</v>
      </c>
      <c r="AG83" s="366">
        <f t="shared" si="30"/>
        <v>15507433.192769609</v>
      </c>
      <c r="AH83" s="366">
        <f t="shared" si="30"/>
        <v>16149013.900905926</v>
      </c>
      <c r="AI83" s="366">
        <f t="shared" si="30"/>
        <v>16817540.99878398</v>
      </c>
      <c r="AJ83" s="366">
        <f t="shared" si="30"/>
        <v>17514146.234772909</v>
      </c>
      <c r="AK83" s="366">
        <f t="shared" si="30"/>
        <v>18240008.890673369</v>
      </c>
      <c r="AL83" s="366">
        <f t="shared" si="30"/>
        <v>18996357.778121661</v>
      </c>
      <c r="AM83" s="366">
        <f t="shared" si="30"/>
        <v>19784473.318842769</v>
      </c>
      <c r="AN83" s="366">
        <f t="shared" si="30"/>
        <v>20605689.71227416</v>
      </c>
      <c r="AO83" s="366">
        <f t="shared" si="30"/>
        <v>21461397.194229674</v>
      </c>
      <c r="AP83" s="366">
        <f t="shared" si="30"/>
        <v>22353044.390427325</v>
      </c>
    </row>
    <row r="84" spans="1:45" ht="14.25" x14ac:dyDescent="0.2">
      <c r="A84" s="302" t="s">
        <v>552</v>
      </c>
      <c r="B84" s="366">
        <f>SUM($B$83:B83)</f>
        <v>-7068876.0489999987</v>
      </c>
      <c r="C84" s="366">
        <f>SUM($B$83:C83)</f>
        <v>-5613877.442051392</v>
      </c>
      <c r="D84" s="366">
        <f>SUM($B$83:D83)</f>
        <v>-2453526.8758768104</v>
      </c>
      <c r="E84" s="366">
        <f>SUM($B$83:E83)</f>
        <v>2605492.7954237564</v>
      </c>
      <c r="F84" s="366">
        <f>SUM($B$83:F83)</f>
        <v>7867259.8069589492</v>
      </c>
      <c r="G84" s="366">
        <f>SUM($B$83:G83)</f>
        <v>13340289.547018619</v>
      </c>
      <c r="H84" s="366">
        <f>SUM($B$83:H83)</f>
        <v>19033455.050200794</v>
      </c>
      <c r="I84" s="366">
        <f>SUM($B$83:I83)</f>
        <v>24956002.018556625</v>
      </c>
      <c r="J84" s="366">
        <f>SUM($B$83:J83)</f>
        <v>31117564.473623399</v>
      </c>
      <c r="K84" s="366">
        <f>SUM($B$83:K83)</f>
        <v>37528181.065842979</v>
      </c>
      <c r="L84" s="366">
        <f>SUM($B$83:L83)</f>
        <v>44198312.068975776</v>
      </c>
      <c r="M84" s="366">
        <f>SUM($B$83:M83)</f>
        <v>51138857.088280156</v>
      </c>
      <c r="N84" s="366">
        <f>SUM($B$83:N83)</f>
        <v>58361173.512435317</v>
      </c>
      <c r="O84" s="366">
        <f>SUM($B$83:O83)</f>
        <v>65877095.740444995</v>
      </c>
      <c r="P84" s="366">
        <f>SUM($B$83:P83)</f>
        <v>73698955.216071084</v>
      </c>
      <c r="Q84" s="366">
        <f>SUM($B$83:Q83)</f>
        <v>81839601.303713471</v>
      </c>
      <c r="R84" s="366">
        <f>SUM($B$83:R83)</f>
        <v>90312423.041076839</v>
      </c>
      <c r="S84" s="366">
        <f>SUM($B$83:S83)</f>
        <v>99131371.805449471</v>
      </c>
      <c r="T84" s="366">
        <f>SUM($B$83:T83)</f>
        <v>108310984.93196574</v>
      </c>
      <c r="U84" s="366">
        <f>SUM($B$83:U83)</f>
        <v>117866410.3238357</v>
      </c>
      <c r="V84" s="366">
        <f>SUM($B$83:V83)</f>
        <v>127813432.09620419</v>
      </c>
      <c r="W84" s="366">
        <f>SUM($B$83:W83)</f>
        <v>138168497.29705217</v>
      </c>
      <c r="X84" s="366">
        <f>SUM($B$83:X83)</f>
        <v>148948743.75037578</v>
      </c>
      <c r="Y84" s="366">
        <f>SUM($B$83:Y83)</f>
        <v>160172029.06877896</v>
      </c>
      <c r="Z84" s="366">
        <f>SUM($B$83:Z83)</f>
        <v>171856960.88459507</v>
      </c>
      <c r="AA84" s="366">
        <f>SUM($B$83:AA83)</f>
        <v>184022928.35071546</v>
      </c>
      <c r="AB84" s="366">
        <f>SUM($B$83:AB83)</f>
        <v>196690134.96445292</v>
      </c>
      <c r="AC84" s="366">
        <f>SUM($B$83:AC83)</f>
        <v>209879632.77000734</v>
      </c>
      <c r="AD84" s="366">
        <f>SUM($B$83:AD83)</f>
        <v>223613357.99743506</v>
      </c>
      <c r="AE84" s="366">
        <f>SUM($B$83:AE83)</f>
        <v>237914168.19845474</v>
      </c>
      <c r="AF84" s="366">
        <f>SUM($B$83:AF83)</f>
        <v>252805880.94195724</v>
      </c>
      <c r="AG84" s="366">
        <f>SUM($B$83:AG83)</f>
        <v>268313314.13472685</v>
      </c>
      <c r="AH84" s="366">
        <f>SUM($B$83:AH83)</f>
        <v>284462328.03563279</v>
      </c>
      <c r="AI84" s="366">
        <f>SUM($B$83:AI83)</f>
        <v>301279869.03441679</v>
      </c>
      <c r="AJ84" s="366">
        <f>SUM($B$83:AJ83)</f>
        <v>318794015.26918972</v>
      </c>
      <c r="AK84" s="366">
        <f>SUM($B$83:AK83)</f>
        <v>337034024.15986311</v>
      </c>
      <c r="AL84" s="366">
        <f>SUM($B$83:AL83)</f>
        <v>356030381.93798476</v>
      </c>
      <c r="AM84" s="366">
        <f>SUM($B$83:AM83)</f>
        <v>375814855.25682753</v>
      </c>
      <c r="AN84" s="366">
        <f>SUM($B$83:AN83)</f>
        <v>396420544.96910167</v>
      </c>
      <c r="AO84" s="366">
        <f>SUM($B$83:AO83)</f>
        <v>417881942.16333133</v>
      </c>
      <c r="AP84" s="366">
        <f>SUM($B$83:AP83)</f>
        <v>440234986.55375868</v>
      </c>
    </row>
    <row r="85" spans="1:45" x14ac:dyDescent="0.2">
      <c r="A85" s="123" t="s">
        <v>397</v>
      </c>
      <c r="B85" s="367">
        <f t="shared" ref="B85:AP85" si="31">1/POWER((1+$B$44),B73)</f>
        <v>0.43207415462612664</v>
      </c>
      <c r="C85" s="367">
        <f t="shared" si="31"/>
        <v>0.35856776317520883</v>
      </c>
      <c r="D85" s="367">
        <f t="shared" si="31"/>
        <v>0.29756660844415667</v>
      </c>
      <c r="E85" s="367">
        <f t="shared" si="31"/>
        <v>0.24694324352212174</v>
      </c>
      <c r="F85" s="367">
        <f t="shared" si="31"/>
        <v>0.20493215230051592</v>
      </c>
      <c r="G85" s="367">
        <f t="shared" si="31"/>
        <v>0.1700681761830008</v>
      </c>
      <c r="H85" s="367">
        <f t="shared" si="31"/>
        <v>0.14113541591950271</v>
      </c>
      <c r="I85" s="367">
        <f t="shared" si="31"/>
        <v>0.11712482648921385</v>
      </c>
      <c r="J85" s="367">
        <f t="shared" si="31"/>
        <v>9.719902613212765E-2</v>
      </c>
      <c r="K85" s="367">
        <f t="shared" si="31"/>
        <v>8.0663092225832109E-2</v>
      </c>
      <c r="L85" s="367">
        <f t="shared" si="31"/>
        <v>6.6940325498615838E-2</v>
      </c>
      <c r="M85" s="367">
        <f t="shared" si="31"/>
        <v>5.5552137343249659E-2</v>
      </c>
      <c r="N85" s="367">
        <f t="shared" si="31"/>
        <v>4.6101358791078552E-2</v>
      </c>
      <c r="O85" s="367">
        <f t="shared" si="31"/>
        <v>3.825838903823945E-2</v>
      </c>
      <c r="P85" s="367">
        <f t="shared" si="31"/>
        <v>3.174970044667174E-2</v>
      </c>
      <c r="Q85" s="367">
        <f t="shared" si="31"/>
        <v>2.6348299125868668E-2</v>
      </c>
      <c r="R85" s="367">
        <f t="shared" si="31"/>
        <v>2.1865808403210511E-2</v>
      </c>
      <c r="S85" s="367">
        <f t="shared" si="31"/>
        <v>1.814589908980126E-2</v>
      </c>
      <c r="T85" s="367">
        <f t="shared" si="31"/>
        <v>1.5058837418922204E-2</v>
      </c>
      <c r="U85" s="367">
        <f t="shared" si="31"/>
        <v>1.2496960513628384E-2</v>
      </c>
      <c r="V85" s="367">
        <f t="shared" si="31"/>
        <v>1.0370921588073345E-2</v>
      </c>
      <c r="W85" s="367">
        <f t="shared" si="31"/>
        <v>8.6065739320110735E-3</v>
      </c>
      <c r="X85" s="367">
        <f t="shared" si="31"/>
        <v>7.1423850058183183E-3</v>
      </c>
      <c r="Y85" s="367">
        <f t="shared" si="31"/>
        <v>5.9272904612600145E-3</v>
      </c>
      <c r="Z85" s="367">
        <f t="shared" si="31"/>
        <v>4.9189132458589318E-3</v>
      </c>
      <c r="AA85" s="367">
        <f t="shared" si="31"/>
        <v>4.082085681210732E-3</v>
      </c>
      <c r="AB85" s="367">
        <f t="shared" si="31"/>
        <v>3.3876229719591129E-3</v>
      </c>
      <c r="AC85" s="367">
        <f t="shared" si="31"/>
        <v>2.8113053709204251E-3</v>
      </c>
      <c r="AD85" s="367">
        <f t="shared" si="31"/>
        <v>2.3330335028385286E-3</v>
      </c>
      <c r="AE85" s="367">
        <f t="shared" si="31"/>
        <v>1.9361273882477412E-3</v>
      </c>
      <c r="AF85" s="367">
        <f t="shared" si="31"/>
        <v>1.6067447205375444E-3</v>
      </c>
      <c r="AG85" s="367">
        <f t="shared" si="31"/>
        <v>1.3333981083299121E-3</v>
      </c>
      <c r="AH85" s="367">
        <f t="shared" si="31"/>
        <v>1.1065544467468149E-3</v>
      </c>
      <c r="AI85" s="367">
        <f t="shared" si="31"/>
        <v>9.1830244543304122E-4</v>
      </c>
      <c r="AJ85" s="367">
        <f t="shared" si="31"/>
        <v>7.6207671820169396E-4</v>
      </c>
      <c r="AK85" s="367">
        <f t="shared" si="31"/>
        <v>6.3242881178563804E-4</v>
      </c>
      <c r="AL85" s="367">
        <f t="shared" si="31"/>
        <v>5.2483718820384888E-4</v>
      </c>
      <c r="AM85" s="367">
        <f t="shared" si="31"/>
        <v>4.3554953377912764E-4</v>
      </c>
      <c r="AN85" s="367">
        <f t="shared" si="31"/>
        <v>3.6145189525238806E-4</v>
      </c>
      <c r="AO85" s="367">
        <f t="shared" si="31"/>
        <v>2.9996007904762516E-4</v>
      </c>
      <c r="AP85" s="367">
        <f t="shared" si="31"/>
        <v>2.4892952618060153E-4</v>
      </c>
    </row>
    <row r="86" spans="1:45" ht="28.5" x14ac:dyDescent="0.2">
      <c r="A86" s="301" t="s">
        <v>553</v>
      </c>
      <c r="B86" s="366">
        <f>B83*B85</f>
        <v>-3054278.6430285485</v>
      </c>
      <c r="C86" s="366">
        <f>C83*C85</f>
        <v>521715.59591660666</v>
      </c>
      <c r="D86" s="366">
        <f t="shared" ref="D86:AO86" si="32">D83*D85</f>
        <v>940414.79947114061</v>
      </c>
      <c r="E86" s="366">
        <f t="shared" si="32"/>
        <v>1249290.7266731802</v>
      </c>
      <c r="F86" s="366">
        <f t="shared" si="32"/>
        <v>1078305.2385777608</v>
      </c>
      <c r="G86" s="366">
        <f t="shared" si="32"/>
        <v>930788.18608727097</v>
      </c>
      <c r="H86" s="366">
        <f t="shared" si="32"/>
        <v>803507.28119018127</v>
      </c>
      <c r="I86" s="366">
        <f t="shared" si="32"/>
        <v>693677.2860428961</v>
      </c>
      <c r="J86" s="366">
        <f t="shared" si="32"/>
        <v>598897.870084772</v>
      </c>
      <c r="K86" s="366">
        <f t="shared" si="32"/>
        <v>517100.15740265738</v>
      </c>
      <c r="L86" s="366">
        <f t="shared" si="32"/>
        <v>446500.74046811863</v>
      </c>
      <c r="M86" s="366">
        <f t="shared" si="32"/>
        <v>385562.11014940427</v>
      </c>
      <c r="N86" s="366">
        <f t="shared" si="32"/>
        <v>332958.60077267664</v>
      </c>
      <c r="O86" s="366">
        <f t="shared" si="32"/>
        <v>287547.07658034569</v>
      </c>
      <c r="P86" s="366">
        <f t="shared" si="32"/>
        <v>248341.6952870891</v>
      </c>
      <c r="Q86" s="366">
        <f t="shared" si="32"/>
        <v>214492.17819503398</v>
      </c>
      <c r="R86" s="366">
        <f t="shared" si="32"/>
        <v>185265.09674374445</v>
      </c>
      <c r="S86" s="366">
        <f t="shared" si="32"/>
        <v>160027.7543564332</v>
      </c>
      <c r="T86" s="366">
        <f t="shared" si="32"/>
        <v>138234.30164081274</v>
      </c>
      <c r="U86" s="366">
        <f t="shared" si="32"/>
        <v>119413.77381312092</v>
      </c>
      <c r="V86" s="366">
        <f t="shared" si="32"/>
        <v>103159.78283609202</v>
      </c>
      <c r="W86" s="366">
        <f t="shared" si="32"/>
        <v>89121.634221893197</v>
      </c>
      <c r="X86" s="366">
        <f t="shared" si="32"/>
        <v>76996.67062724453</v>
      </c>
      <c r="Y86" s="366">
        <f t="shared" si="32"/>
        <v>66523.672011770759</v>
      </c>
      <c r="Z86" s="366">
        <f t="shared" si="32"/>
        <v>57477.165885776347</v>
      </c>
      <c r="AA86" s="366">
        <f t="shared" si="32"/>
        <v>49662.521591525663</v>
      </c>
      <c r="AB86" s="366">
        <f t="shared" si="32"/>
        <v>42911.720115249402</v>
      </c>
      <c r="AC86" s="366">
        <f t="shared" si="32"/>
        <v>37079.706020498314</v>
      </c>
      <c r="AD86" s="366">
        <f t="shared" si="32"/>
        <v>32041.241074367546</v>
      </c>
      <c r="AE86" s="366">
        <f t="shared" si="32"/>
        <v>27688.190304326868</v>
      </c>
      <c r="AF86" s="366">
        <f t="shared" si="32"/>
        <v>23927.180830384314</v>
      </c>
      <c r="AG86" s="366">
        <f t="shared" si="32"/>
        <v>20677.582084291487</v>
      </c>
      <c r="AH86" s="366">
        <f t="shared" si="32"/>
        <v>17869.763142623582</v>
      </c>
      <c r="AI86" s="366">
        <f t="shared" si="32"/>
        <v>15443.589025353758</v>
      </c>
      <c r="AJ86" s="366">
        <f t="shared" si="32"/>
        <v>13347.123084700293</v>
      </c>
      <c r="AK86" s="366">
        <f t="shared" si="32"/>
        <v>11535.507149688032</v>
      </c>
      <c r="AL86" s="366">
        <f t="shared" si="32"/>
        <v>9969.9950023836864</v>
      </c>
      <c r="AM86" s="366">
        <f t="shared" si="32"/>
        <v>8617.1181300875578</v>
      </c>
      <c r="AN86" s="366">
        <f t="shared" si="32"/>
        <v>7447.9655994841296</v>
      </c>
      <c r="AO86" s="366">
        <f t="shared" si="32"/>
        <v>6437.5623988536136</v>
      </c>
      <c r="AP86" s="366">
        <f>AP83*AP85</f>
        <v>5564.3327488030272</v>
      </c>
    </row>
    <row r="87" spans="1:45" ht="14.25" x14ac:dyDescent="0.2">
      <c r="A87" s="301" t="s">
        <v>554</v>
      </c>
      <c r="B87" s="366">
        <f>SUM($B$86:B86)</f>
        <v>-3054278.6430285485</v>
      </c>
      <c r="C87" s="366">
        <f>SUM($B$86:C86)</f>
        <v>-2532563.047111942</v>
      </c>
      <c r="D87" s="366">
        <f>SUM($B$86:D86)</f>
        <v>-1592148.2476408014</v>
      </c>
      <c r="E87" s="366">
        <f>SUM($B$86:E86)</f>
        <v>-342857.52096762112</v>
      </c>
      <c r="F87" s="366">
        <f>SUM($B$86:F86)</f>
        <v>735447.71761013963</v>
      </c>
      <c r="G87" s="366">
        <f>SUM($B$86:G86)</f>
        <v>1666235.9036974106</v>
      </c>
      <c r="H87" s="366">
        <f>SUM($B$86:H86)</f>
        <v>2469743.1848875917</v>
      </c>
      <c r="I87" s="366">
        <f>SUM($B$86:I86)</f>
        <v>3163420.4709304878</v>
      </c>
      <c r="J87" s="366">
        <f>SUM($B$86:J86)</f>
        <v>3762318.3410152597</v>
      </c>
      <c r="K87" s="366">
        <f>SUM($B$86:K86)</f>
        <v>4279418.4984179167</v>
      </c>
      <c r="L87" s="366">
        <f>SUM($B$86:L86)</f>
        <v>4725919.238886035</v>
      </c>
      <c r="M87" s="366">
        <f>SUM($B$86:M86)</f>
        <v>5111481.3490354391</v>
      </c>
      <c r="N87" s="366">
        <f>SUM($B$86:N86)</f>
        <v>5444439.9498081161</v>
      </c>
      <c r="O87" s="366">
        <f>SUM($B$86:O86)</f>
        <v>5731987.0263884617</v>
      </c>
      <c r="P87" s="366">
        <f>SUM($B$86:P86)</f>
        <v>5980328.7216755506</v>
      </c>
      <c r="Q87" s="366">
        <f>SUM($B$86:Q86)</f>
        <v>6194820.8998705847</v>
      </c>
      <c r="R87" s="366">
        <f>SUM($B$86:R86)</f>
        <v>6380085.9966143295</v>
      </c>
      <c r="S87" s="366">
        <f>SUM($B$86:S86)</f>
        <v>6540113.7509707632</v>
      </c>
      <c r="T87" s="366">
        <f>SUM($B$86:T86)</f>
        <v>6678348.0526115755</v>
      </c>
      <c r="U87" s="366">
        <f>SUM($B$86:U86)</f>
        <v>6797761.8264246965</v>
      </c>
      <c r="V87" s="366">
        <f>SUM($B$86:V86)</f>
        <v>6900921.6092607882</v>
      </c>
      <c r="W87" s="366">
        <f>SUM($B$86:W86)</f>
        <v>6990043.243482681</v>
      </c>
      <c r="X87" s="366">
        <f>SUM($B$86:X86)</f>
        <v>7067039.9141099257</v>
      </c>
      <c r="Y87" s="366">
        <f>SUM($B$86:Y86)</f>
        <v>7133563.586121696</v>
      </c>
      <c r="Z87" s="366">
        <f>SUM($B$86:Z86)</f>
        <v>7191040.7520074723</v>
      </c>
      <c r="AA87" s="366">
        <f>SUM($B$86:AA86)</f>
        <v>7240703.2735989979</v>
      </c>
      <c r="AB87" s="366">
        <f>SUM($B$86:AB86)</f>
        <v>7283614.9937142469</v>
      </c>
      <c r="AC87" s="366">
        <f>SUM($B$86:AC86)</f>
        <v>7320694.6997347455</v>
      </c>
      <c r="AD87" s="366">
        <f>SUM($B$86:AD86)</f>
        <v>7352735.940809113</v>
      </c>
      <c r="AE87" s="366">
        <f>SUM($B$86:AE86)</f>
        <v>7380424.1311134398</v>
      </c>
      <c r="AF87" s="366">
        <f>SUM($B$86:AF86)</f>
        <v>7404351.3119438244</v>
      </c>
      <c r="AG87" s="366">
        <f>SUM($B$86:AG86)</f>
        <v>7425028.894028116</v>
      </c>
      <c r="AH87" s="366">
        <f>SUM($B$86:AH86)</f>
        <v>7442898.65717074</v>
      </c>
      <c r="AI87" s="366">
        <f>SUM($B$86:AI86)</f>
        <v>7458342.246196094</v>
      </c>
      <c r="AJ87" s="366">
        <f>SUM($B$86:AJ86)</f>
        <v>7471689.3692807946</v>
      </c>
      <c r="AK87" s="366">
        <f>SUM($B$86:AK86)</f>
        <v>7483224.8764304826</v>
      </c>
      <c r="AL87" s="366">
        <f>SUM($B$86:AL86)</f>
        <v>7493194.871432866</v>
      </c>
      <c r="AM87" s="366">
        <f>SUM($B$86:AM86)</f>
        <v>7501811.9895629538</v>
      </c>
      <c r="AN87" s="366">
        <f>SUM($B$86:AN86)</f>
        <v>7509259.9551624376</v>
      </c>
      <c r="AO87" s="366">
        <f>SUM($B$86:AO86)</f>
        <v>7515697.5175612913</v>
      </c>
      <c r="AP87" s="366">
        <f>SUM($B$86:AP86)</f>
        <v>7521261.8503100947</v>
      </c>
    </row>
    <row r="88" spans="1:45" ht="14.25" x14ac:dyDescent="0.2">
      <c r="A88" s="301" t="s">
        <v>555</v>
      </c>
      <c r="B88" s="368">
        <f>IF((ISERR(IRR($B$83:B83))),0,IF(IRR($B$83:B83)&lt;0,0,IRR($B$83:B83)))</f>
        <v>0</v>
      </c>
      <c r="C88" s="368">
        <f>IF((ISERR(IRR($B$83:C83))),0,IF(IRR($B$83:C83)&lt;0,0,IRR($B$83:C83)))</f>
        <v>0</v>
      </c>
      <c r="D88" s="368">
        <f>IF((ISERR(IRR($B$83:D83))),0,IF(IRR($B$83:D83)&lt;0,0,IRR($B$83:D83)))</f>
        <v>0</v>
      </c>
      <c r="E88" s="368">
        <f>IF((ISERR(IRR($B$83:E83))),0,IF(IRR($B$83:E83)&lt;0,0,IRR($B$83:E83)))</f>
        <v>0.14377379729861106</v>
      </c>
      <c r="F88" s="368">
        <f>IF((ISERR(IRR($B$83:F83))),0,IF(IRR($B$83:F83)&lt;0,0,IRR($B$83:F83)))</f>
        <v>0.30447183278389378</v>
      </c>
      <c r="G88" s="368">
        <f>IF((ISERR(IRR($B$83:G83))),0,IF(IRR($B$83:G83)&lt;0,0,IRR($B$83:G83)))</f>
        <v>0.387455835929708</v>
      </c>
      <c r="H88" s="368">
        <f>IF((ISERR(IRR($B$83:H83))),0,IF(IRR($B$83:H83)&lt;0,0,IRR($B$83:H83)))</f>
        <v>0.43399201333495374</v>
      </c>
      <c r="I88" s="368">
        <f>IF((ISERR(IRR($B$83:I83))),0,IF(IRR($B$83:I83)&lt;0,0,IRR($B$83:I83)))</f>
        <v>0.46155724037279455</v>
      </c>
      <c r="J88" s="368">
        <f>IF((ISERR(IRR($B$83:J83))),0,IF(IRR($B$83:J83)&lt;0,0,IRR($B$83:J83)))</f>
        <v>0.47852968958482367</v>
      </c>
      <c r="K88" s="368">
        <f>IF((ISERR(IRR($B$83:K83))),0,IF(IRR($B$83:K83)&lt;0,0,IRR($B$83:K83)))</f>
        <v>0.48927902279701407</v>
      </c>
      <c r="L88" s="368">
        <f>IF((ISERR(IRR($B$83:L83))),0,IF(IRR($B$83:L83)&lt;0,0,IRR($B$83:L83)))</f>
        <v>0.49623101367713018</v>
      </c>
      <c r="M88" s="368">
        <f>IF((ISERR(IRR($B$83:M83))),0,IF(IRR($B$83:M83)&lt;0,0,IRR($B$83:M83)))</f>
        <v>0.500798248003818</v>
      </c>
      <c r="N88" s="368">
        <f>IF((ISERR(IRR($B$83:N83))),0,IF(IRR($B$83:N83)&lt;0,0,IRR($B$83:N83)))</f>
        <v>0.50383451899218468</v>
      </c>
      <c r="O88" s="368">
        <f>IF((ISERR(IRR($B$83:O83))),0,IF(IRR($B$83:O83)&lt;0,0,IRR($B$83:O83)))</f>
        <v>0.50587118911016749</v>
      </c>
      <c r="P88" s="368">
        <f>IF((ISERR(IRR($B$83:P83))),0,IF(IRR($B$83:P83)&lt;0,0,IRR($B$83:P83)))</f>
        <v>0.50724665712114159</v>
      </c>
      <c r="Q88" s="368">
        <f>IF((ISERR(IRR($B$83:Q83))),0,IF(IRR($B$83:Q83)&lt;0,0,IRR($B$83:Q83)))</f>
        <v>0.50818037182052067</v>
      </c>
      <c r="R88" s="368">
        <f>IF((ISERR(IRR($B$83:R83))),0,IF(IRR($B$83:R83)&lt;0,0,IRR($B$83:R83)))</f>
        <v>0.50881667970763678</v>
      </c>
      <c r="S88" s="368">
        <f>IF((ISERR(IRR($B$83:S83))),0,IF(IRR($B$83:S83)&lt;0,0,IRR($B$83:S83)))</f>
        <v>0.50925158579540808</v>
      </c>
      <c r="T88" s="368">
        <f>IF((ISERR(IRR($B$83:T83))),0,IF(IRR($B$83:T83)&lt;0,0,IRR($B$83:T83)))</f>
        <v>0.50954949495116297</v>
      </c>
      <c r="U88" s="368">
        <f>IF((ISERR(IRR($B$83:U83))),0,IF(IRR($B$83:U83)&lt;0,0,IRR($B$83:U83)))</f>
        <v>0.50975390096533402</v>
      </c>
      <c r="V88" s="368">
        <f>IF((ISERR(IRR($B$83:V83))),0,IF(IRR($B$83:V83)&lt;0,0,IRR($B$83:V83)))</f>
        <v>0.50989432599309104</v>
      </c>
      <c r="W88" s="368">
        <f>IF((ISERR(IRR($B$83:W83))),0,IF(IRR($B$83:W83)&lt;0,0,IRR($B$83:W83)))</f>
        <v>0.50999088671699755</v>
      </c>
      <c r="X88" s="368">
        <f>IF((ISERR(IRR($B$83:X83))),0,IF(IRR($B$83:X83)&lt;0,0,IRR($B$83:X83)))</f>
        <v>0.5100573313166874</v>
      </c>
      <c r="Y88" s="368">
        <f>IF((ISERR(IRR($B$83:Y83))),0,IF(IRR($B$83:Y83)&lt;0,0,IRR($B$83:Y83)))</f>
        <v>0.51010307654629949</v>
      </c>
      <c r="Z88" s="368">
        <f>IF((ISERR(IRR($B$83:Z83))),0,IF(IRR($B$83:Z83)&lt;0,0,IRR($B$83:Z83)))</f>
        <v>0.51013458318528881</v>
      </c>
      <c r="AA88" s="368">
        <f>IF((ISERR(IRR($B$83:AA83))),0,IF(IRR($B$83:AA83)&lt;0,0,IRR($B$83:AA83)))</f>
        <v>0.51015628950974268</v>
      </c>
      <c r="AB88" s="368">
        <f>IF((ISERR(IRR($B$83:AB83))),0,IF(IRR($B$83:AB83)&lt;0,0,IRR($B$83:AB83)))</f>
        <v>0.5101712472916109</v>
      </c>
      <c r="AC88" s="368">
        <f>IF((ISERR(IRR($B$83:AC83))),0,IF(IRR($B$83:AC83)&lt;0,0,IRR($B$83:AC83)))</f>
        <v>0.51018155641379992</v>
      </c>
      <c r="AD88" s="368">
        <f>IF((ISERR(IRR($B$83:AD83))),0,IF(IRR($B$83:AD83)&lt;0,0,IRR($B$83:AD83)))</f>
        <v>0.51018866253665451</v>
      </c>
      <c r="AE88" s="368">
        <f>IF((ISERR(IRR($B$83:AE83))),0,IF(IRR($B$83:AE83)&lt;0,0,IRR($B$83:AE83)))</f>
        <v>0.51019356131389126</v>
      </c>
      <c r="AF88" s="368">
        <f>IF((ISERR(IRR($B$83:AF83))),0,IF(IRR($B$83:AF83)&lt;0,0,IRR($B$83:AF83)))</f>
        <v>0.51019693867382943</v>
      </c>
      <c r="AG88" s="368">
        <f>IF((ISERR(IRR($B$83:AG83))),0,IF(IRR($B$83:AG83)&lt;0,0,IRR($B$83:AG83)))</f>
        <v>0.5101992672734732</v>
      </c>
      <c r="AH88" s="368">
        <f>IF((ISERR(IRR($B$83:AH83))),0,IF(IRR($B$83:AH83)&lt;0,0,IRR($B$83:AH83)))</f>
        <v>0.51020087286494298</v>
      </c>
      <c r="AI88" s="368">
        <f>IF((ISERR(IRR($B$83:AI83))),0,IF(IRR($B$83:AI83)&lt;0,0,IRR($B$83:AI83)))</f>
        <v>0.51020197998379757</v>
      </c>
      <c r="AJ88" s="368">
        <f>IF((ISERR(IRR($B$83:AJ83))),0,IF(IRR($B$83:AJ83)&lt;0,0,IRR($B$83:AJ83)))</f>
        <v>0.51020274341443983</v>
      </c>
      <c r="AK88" s="368">
        <f>IF((ISERR(IRR($B$83:AK83))),0,IF(IRR($B$83:AK83)&lt;0,0,IRR($B$83:AK83)))</f>
        <v>0.51020326986661924</v>
      </c>
      <c r="AL88" s="368">
        <f>IF((ISERR(IRR($B$83:AL83))),0,IF(IRR($B$83:AL83)&lt;0,0,IRR($B$83:AL83)))</f>
        <v>0.51020363291177651</v>
      </c>
      <c r="AM88" s="368">
        <f>IF((ISERR(IRR($B$83:AM83))),0,IF(IRR($B$83:AM83)&lt;0,0,IRR($B$83:AM83)))</f>
        <v>0.51020388327669774</v>
      </c>
      <c r="AN88" s="368">
        <f>IF((ISERR(IRR($B$83:AN83))),0,IF(IRR($B$83:AN83)&lt;0,0,IRR($B$83:AN83)))</f>
        <v>0.51020405593856388</v>
      </c>
      <c r="AO88" s="368">
        <f>IF((ISERR(IRR($B$83:AO83))),0,IF(IRR($B$83:AO83)&lt;0,0,IRR($B$83:AO83)))</f>
        <v>0.51020417501578841</v>
      </c>
      <c r="AP88" s="368">
        <f>IF((ISERR(IRR($B$83:AP83))),0,IF(IRR($B$83:AP83)&lt;0,0,IRR($B$83:AP83)))</f>
        <v>0.51020425713970363</v>
      </c>
    </row>
    <row r="89" spans="1:45" ht="14.25" x14ac:dyDescent="0.2">
      <c r="A89" s="301" t="s">
        <v>556</v>
      </c>
      <c r="B89" s="369">
        <f>IF(AND(B84&gt;0,A84&lt;0),(B74-(B84/(B84-A84))),0)</f>
        <v>0</v>
      </c>
      <c r="C89" s="369">
        <f t="shared" ref="C89:AP89" si="33">IF(AND(C84&gt;0,B84&lt;0),(C74-(C84/(C84-B84))),0)</f>
        <v>0</v>
      </c>
      <c r="D89" s="369">
        <f t="shared" si="33"/>
        <v>0</v>
      </c>
      <c r="E89" s="369">
        <f t="shared" si="33"/>
        <v>3.4849806949349262</v>
      </c>
      <c r="F89" s="369">
        <f t="shared" si="33"/>
        <v>0</v>
      </c>
      <c r="G89" s="369">
        <f t="shared" si="33"/>
        <v>0</v>
      </c>
      <c r="H89" s="369">
        <f>IF(AND(H84&gt;0,G84&lt;0),(H74-(H84/(H84-G84))),0)</f>
        <v>0</v>
      </c>
      <c r="I89" s="369">
        <f t="shared" si="33"/>
        <v>0</v>
      </c>
      <c r="J89" s="369">
        <f t="shared" si="33"/>
        <v>0</v>
      </c>
      <c r="K89" s="369">
        <f t="shared" si="33"/>
        <v>0</v>
      </c>
      <c r="L89" s="369">
        <f t="shared" si="33"/>
        <v>0</v>
      </c>
      <c r="M89" s="369">
        <f t="shared" si="33"/>
        <v>0</v>
      </c>
      <c r="N89" s="369">
        <f t="shared" si="33"/>
        <v>0</v>
      </c>
      <c r="O89" s="369">
        <f t="shared" si="33"/>
        <v>0</v>
      </c>
      <c r="P89" s="369">
        <f t="shared" si="33"/>
        <v>0</v>
      </c>
      <c r="Q89" s="369">
        <f t="shared" si="33"/>
        <v>0</v>
      </c>
      <c r="R89" s="369">
        <f t="shared" si="33"/>
        <v>0</v>
      </c>
      <c r="S89" s="369">
        <f t="shared" si="33"/>
        <v>0</v>
      </c>
      <c r="T89" s="369">
        <f t="shared" si="33"/>
        <v>0</v>
      </c>
      <c r="U89" s="369">
        <f t="shared" si="33"/>
        <v>0</v>
      </c>
      <c r="V89" s="369">
        <f t="shared" si="33"/>
        <v>0</v>
      </c>
      <c r="W89" s="369">
        <f t="shared" si="33"/>
        <v>0</v>
      </c>
      <c r="X89" s="369">
        <f t="shared" si="33"/>
        <v>0</v>
      </c>
      <c r="Y89" s="369">
        <f t="shared" si="33"/>
        <v>0</v>
      </c>
      <c r="Z89" s="369">
        <f t="shared" si="33"/>
        <v>0</v>
      </c>
      <c r="AA89" s="369">
        <f t="shared" si="33"/>
        <v>0</v>
      </c>
      <c r="AB89" s="369">
        <f t="shared" si="33"/>
        <v>0</v>
      </c>
      <c r="AC89" s="369">
        <f t="shared" si="33"/>
        <v>0</v>
      </c>
      <c r="AD89" s="369">
        <f t="shared" si="33"/>
        <v>0</v>
      </c>
      <c r="AE89" s="369">
        <f t="shared" si="33"/>
        <v>0</v>
      </c>
      <c r="AF89" s="369">
        <f t="shared" si="33"/>
        <v>0</v>
      </c>
      <c r="AG89" s="369">
        <f t="shared" si="33"/>
        <v>0</v>
      </c>
      <c r="AH89" s="369">
        <f t="shared" si="33"/>
        <v>0</v>
      </c>
      <c r="AI89" s="369">
        <f t="shared" si="33"/>
        <v>0</v>
      </c>
      <c r="AJ89" s="369">
        <f t="shared" si="33"/>
        <v>0</v>
      </c>
      <c r="AK89" s="369">
        <f t="shared" si="33"/>
        <v>0</v>
      </c>
      <c r="AL89" s="369">
        <f t="shared" si="33"/>
        <v>0</v>
      </c>
      <c r="AM89" s="369">
        <f t="shared" si="33"/>
        <v>0</v>
      </c>
      <c r="AN89" s="369">
        <f t="shared" si="33"/>
        <v>0</v>
      </c>
      <c r="AO89" s="369">
        <f t="shared" si="33"/>
        <v>0</v>
      </c>
      <c r="AP89" s="369">
        <f t="shared" si="33"/>
        <v>0</v>
      </c>
    </row>
    <row r="90" spans="1:45" ht="15" thickBot="1" x14ac:dyDescent="0.25">
      <c r="A90" s="308" t="s">
        <v>557</v>
      </c>
      <c r="B90" s="124">
        <f t="shared" ref="B90:AP90" si="34">IF(AND(B87&gt;0,A87&lt;0),(B74-(B87/(B87-A87))),0)</f>
        <v>0</v>
      </c>
      <c r="C90" s="124">
        <f t="shared" si="34"/>
        <v>0</v>
      </c>
      <c r="D90" s="124">
        <f t="shared" si="34"/>
        <v>0</v>
      </c>
      <c r="E90" s="124">
        <f t="shared" si="34"/>
        <v>0</v>
      </c>
      <c r="F90" s="124">
        <f t="shared" si="34"/>
        <v>4.3179596172785324</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1" customFormat="1" x14ac:dyDescent="0.2">
      <c r="A91" s="265"/>
      <c r="B91" s="309">
        <v>2022</v>
      </c>
      <c r="C91" s="309">
        <f>B91+1</f>
        <v>2023</v>
      </c>
      <c r="D91" s="241">
        <f t="shared" ref="D91:AP91" si="35">C91+1</f>
        <v>2024</v>
      </c>
      <c r="E91" s="241">
        <f t="shared" si="35"/>
        <v>2025</v>
      </c>
      <c r="F91" s="241">
        <f t="shared" si="35"/>
        <v>2026</v>
      </c>
      <c r="G91" s="241">
        <f t="shared" si="35"/>
        <v>2027</v>
      </c>
      <c r="H91" s="241">
        <f t="shared" si="35"/>
        <v>2028</v>
      </c>
      <c r="I91" s="241">
        <f t="shared" si="35"/>
        <v>2029</v>
      </c>
      <c r="J91" s="241">
        <f t="shared" si="35"/>
        <v>2030</v>
      </c>
      <c r="K91" s="241">
        <f t="shared" si="35"/>
        <v>2031</v>
      </c>
      <c r="L91" s="241">
        <f t="shared" si="35"/>
        <v>2032</v>
      </c>
      <c r="M91" s="241">
        <f t="shared" si="35"/>
        <v>2033</v>
      </c>
      <c r="N91" s="241">
        <f t="shared" si="35"/>
        <v>2034</v>
      </c>
      <c r="O91" s="241">
        <f t="shared" si="35"/>
        <v>2035</v>
      </c>
      <c r="P91" s="241">
        <f t="shared" si="35"/>
        <v>2036</v>
      </c>
      <c r="Q91" s="241">
        <f t="shared" si="35"/>
        <v>2037</v>
      </c>
      <c r="R91" s="241">
        <f t="shared" si="35"/>
        <v>2038</v>
      </c>
      <c r="S91" s="241">
        <f t="shared" si="35"/>
        <v>2039</v>
      </c>
      <c r="T91" s="241">
        <f t="shared" si="35"/>
        <v>2040</v>
      </c>
      <c r="U91" s="241">
        <f t="shared" si="35"/>
        <v>2041</v>
      </c>
      <c r="V91" s="241">
        <f t="shared" si="35"/>
        <v>2042</v>
      </c>
      <c r="W91" s="241">
        <f t="shared" si="35"/>
        <v>2043</v>
      </c>
      <c r="X91" s="241">
        <f t="shared" si="35"/>
        <v>2044</v>
      </c>
      <c r="Y91" s="241">
        <f t="shared" si="35"/>
        <v>2045</v>
      </c>
      <c r="Z91" s="241">
        <f t="shared" si="35"/>
        <v>2046</v>
      </c>
      <c r="AA91" s="241">
        <f t="shared" si="35"/>
        <v>2047</v>
      </c>
      <c r="AB91" s="241">
        <f t="shared" si="35"/>
        <v>2048</v>
      </c>
      <c r="AC91" s="241">
        <f t="shared" si="35"/>
        <v>2049</v>
      </c>
      <c r="AD91" s="241">
        <f t="shared" si="35"/>
        <v>2050</v>
      </c>
      <c r="AE91" s="241">
        <f t="shared" si="35"/>
        <v>2051</v>
      </c>
      <c r="AF91" s="241">
        <f t="shared" si="35"/>
        <v>2052</v>
      </c>
      <c r="AG91" s="241">
        <f t="shared" si="35"/>
        <v>2053</v>
      </c>
      <c r="AH91" s="241">
        <f t="shared" si="35"/>
        <v>2054</v>
      </c>
      <c r="AI91" s="241">
        <f t="shared" si="35"/>
        <v>2055</v>
      </c>
      <c r="AJ91" s="241">
        <f t="shared" si="35"/>
        <v>2056</v>
      </c>
      <c r="AK91" s="241">
        <f t="shared" si="35"/>
        <v>2057</v>
      </c>
      <c r="AL91" s="241">
        <f t="shared" si="35"/>
        <v>2058</v>
      </c>
      <c r="AM91" s="241">
        <f t="shared" si="35"/>
        <v>2059</v>
      </c>
      <c r="AN91" s="241">
        <f t="shared" si="35"/>
        <v>2060</v>
      </c>
      <c r="AO91" s="241">
        <f t="shared" si="35"/>
        <v>2061</v>
      </c>
      <c r="AP91" s="241">
        <f t="shared" si="35"/>
        <v>2062</v>
      </c>
      <c r="AQ91" s="243"/>
      <c r="AR91" s="243"/>
      <c r="AS91" s="243"/>
    </row>
    <row r="92" spans="1:45" ht="15.6" customHeight="1" x14ac:dyDescent="0.2">
      <c r="A92" s="310" t="s">
        <v>558</v>
      </c>
      <c r="B92" s="311"/>
      <c r="C92" s="311"/>
      <c r="D92" s="311"/>
      <c r="E92" s="311"/>
      <c r="F92" s="311"/>
      <c r="G92" s="311"/>
      <c r="H92" s="311"/>
      <c r="I92" s="311"/>
      <c r="J92" s="311"/>
      <c r="K92" s="311"/>
      <c r="L92" s="312">
        <v>10</v>
      </c>
      <c r="M92" s="311"/>
      <c r="N92" s="311"/>
      <c r="O92" s="311"/>
      <c r="P92" s="311"/>
      <c r="Q92" s="311"/>
      <c r="R92" s="311"/>
      <c r="S92" s="311"/>
      <c r="T92" s="311"/>
      <c r="U92" s="311"/>
      <c r="V92" s="311"/>
      <c r="W92" s="311"/>
      <c r="X92" s="311"/>
      <c r="Y92" s="311"/>
      <c r="Z92" s="311"/>
      <c r="AA92" s="311">
        <v>25</v>
      </c>
      <c r="AB92" s="311"/>
      <c r="AC92" s="311"/>
      <c r="AD92" s="311"/>
      <c r="AE92" s="311"/>
      <c r="AF92" s="311">
        <v>30</v>
      </c>
      <c r="AG92" s="311"/>
      <c r="AH92" s="311"/>
      <c r="AI92" s="311"/>
      <c r="AJ92" s="311"/>
      <c r="AK92" s="311"/>
      <c r="AL92" s="311"/>
      <c r="AM92" s="311"/>
      <c r="AN92" s="311"/>
      <c r="AO92" s="311"/>
      <c r="AP92" s="311">
        <v>40</v>
      </c>
    </row>
    <row r="93" spans="1:45" ht="12.75" x14ac:dyDescent="0.2">
      <c r="A93" s="313" t="s">
        <v>559</v>
      </c>
      <c r="B93" s="313"/>
      <c r="C93" s="313"/>
      <c r="D93" s="313"/>
      <c r="E93" s="313"/>
      <c r="F93" s="313"/>
      <c r="G93" s="313"/>
      <c r="H93" s="313"/>
      <c r="I93" s="313"/>
      <c r="J93" s="313"/>
      <c r="K93" s="313"/>
      <c r="L93" s="313"/>
      <c r="M93" s="313"/>
      <c r="N93" s="313"/>
      <c r="O93" s="313"/>
      <c r="P93" s="313"/>
      <c r="Q93" s="313"/>
      <c r="R93" s="313"/>
      <c r="S93" s="313"/>
      <c r="T93" s="313"/>
      <c r="U93" s="313"/>
      <c r="V93" s="313"/>
      <c r="W93" s="313"/>
      <c r="X93" s="313"/>
      <c r="Y93" s="313"/>
      <c r="Z93" s="313"/>
      <c r="AA93" s="313"/>
      <c r="AB93" s="313"/>
      <c r="AC93" s="313"/>
      <c r="AD93" s="313"/>
      <c r="AE93" s="313"/>
      <c r="AF93" s="313"/>
      <c r="AG93" s="313"/>
      <c r="AH93" s="313"/>
      <c r="AI93" s="313"/>
      <c r="AJ93" s="313"/>
      <c r="AK93" s="313"/>
      <c r="AL93" s="313"/>
      <c r="AM93" s="313"/>
      <c r="AN93" s="313"/>
      <c r="AO93" s="313"/>
      <c r="AP93" s="313"/>
    </row>
    <row r="94" spans="1:45" ht="12.75" x14ac:dyDescent="0.2">
      <c r="A94" s="313" t="s">
        <v>560</v>
      </c>
      <c r="B94" s="313"/>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c r="AL94" s="313"/>
      <c r="AM94" s="313"/>
      <c r="AN94" s="313"/>
      <c r="AO94" s="313"/>
      <c r="AP94" s="313"/>
    </row>
    <row r="95" spans="1:45" ht="12.75" x14ac:dyDescent="0.2">
      <c r="A95" s="313" t="s">
        <v>561</v>
      </c>
      <c r="B95" s="313"/>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c r="AJ95" s="313"/>
      <c r="AK95" s="313"/>
      <c r="AL95" s="313"/>
      <c r="AM95" s="313"/>
      <c r="AN95" s="313"/>
      <c r="AO95" s="313"/>
      <c r="AP95" s="313"/>
    </row>
    <row r="96" spans="1:45" ht="12.75" x14ac:dyDescent="0.2">
      <c r="A96" s="314" t="s">
        <v>562</v>
      </c>
      <c r="B96" s="311"/>
      <c r="C96" s="311"/>
      <c r="D96" s="311"/>
      <c r="E96" s="311"/>
      <c r="F96" s="311"/>
      <c r="G96" s="311"/>
      <c r="H96" s="311"/>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row>
    <row r="97" spans="1:71" ht="33" customHeight="1" x14ac:dyDescent="0.2">
      <c r="A97" s="453" t="s">
        <v>563</v>
      </c>
      <c r="B97" s="453"/>
      <c r="C97" s="453"/>
      <c r="D97" s="453"/>
      <c r="E97" s="453"/>
      <c r="F97" s="453"/>
      <c r="G97" s="453"/>
      <c r="H97" s="453"/>
      <c r="I97" s="453"/>
      <c r="J97" s="453"/>
      <c r="K97" s="453"/>
      <c r="L97" s="453"/>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5"/>
    </row>
    <row r="99" spans="1:71" s="321" customFormat="1" ht="16.5" thickTop="1" x14ac:dyDescent="0.2">
      <c r="A99" s="316" t="s">
        <v>564</v>
      </c>
      <c r="B99" s="317">
        <f>B81*B85</f>
        <v>-15271393.109284582</v>
      </c>
      <c r="C99" s="318">
        <f>C81*C85</f>
        <v>0</v>
      </c>
      <c r="D99" s="318">
        <f t="shared" ref="D99:AP99" si="36">D81*D85</f>
        <v>0</v>
      </c>
      <c r="E99" s="318">
        <f t="shared" si="36"/>
        <v>0</v>
      </c>
      <c r="F99" s="318">
        <f t="shared" si="36"/>
        <v>0</v>
      </c>
      <c r="G99" s="318">
        <f t="shared" si="36"/>
        <v>0</v>
      </c>
      <c r="H99" s="318">
        <f t="shared" si="36"/>
        <v>0</v>
      </c>
      <c r="I99" s="318">
        <f t="shared" si="36"/>
        <v>0</v>
      </c>
      <c r="J99" s="318">
        <f>J81*J85</f>
        <v>0</v>
      </c>
      <c r="K99" s="318">
        <f t="shared" si="36"/>
        <v>0</v>
      </c>
      <c r="L99" s="318">
        <f>L81*L85</f>
        <v>0</v>
      </c>
      <c r="M99" s="318">
        <f t="shared" si="36"/>
        <v>0</v>
      </c>
      <c r="N99" s="318">
        <f t="shared" si="36"/>
        <v>0</v>
      </c>
      <c r="O99" s="318">
        <f t="shared" si="36"/>
        <v>0</v>
      </c>
      <c r="P99" s="318">
        <f t="shared" si="36"/>
        <v>0</v>
      </c>
      <c r="Q99" s="318">
        <f t="shared" si="36"/>
        <v>0</v>
      </c>
      <c r="R99" s="318">
        <f t="shared" si="36"/>
        <v>0</v>
      </c>
      <c r="S99" s="318">
        <f t="shared" si="36"/>
        <v>0</v>
      </c>
      <c r="T99" s="318">
        <f t="shared" si="36"/>
        <v>0</v>
      </c>
      <c r="U99" s="318">
        <f t="shared" si="36"/>
        <v>0</v>
      </c>
      <c r="V99" s="318">
        <f t="shared" si="36"/>
        <v>0</v>
      </c>
      <c r="W99" s="318">
        <f t="shared" si="36"/>
        <v>0</v>
      </c>
      <c r="X99" s="318">
        <f t="shared" si="36"/>
        <v>0</v>
      </c>
      <c r="Y99" s="318">
        <f t="shared" si="36"/>
        <v>0</v>
      </c>
      <c r="Z99" s="318">
        <f t="shared" si="36"/>
        <v>0</v>
      </c>
      <c r="AA99" s="318">
        <f t="shared" si="36"/>
        <v>0</v>
      </c>
      <c r="AB99" s="318">
        <f t="shared" si="36"/>
        <v>0</v>
      </c>
      <c r="AC99" s="318">
        <f t="shared" si="36"/>
        <v>0</v>
      </c>
      <c r="AD99" s="318">
        <f t="shared" si="36"/>
        <v>0</v>
      </c>
      <c r="AE99" s="318">
        <f t="shared" si="36"/>
        <v>0</v>
      </c>
      <c r="AF99" s="318">
        <f t="shared" si="36"/>
        <v>0</v>
      </c>
      <c r="AG99" s="318">
        <f t="shared" si="36"/>
        <v>0</v>
      </c>
      <c r="AH99" s="318">
        <f t="shared" si="36"/>
        <v>0</v>
      </c>
      <c r="AI99" s="318">
        <f t="shared" si="36"/>
        <v>0</v>
      </c>
      <c r="AJ99" s="318">
        <f t="shared" si="36"/>
        <v>0</v>
      </c>
      <c r="AK99" s="318">
        <f t="shared" si="36"/>
        <v>0</v>
      </c>
      <c r="AL99" s="318">
        <f t="shared" si="36"/>
        <v>0</v>
      </c>
      <c r="AM99" s="318">
        <f t="shared" si="36"/>
        <v>0</v>
      </c>
      <c r="AN99" s="318">
        <f t="shared" si="36"/>
        <v>0</v>
      </c>
      <c r="AO99" s="318">
        <f t="shared" si="36"/>
        <v>0</v>
      </c>
      <c r="AP99" s="318">
        <f t="shared" si="36"/>
        <v>0</v>
      </c>
      <c r="AQ99" s="319">
        <f>SUM(B99:AP99)</f>
        <v>-15271393.109284582</v>
      </c>
      <c r="AR99" s="320"/>
      <c r="AS99" s="320"/>
    </row>
    <row r="100" spans="1:71" s="324" customFormat="1" x14ac:dyDescent="0.2">
      <c r="A100" s="322">
        <f>AQ99</f>
        <v>-15271393.109284582</v>
      </c>
      <c r="B100" s="32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3"/>
      <c r="AR100" s="243"/>
      <c r="AS100" s="243"/>
    </row>
    <row r="101" spans="1:71" s="324" customFormat="1" x14ac:dyDescent="0.2">
      <c r="A101" s="322">
        <f>AP87</f>
        <v>7521261.8503100947</v>
      </c>
      <c r="B101" s="32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3"/>
      <c r="AR101" s="243"/>
      <c r="AS101" s="243"/>
    </row>
    <row r="102" spans="1:71" s="324" customFormat="1" x14ac:dyDescent="0.2">
      <c r="A102" s="325" t="s">
        <v>565</v>
      </c>
      <c r="B102" s="370">
        <f>(A101+-A100)/-A100</f>
        <v>1.4925065969087898</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3"/>
      <c r="AR102" s="243"/>
      <c r="AS102" s="243"/>
    </row>
    <row r="103" spans="1:71" s="324" customFormat="1" x14ac:dyDescent="0.2">
      <c r="A103" s="326"/>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3"/>
      <c r="AR103" s="243"/>
      <c r="AS103" s="243"/>
    </row>
    <row r="104" spans="1:71" ht="12.75" x14ac:dyDescent="0.2">
      <c r="A104" s="371" t="s">
        <v>566</v>
      </c>
      <c r="B104" s="371" t="s">
        <v>567</v>
      </c>
      <c r="C104" s="371" t="s">
        <v>568</v>
      </c>
      <c r="D104" s="371" t="s">
        <v>569</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72">
        <f>G30/1000/1000</f>
        <v>4.7259192388860347</v>
      </c>
      <c r="B105" s="373">
        <f>L88</f>
        <v>0.49623101367713018</v>
      </c>
      <c r="C105" s="374">
        <f>G28</f>
        <v>3.4849806949349262</v>
      </c>
      <c r="D105" s="374">
        <f>G29</f>
        <v>4.3179596172785324</v>
      </c>
      <c r="E105" s="329" t="s">
        <v>570</v>
      </c>
      <c r="F105" s="329"/>
      <c r="G105" s="329"/>
      <c r="H105" s="329"/>
      <c r="I105" s="329"/>
      <c r="J105" s="329"/>
      <c r="K105" s="329"/>
      <c r="L105" s="329"/>
      <c r="M105" s="329"/>
      <c r="N105" s="329"/>
      <c r="O105" s="329"/>
      <c r="P105" s="329"/>
      <c r="Q105" s="329"/>
      <c r="R105" s="329"/>
      <c r="S105" s="329"/>
      <c r="T105" s="329"/>
      <c r="U105" s="329"/>
      <c r="V105" s="329"/>
      <c r="W105" s="329"/>
      <c r="X105" s="329"/>
      <c r="Y105" s="329"/>
      <c r="Z105" s="329"/>
      <c r="AA105" s="329"/>
      <c r="AB105" s="329"/>
      <c r="AC105" s="329"/>
      <c r="AD105" s="329"/>
      <c r="AE105" s="329"/>
      <c r="AF105" s="329"/>
      <c r="AG105" s="329"/>
      <c r="AH105" s="329"/>
      <c r="AI105" s="329"/>
      <c r="AJ105" s="329"/>
      <c r="AK105" s="329"/>
      <c r="AL105" s="329"/>
      <c r="AM105" s="329"/>
      <c r="AN105" s="329"/>
      <c r="AO105" s="329"/>
      <c r="AP105" s="329"/>
      <c r="AQ105" s="329"/>
      <c r="AR105" s="329"/>
      <c r="AS105" s="329"/>
      <c r="AT105" s="329"/>
      <c r="AU105" s="329"/>
      <c r="AV105" s="329"/>
      <c r="AW105" s="329"/>
      <c r="AX105" s="329"/>
      <c r="AY105" s="329"/>
      <c r="AZ105" s="329"/>
      <c r="BA105" s="329"/>
      <c r="BB105" s="329"/>
      <c r="BC105" s="329"/>
      <c r="BD105" s="329"/>
      <c r="BE105" s="329"/>
      <c r="BF105" s="329"/>
      <c r="BG105" s="329"/>
      <c r="BH105" s="329"/>
      <c r="BI105" s="329"/>
      <c r="BJ105" s="329"/>
      <c r="BK105" s="329"/>
      <c r="BL105" s="329"/>
      <c r="BM105" s="329"/>
      <c r="BN105" s="329"/>
      <c r="BO105" s="329"/>
      <c r="BP105" s="329"/>
      <c r="BQ105" s="329"/>
      <c r="BR105" s="329"/>
      <c r="BS105" s="329"/>
    </row>
    <row r="106" spans="1:71" ht="12.75" x14ac:dyDescent="0.2">
      <c r="A106" s="330"/>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2.75" x14ac:dyDescent="0.2">
      <c r="A107" s="375"/>
      <c r="B107" s="376">
        <v>2016</v>
      </c>
      <c r="C107" s="376">
        <v>2017</v>
      </c>
      <c r="D107" s="377">
        <f t="shared" ref="D107:AP107" si="37">C107+1</f>
        <v>2018</v>
      </c>
      <c r="E107" s="377">
        <f t="shared" si="37"/>
        <v>2019</v>
      </c>
      <c r="F107" s="377">
        <f t="shared" si="37"/>
        <v>2020</v>
      </c>
      <c r="G107" s="377">
        <f t="shared" si="37"/>
        <v>2021</v>
      </c>
      <c r="H107" s="377">
        <f t="shared" si="37"/>
        <v>2022</v>
      </c>
      <c r="I107" s="377">
        <f t="shared" si="37"/>
        <v>2023</v>
      </c>
      <c r="J107" s="377">
        <f t="shared" si="37"/>
        <v>2024</v>
      </c>
      <c r="K107" s="377">
        <f t="shared" si="37"/>
        <v>2025</v>
      </c>
      <c r="L107" s="377">
        <f t="shared" si="37"/>
        <v>2026</v>
      </c>
      <c r="M107" s="377">
        <f t="shared" si="37"/>
        <v>2027</v>
      </c>
      <c r="N107" s="377">
        <f t="shared" si="37"/>
        <v>2028</v>
      </c>
      <c r="O107" s="377">
        <f t="shared" si="37"/>
        <v>2029</v>
      </c>
      <c r="P107" s="377">
        <f t="shared" si="37"/>
        <v>2030</v>
      </c>
      <c r="Q107" s="377">
        <f t="shared" si="37"/>
        <v>2031</v>
      </c>
      <c r="R107" s="377">
        <f t="shared" si="37"/>
        <v>2032</v>
      </c>
      <c r="S107" s="377">
        <f t="shared" si="37"/>
        <v>2033</v>
      </c>
      <c r="T107" s="377">
        <f t="shared" si="37"/>
        <v>2034</v>
      </c>
      <c r="U107" s="377">
        <f t="shared" si="37"/>
        <v>2035</v>
      </c>
      <c r="V107" s="377">
        <f t="shared" si="37"/>
        <v>2036</v>
      </c>
      <c r="W107" s="377">
        <f t="shared" si="37"/>
        <v>2037</v>
      </c>
      <c r="X107" s="377">
        <f t="shared" si="37"/>
        <v>2038</v>
      </c>
      <c r="Y107" s="377">
        <f t="shared" si="37"/>
        <v>2039</v>
      </c>
      <c r="Z107" s="377">
        <f t="shared" si="37"/>
        <v>2040</v>
      </c>
      <c r="AA107" s="377">
        <f t="shared" si="37"/>
        <v>2041</v>
      </c>
      <c r="AB107" s="377">
        <f t="shared" si="37"/>
        <v>2042</v>
      </c>
      <c r="AC107" s="377">
        <f t="shared" si="37"/>
        <v>2043</v>
      </c>
      <c r="AD107" s="377">
        <f t="shared" si="37"/>
        <v>2044</v>
      </c>
      <c r="AE107" s="377">
        <f t="shared" si="37"/>
        <v>2045</v>
      </c>
      <c r="AF107" s="377">
        <f t="shared" si="37"/>
        <v>2046</v>
      </c>
      <c r="AG107" s="377">
        <f t="shared" si="37"/>
        <v>2047</v>
      </c>
      <c r="AH107" s="377">
        <f t="shared" si="37"/>
        <v>2048</v>
      </c>
      <c r="AI107" s="377">
        <f t="shared" si="37"/>
        <v>2049</v>
      </c>
      <c r="AJ107" s="377">
        <f t="shared" si="37"/>
        <v>2050</v>
      </c>
      <c r="AK107" s="377">
        <f t="shared" si="37"/>
        <v>2051</v>
      </c>
      <c r="AL107" s="377">
        <f t="shared" si="37"/>
        <v>2052</v>
      </c>
      <c r="AM107" s="377">
        <f t="shared" si="37"/>
        <v>2053</v>
      </c>
      <c r="AN107" s="377">
        <f t="shared" si="37"/>
        <v>2054</v>
      </c>
      <c r="AO107" s="377">
        <f t="shared" si="37"/>
        <v>2055</v>
      </c>
      <c r="AP107" s="377">
        <f t="shared" si="37"/>
        <v>2056</v>
      </c>
      <c r="AT107" s="324"/>
      <c r="AU107" s="324"/>
      <c r="AV107" s="324"/>
      <c r="AW107" s="324"/>
      <c r="AX107" s="324"/>
      <c r="AY107" s="324"/>
      <c r="AZ107" s="324"/>
      <c r="BA107" s="324"/>
      <c r="BB107" s="324"/>
      <c r="BC107" s="324"/>
      <c r="BD107" s="324"/>
      <c r="BE107" s="324"/>
      <c r="BF107" s="324"/>
      <c r="BG107" s="324"/>
    </row>
    <row r="108" spans="1:71" ht="12.75" x14ac:dyDescent="0.2">
      <c r="A108" s="378" t="s">
        <v>571</v>
      </c>
      <c r="B108" s="379"/>
      <c r="C108" s="379">
        <f>C109*$B$111*$B$112*1000</f>
        <v>1541231.1763200006</v>
      </c>
      <c r="D108" s="379">
        <f t="shared" ref="D108:AP108" si="38">D109*$B$111*$B$112*1000</f>
        <v>3082462.3526400011</v>
      </c>
      <c r="E108" s="379">
        <f>E109*$B$111*$B$112*1000</f>
        <v>4670397.5040000016</v>
      </c>
      <c r="F108" s="379">
        <f t="shared" si="38"/>
        <v>4670397.5040000016</v>
      </c>
      <c r="G108" s="379">
        <f t="shared" si="38"/>
        <v>4670397.5040000016</v>
      </c>
      <c r="H108" s="379">
        <f t="shared" si="38"/>
        <v>4670397.5040000016</v>
      </c>
      <c r="I108" s="379">
        <f t="shared" si="38"/>
        <v>4670397.5040000016</v>
      </c>
      <c r="J108" s="379">
        <f t="shared" si="38"/>
        <v>4670397.5040000016</v>
      </c>
      <c r="K108" s="379">
        <f t="shared" si="38"/>
        <v>4670397.5040000016</v>
      </c>
      <c r="L108" s="379">
        <f t="shared" si="38"/>
        <v>4670397.5040000016</v>
      </c>
      <c r="M108" s="379">
        <f t="shared" si="38"/>
        <v>4670397.5040000016</v>
      </c>
      <c r="N108" s="379">
        <f t="shared" si="38"/>
        <v>4670397.5040000016</v>
      </c>
      <c r="O108" s="379">
        <f t="shared" si="38"/>
        <v>4670397.5040000016</v>
      </c>
      <c r="P108" s="379">
        <f t="shared" si="38"/>
        <v>4670397.5040000016</v>
      </c>
      <c r="Q108" s="379">
        <f t="shared" si="38"/>
        <v>4670397.5040000016</v>
      </c>
      <c r="R108" s="379">
        <f t="shared" si="38"/>
        <v>4670397.5040000016</v>
      </c>
      <c r="S108" s="379">
        <f t="shared" si="38"/>
        <v>4670397.5040000016</v>
      </c>
      <c r="T108" s="379">
        <f t="shared" si="38"/>
        <v>4670397.5040000016</v>
      </c>
      <c r="U108" s="379">
        <f t="shared" si="38"/>
        <v>4670397.5040000016</v>
      </c>
      <c r="V108" s="379">
        <f t="shared" si="38"/>
        <v>4670397.5040000016</v>
      </c>
      <c r="W108" s="379">
        <f t="shared" si="38"/>
        <v>4670397.5040000016</v>
      </c>
      <c r="X108" s="379">
        <f t="shared" si="38"/>
        <v>4670397.5040000016</v>
      </c>
      <c r="Y108" s="379">
        <f t="shared" si="38"/>
        <v>4670397.5040000016</v>
      </c>
      <c r="Z108" s="379">
        <f t="shared" si="38"/>
        <v>4670397.5040000016</v>
      </c>
      <c r="AA108" s="379">
        <f t="shared" si="38"/>
        <v>4670397.5040000016</v>
      </c>
      <c r="AB108" s="379">
        <f t="shared" si="38"/>
        <v>4670397.5040000016</v>
      </c>
      <c r="AC108" s="379">
        <f t="shared" si="38"/>
        <v>4670397.5040000016</v>
      </c>
      <c r="AD108" s="379">
        <f t="shared" si="38"/>
        <v>4670397.5040000016</v>
      </c>
      <c r="AE108" s="379">
        <f t="shared" si="38"/>
        <v>4670397.5040000016</v>
      </c>
      <c r="AF108" s="379">
        <f t="shared" si="38"/>
        <v>4670397.5040000016</v>
      </c>
      <c r="AG108" s="379">
        <f t="shared" si="38"/>
        <v>4670397.5040000016</v>
      </c>
      <c r="AH108" s="379">
        <f t="shared" si="38"/>
        <v>4670397.5040000016</v>
      </c>
      <c r="AI108" s="379">
        <f t="shared" si="38"/>
        <v>4670397.5040000016</v>
      </c>
      <c r="AJ108" s="379">
        <f t="shared" si="38"/>
        <v>4670397.5040000016</v>
      </c>
      <c r="AK108" s="379">
        <f t="shared" si="38"/>
        <v>4670397.5040000016</v>
      </c>
      <c r="AL108" s="379">
        <f t="shared" si="38"/>
        <v>4670397.5040000016</v>
      </c>
      <c r="AM108" s="379">
        <f t="shared" si="38"/>
        <v>4670397.5040000016</v>
      </c>
      <c r="AN108" s="379">
        <f t="shared" si="38"/>
        <v>4670397.5040000016</v>
      </c>
      <c r="AO108" s="379">
        <f t="shared" si="38"/>
        <v>4670397.5040000016</v>
      </c>
      <c r="AP108" s="379">
        <f t="shared" si="38"/>
        <v>4670397.5040000016</v>
      </c>
      <c r="AT108" s="324"/>
      <c r="AU108" s="324"/>
      <c r="AV108" s="324"/>
      <c r="AW108" s="324"/>
      <c r="AX108" s="324"/>
      <c r="AY108" s="324"/>
      <c r="AZ108" s="324"/>
      <c r="BA108" s="324"/>
      <c r="BB108" s="324"/>
      <c r="BC108" s="324"/>
      <c r="BD108" s="324"/>
      <c r="BE108" s="324"/>
      <c r="BF108" s="324"/>
      <c r="BG108" s="324"/>
    </row>
    <row r="109" spans="1:71" ht="12.75" x14ac:dyDescent="0.2">
      <c r="A109" s="378" t="s">
        <v>572</v>
      </c>
      <c r="B109" s="377"/>
      <c r="C109" s="377">
        <f>B109+$I$120*C113</f>
        <v>0.24552000000000004</v>
      </c>
      <c r="D109" s="377">
        <f>C109+$I$120*D113</f>
        <v>0.49104000000000009</v>
      </c>
      <c r="E109" s="377">
        <f t="shared" ref="E109:AP109" si="39">D109+$I$120*E113</f>
        <v>0.74400000000000022</v>
      </c>
      <c r="F109" s="377">
        <f t="shared" si="39"/>
        <v>0.74400000000000022</v>
      </c>
      <c r="G109" s="377">
        <f t="shared" si="39"/>
        <v>0.74400000000000022</v>
      </c>
      <c r="H109" s="377">
        <f t="shared" si="39"/>
        <v>0.74400000000000022</v>
      </c>
      <c r="I109" s="377">
        <f t="shared" si="39"/>
        <v>0.74400000000000022</v>
      </c>
      <c r="J109" s="377">
        <f t="shared" si="39"/>
        <v>0.74400000000000022</v>
      </c>
      <c r="K109" s="377">
        <f t="shared" si="39"/>
        <v>0.74400000000000022</v>
      </c>
      <c r="L109" s="377">
        <f t="shared" si="39"/>
        <v>0.74400000000000022</v>
      </c>
      <c r="M109" s="377">
        <f t="shared" si="39"/>
        <v>0.74400000000000022</v>
      </c>
      <c r="N109" s="377">
        <f t="shared" si="39"/>
        <v>0.74400000000000022</v>
      </c>
      <c r="O109" s="377">
        <f t="shared" si="39"/>
        <v>0.74400000000000022</v>
      </c>
      <c r="P109" s="377">
        <f t="shared" si="39"/>
        <v>0.74400000000000022</v>
      </c>
      <c r="Q109" s="377">
        <f t="shared" si="39"/>
        <v>0.74400000000000022</v>
      </c>
      <c r="R109" s="377">
        <f t="shared" si="39"/>
        <v>0.74400000000000022</v>
      </c>
      <c r="S109" s="377">
        <f t="shared" si="39"/>
        <v>0.74400000000000022</v>
      </c>
      <c r="T109" s="377">
        <f t="shared" si="39"/>
        <v>0.74400000000000022</v>
      </c>
      <c r="U109" s="377">
        <f t="shared" si="39"/>
        <v>0.74400000000000022</v>
      </c>
      <c r="V109" s="377">
        <f t="shared" si="39"/>
        <v>0.74400000000000022</v>
      </c>
      <c r="W109" s="377">
        <f t="shared" si="39"/>
        <v>0.74400000000000022</v>
      </c>
      <c r="X109" s="377">
        <f t="shared" si="39"/>
        <v>0.74400000000000022</v>
      </c>
      <c r="Y109" s="377">
        <f t="shared" si="39"/>
        <v>0.74400000000000022</v>
      </c>
      <c r="Z109" s="377">
        <f t="shared" si="39"/>
        <v>0.74400000000000022</v>
      </c>
      <c r="AA109" s="377">
        <f t="shared" si="39"/>
        <v>0.74400000000000022</v>
      </c>
      <c r="AB109" s="377">
        <f t="shared" si="39"/>
        <v>0.74400000000000022</v>
      </c>
      <c r="AC109" s="377">
        <f t="shared" si="39"/>
        <v>0.74400000000000022</v>
      </c>
      <c r="AD109" s="377">
        <f t="shared" si="39"/>
        <v>0.74400000000000022</v>
      </c>
      <c r="AE109" s="377">
        <f t="shared" si="39"/>
        <v>0.74400000000000022</v>
      </c>
      <c r="AF109" s="377">
        <f t="shared" si="39"/>
        <v>0.74400000000000022</v>
      </c>
      <c r="AG109" s="377">
        <f t="shared" si="39"/>
        <v>0.74400000000000022</v>
      </c>
      <c r="AH109" s="377">
        <f t="shared" si="39"/>
        <v>0.74400000000000022</v>
      </c>
      <c r="AI109" s="377">
        <f t="shared" si="39"/>
        <v>0.74400000000000022</v>
      </c>
      <c r="AJ109" s="377">
        <f t="shared" si="39"/>
        <v>0.74400000000000022</v>
      </c>
      <c r="AK109" s="377">
        <f t="shared" si="39"/>
        <v>0.74400000000000022</v>
      </c>
      <c r="AL109" s="377">
        <f t="shared" si="39"/>
        <v>0.74400000000000022</v>
      </c>
      <c r="AM109" s="377">
        <f t="shared" si="39"/>
        <v>0.74400000000000022</v>
      </c>
      <c r="AN109" s="377">
        <f t="shared" si="39"/>
        <v>0.74400000000000022</v>
      </c>
      <c r="AO109" s="377">
        <f t="shared" si="39"/>
        <v>0.74400000000000022</v>
      </c>
      <c r="AP109" s="377">
        <f t="shared" si="39"/>
        <v>0.74400000000000022</v>
      </c>
      <c r="AT109" s="324"/>
      <c r="AU109" s="324"/>
      <c r="AV109" s="324"/>
      <c r="AW109" s="324"/>
      <c r="AX109" s="324"/>
      <c r="AY109" s="324"/>
      <c r="AZ109" s="324"/>
      <c r="BA109" s="324"/>
      <c r="BB109" s="324"/>
      <c r="BC109" s="324"/>
      <c r="BD109" s="324"/>
      <c r="BE109" s="324"/>
      <c r="BF109" s="324"/>
      <c r="BG109" s="324"/>
    </row>
    <row r="110" spans="1:71" ht="12.75" x14ac:dyDescent="0.2">
      <c r="A110" s="378" t="s">
        <v>573</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324"/>
      <c r="AU110" s="324"/>
      <c r="AV110" s="324"/>
      <c r="AW110" s="324"/>
      <c r="AX110" s="324"/>
      <c r="AY110" s="324"/>
      <c r="AZ110" s="324"/>
      <c r="BA110" s="324"/>
      <c r="BB110" s="324"/>
      <c r="BC110" s="324"/>
      <c r="BD110" s="324"/>
      <c r="BE110" s="324"/>
      <c r="BF110" s="324"/>
      <c r="BG110" s="324"/>
    </row>
    <row r="111" spans="1:71" ht="12.75" x14ac:dyDescent="0.2">
      <c r="A111" s="378" t="s">
        <v>574</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324"/>
      <c r="AU111" s="324"/>
      <c r="AV111" s="324"/>
      <c r="AW111" s="324"/>
      <c r="AX111" s="324"/>
      <c r="AY111" s="324"/>
      <c r="AZ111" s="324"/>
      <c r="BA111" s="324"/>
      <c r="BB111" s="324"/>
      <c r="BC111" s="324"/>
      <c r="BD111" s="324"/>
      <c r="BE111" s="324"/>
      <c r="BF111" s="324"/>
      <c r="BG111" s="324"/>
    </row>
    <row r="112" spans="1:71" ht="12.75" x14ac:dyDescent="0.2">
      <c r="A112" s="378" t="s">
        <v>575</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324"/>
      <c r="AU112" s="324"/>
      <c r="AV112" s="324"/>
      <c r="AW112" s="324"/>
      <c r="AX112" s="324"/>
      <c r="AY112" s="324"/>
      <c r="AZ112" s="324"/>
      <c r="BA112" s="324"/>
      <c r="BB112" s="324"/>
      <c r="BC112" s="324"/>
      <c r="BD112" s="324"/>
      <c r="BE112" s="324"/>
      <c r="BF112" s="324"/>
      <c r="BG112" s="324"/>
    </row>
    <row r="113" spans="1:71" ht="15" x14ac:dyDescent="0.2">
      <c r="A113" s="381" t="s">
        <v>576</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324"/>
      <c r="AU113" s="324"/>
      <c r="AV113" s="324"/>
      <c r="AW113" s="324"/>
      <c r="AX113" s="324"/>
      <c r="AY113" s="324"/>
      <c r="AZ113" s="324"/>
      <c r="BA113" s="324"/>
      <c r="BB113" s="324"/>
      <c r="BC113" s="324"/>
      <c r="BD113" s="324"/>
      <c r="BE113" s="324"/>
      <c r="BF113" s="324"/>
      <c r="BG113" s="324"/>
    </row>
    <row r="114" spans="1:71" ht="12.75" x14ac:dyDescent="0.2">
      <c r="A114" s="330"/>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0"/>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x14ac:dyDescent="0.2">
      <c r="A116" s="375"/>
      <c r="B116" s="454" t="s">
        <v>577</v>
      </c>
      <c r="C116" s="455"/>
      <c r="D116" s="454" t="s">
        <v>578</v>
      </c>
      <c r="E116" s="455"/>
      <c r="F116" s="375"/>
      <c r="G116" s="375"/>
      <c r="H116" s="375"/>
      <c r="I116" s="375"/>
      <c r="J116" s="375"/>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78" t="s">
        <v>579</v>
      </c>
      <c r="B117" s="384"/>
      <c r="C117" s="375" t="s">
        <v>580</v>
      </c>
      <c r="D117" s="384">
        <f>'3.1. паспорт Техсостояние ПС'!O25</f>
        <v>0.8</v>
      </c>
      <c r="E117" s="375" t="s">
        <v>580</v>
      </c>
      <c r="F117" s="375"/>
      <c r="G117" s="375"/>
      <c r="H117" s="375"/>
      <c r="I117" s="375"/>
      <c r="J117" s="375"/>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78" t="s">
        <v>579</v>
      </c>
      <c r="B118" s="375">
        <f>$B$110*B117</f>
        <v>0</v>
      </c>
      <c r="C118" s="375" t="s">
        <v>125</v>
      </c>
      <c r="D118" s="375">
        <f>$B$110*D117</f>
        <v>0.74400000000000011</v>
      </c>
      <c r="E118" s="375" t="s">
        <v>125</v>
      </c>
      <c r="F118" s="378" t="s">
        <v>581</v>
      </c>
      <c r="G118" s="375">
        <f>D117-B117</f>
        <v>0.8</v>
      </c>
      <c r="H118" s="375" t="s">
        <v>580</v>
      </c>
      <c r="I118" s="385">
        <f>$B$110*G118</f>
        <v>0.74400000000000011</v>
      </c>
      <c r="J118" s="375" t="s">
        <v>125</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75"/>
      <c r="B119" s="375"/>
      <c r="C119" s="375"/>
      <c r="D119" s="375"/>
      <c r="E119" s="375"/>
      <c r="F119" s="378" t="s">
        <v>582</v>
      </c>
      <c r="G119" s="375">
        <f>I119/$B$110</f>
        <v>0</v>
      </c>
      <c r="H119" s="375" t="s">
        <v>580</v>
      </c>
      <c r="I119" s="384"/>
      <c r="J119" s="375" t="s">
        <v>125</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86"/>
      <c r="B120" s="387"/>
      <c r="C120" s="387"/>
      <c r="D120" s="387"/>
      <c r="E120" s="387"/>
      <c r="F120" s="388" t="s">
        <v>583</v>
      </c>
      <c r="G120" s="385">
        <f>G118</f>
        <v>0.8</v>
      </c>
      <c r="H120" s="375" t="s">
        <v>580</v>
      </c>
      <c r="I120" s="380">
        <f>I118</f>
        <v>0.74400000000000011</v>
      </c>
      <c r="J120" s="375" t="s">
        <v>125</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31"/>
      <c r="B121" s="329"/>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89" t="s">
        <v>584</v>
      </c>
      <c r="B122" s="390">
        <v>35.344380000000001</v>
      </c>
      <c r="C122" s="329"/>
      <c r="D122" s="456" t="s">
        <v>251</v>
      </c>
      <c r="E122" s="332" t="s">
        <v>585</v>
      </c>
      <c r="F122" s="333">
        <v>35</v>
      </c>
      <c r="G122" s="457" t="s">
        <v>586</v>
      </c>
      <c r="H122" s="329"/>
      <c r="I122" s="329"/>
      <c r="J122" s="329"/>
      <c r="K122" s="329"/>
      <c r="L122" s="329"/>
      <c r="M122" s="329"/>
      <c r="N122" s="329"/>
      <c r="O122" s="329"/>
      <c r="P122" s="329"/>
      <c r="Q122" s="329"/>
      <c r="R122" s="329"/>
      <c r="S122" s="329"/>
      <c r="T122" s="329"/>
      <c r="U122" s="329"/>
      <c r="V122" s="329"/>
      <c r="W122" s="329"/>
      <c r="X122" s="329"/>
      <c r="Y122" s="329"/>
      <c r="Z122" s="329"/>
      <c r="AA122" s="329"/>
      <c r="AB122" s="329"/>
      <c r="AC122" s="329"/>
      <c r="AD122" s="329"/>
      <c r="AE122" s="329"/>
      <c r="AF122" s="329"/>
      <c r="AG122" s="329"/>
      <c r="AH122" s="329"/>
      <c r="AI122" s="329"/>
      <c r="AJ122" s="329"/>
      <c r="AK122" s="329"/>
      <c r="AL122" s="329"/>
      <c r="AM122" s="329"/>
      <c r="AN122" s="329"/>
      <c r="AO122" s="329"/>
      <c r="AP122" s="329"/>
      <c r="AQ122" s="329"/>
      <c r="AR122" s="329"/>
      <c r="AS122" s="329"/>
      <c r="AT122" s="329"/>
      <c r="AU122" s="329"/>
      <c r="AV122" s="329"/>
      <c r="AW122" s="329"/>
      <c r="AX122" s="329"/>
      <c r="AY122" s="329"/>
      <c r="AZ122" s="329"/>
      <c r="BA122" s="329"/>
      <c r="BB122" s="329"/>
      <c r="BC122" s="329"/>
      <c r="BD122" s="329"/>
      <c r="BE122" s="329"/>
      <c r="BF122" s="329"/>
      <c r="BG122" s="329"/>
      <c r="BH122" s="329"/>
      <c r="BI122" s="329"/>
      <c r="BJ122" s="329"/>
      <c r="BK122" s="329"/>
      <c r="BL122" s="329"/>
      <c r="BM122" s="329"/>
      <c r="BN122" s="329"/>
      <c r="BO122" s="329"/>
      <c r="BP122" s="329"/>
      <c r="BQ122" s="329"/>
      <c r="BR122" s="329"/>
      <c r="BS122" s="329"/>
    </row>
    <row r="123" spans="1:71" x14ac:dyDescent="0.2">
      <c r="A123" s="389" t="s">
        <v>251</v>
      </c>
      <c r="B123" s="391">
        <v>30</v>
      </c>
      <c r="C123" s="329"/>
      <c r="D123" s="456"/>
      <c r="E123" s="332" t="s">
        <v>545</v>
      </c>
      <c r="F123" s="333">
        <v>30</v>
      </c>
      <c r="G123" s="457"/>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29"/>
      <c r="AQ123" s="329"/>
      <c r="AR123" s="329"/>
      <c r="AS123" s="329"/>
      <c r="AT123" s="329"/>
      <c r="AU123" s="329"/>
      <c r="AV123" s="329"/>
      <c r="AW123" s="329"/>
      <c r="AX123" s="329"/>
      <c r="AY123" s="329"/>
      <c r="AZ123" s="329"/>
      <c r="BA123" s="329"/>
      <c r="BB123" s="329"/>
      <c r="BC123" s="329"/>
      <c r="BD123" s="329"/>
      <c r="BE123" s="329"/>
      <c r="BF123" s="329"/>
      <c r="BG123" s="329"/>
      <c r="BH123" s="329"/>
      <c r="BI123" s="329"/>
      <c r="BJ123" s="329"/>
      <c r="BK123" s="329"/>
      <c r="BL123" s="329"/>
      <c r="BM123" s="329"/>
      <c r="BN123" s="329"/>
      <c r="BO123" s="329"/>
      <c r="BP123" s="329"/>
      <c r="BQ123" s="329"/>
      <c r="BR123" s="329"/>
      <c r="BS123" s="329"/>
    </row>
    <row r="124" spans="1:71" x14ac:dyDescent="0.2">
      <c r="A124" s="389" t="s">
        <v>587</v>
      </c>
      <c r="B124" s="391" t="s">
        <v>542</v>
      </c>
      <c r="C124" s="334" t="s">
        <v>588</v>
      </c>
      <c r="D124" s="456"/>
      <c r="E124" s="332" t="s">
        <v>589</v>
      </c>
      <c r="F124" s="333">
        <v>30</v>
      </c>
      <c r="G124" s="457"/>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29"/>
      <c r="AI124" s="329"/>
      <c r="AJ124" s="329"/>
      <c r="AK124" s="329"/>
      <c r="AL124" s="329"/>
      <c r="AM124" s="329"/>
      <c r="AN124" s="329"/>
      <c r="AO124" s="329"/>
      <c r="AP124" s="329"/>
      <c r="AQ124" s="329"/>
      <c r="AR124" s="329"/>
      <c r="AS124" s="329"/>
      <c r="AT124" s="329"/>
      <c r="AU124" s="329"/>
      <c r="AV124" s="329"/>
      <c r="AW124" s="329"/>
      <c r="AX124" s="329"/>
      <c r="AY124" s="329"/>
      <c r="AZ124" s="329"/>
      <c r="BA124" s="329"/>
      <c r="BB124" s="329"/>
      <c r="BC124" s="329"/>
      <c r="BD124" s="329"/>
      <c r="BE124" s="329"/>
      <c r="BF124" s="329"/>
      <c r="BG124" s="329"/>
      <c r="BH124" s="329"/>
      <c r="BI124" s="329"/>
      <c r="BJ124" s="329"/>
      <c r="BK124" s="329"/>
      <c r="BL124" s="329"/>
      <c r="BM124" s="329"/>
      <c r="BN124" s="329"/>
      <c r="BO124" s="329"/>
      <c r="BP124" s="329"/>
      <c r="BQ124" s="329"/>
      <c r="BR124" s="329"/>
      <c r="BS124" s="329"/>
    </row>
    <row r="125" spans="1:71" s="291" customFormat="1" x14ac:dyDescent="0.2">
      <c r="A125" s="335"/>
      <c r="B125" s="336"/>
      <c r="C125" s="337"/>
      <c r="D125" s="456"/>
      <c r="E125" s="332" t="s">
        <v>590</v>
      </c>
      <c r="F125" s="333">
        <v>30</v>
      </c>
      <c r="G125" s="457"/>
      <c r="H125" s="338"/>
      <c r="I125" s="338"/>
      <c r="J125" s="338"/>
      <c r="K125" s="338"/>
      <c r="L125" s="338"/>
      <c r="M125" s="338"/>
      <c r="N125" s="338"/>
      <c r="O125" s="338"/>
      <c r="P125" s="338"/>
      <c r="Q125" s="338"/>
      <c r="R125" s="338"/>
      <c r="S125" s="338"/>
      <c r="T125" s="338"/>
      <c r="U125" s="338"/>
      <c r="V125" s="338"/>
      <c r="W125" s="338"/>
      <c r="X125" s="338"/>
      <c r="Y125" s="338"/>
      <c r="Z125" s="338"/>
      <c r="AA125" s="338"/>
      <c r="AB125" s="338"/>
      <c r="AC125" s="338"/>
      <c r="AD125" s="338"/>
      <c r="AE125" s="338"/>
      <c r="AF125" s="338"/>
      <c r="AG125" s="338"/>
      <c r="AH125" s="338"/>
      <c r="AI125" s="338"/>
      <c r="AJ125" s="338"/>
      <c r="AK125" s="338"/>
      <c r="AL125" s="338"/>
      <c r="AM125" s="338"/>
      <c r="AN125" s="338"/>
      <c r="AO125" s="338"/>
      <c r="AP125" s="338"/>
      <c r="AQ125" s="338"/>
      <c r="AR125" s="338"/>
      <c r="AS125" s="338"/>
      <c r="AT125" s="338"/>
      <c r="AU125" s="338"/>
      <c r="AV125" s="338"/>
      <c r="AW125" s="338"/>
      <c r="AX125" s="338"/>
      <c r="AY125" s="338"/>
      <c r="AZ125" s="338"/>
      <c r="BA125" s="338"/>
      <c r="BB125" s="338"/>
      <c r="BC125" s="338"/>
      <c r="BD125" s="338"/>
      <c r="BE125" s="338"/>
      <c r="BF125" s="338"/>
      <c r="BG125" s="338"/>
      <c r="BH125" s="338"/>
      <c r="BI125" s="338"/>
      <c r="BJ125" s="338"/>
      <c r="BK125" s="338"/>
      <c r="BL125" s="338"/>
      <c r="BM125" s="338"/>
      <c r="BN125" s="338"/>
      <c r="BO125" s="338"/>
      <c r="BP125" s="338"/>
      <c r="BQ125" s="338"/>
      <c r="BR125" s="338"/>
      <c r="BS125" s="338"/>
    </row>
    <row r="126" spans="1:71" ht="12.75" x14ac:dyDescent="0.2">
      <c r="A126" s="389" t="s">
        <v>591</v>
      </c>
      <c r="B126" s="392">
        <f>$B$122*1000*1000</f>
        <v>35344380.000000007</v>
      </c>
      <c r="C126" s="329"/>
      <c r="D126" s="329"/>
      <c r="E126" s="329"/>
      <c r="F126" s="329"/>
      <c r="G126" s="329"/>
      <c r="H126" s="329"/>
      <c r="I126" s="329"/>
      <c r="J126" s="329"/>
      <c r="K126" s="329"/>
      <c r="L126" s="329"/>
      <c r="M126" s="329"/>
      <c r="N126" s="329"/>
      <c r="O126" s="329"/>
      <c r="P126" s="329"/>
      <c r="Q126" s="329"/>
      <c r="R126" s="329"/>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29"/>
      <c r="BC126" s="329"/>
      <c r="BD126" s="329"/>
      <c r="BE126" s="329"/>
      <c r="BF126" s="329"/>
      <c r="BG126" s="329"/>
      <c r="BH126" s="329"/>
      <c r="BI126" s="329"/>
      <c r="BJ126" s="329"/>
      <c r="BK126" s="329"/>
      <c r="BL126" s="329"/>
      <c r="BM126" s="329"/>
      <c r="BN126" s="329"/>
      <c r="BO126" s="329"/>
      <c r="BP126" s="329"/>
      <c r="BQ126" s="329"/>
      <c r="BR126" s="329"/>
      <c r="BS126" s="329"/>
    </row>
    <row r="127" spans="1:71" ht="12.75" x14ac:dyDescent="0.2">
      <c r="A127" s="389" t="s">
        <v>592</v>
      </c>
      <c r="B127" s="393">
        <v>0.01</v>
      </c>
      <c r="C127" s="329"/>
      <c r="D127" s="329"/>
      <c r="E127" s="329"/>
      <c r="F127" s="329"/>
      <c r="G127" s="329"/>
      <c r="H127" s="329"/>
      <c r="I127" s="329"/>
      <c r="J127" s="329"/>
      <c r="K127" s="329"/>
      <c r="L127" s="329"/>
      <c r="M127" s="329"/>
      <c r="N127" s="329"/>
      <c r="O127" s="329"/>
      <c r="P127" s="329"/>
      <c r="Q127" s="329"/>
      <c r="R127" s="329"/>
      <c r="S127" s="329"/>
      <c r="T127" s="329"/>
      <c r="U127" s="329"/>
      <c r="V127" s="329"/>
      <c r="W127" s="329"/>
      <c r="X127" s="329"/>
      <c r="Y127" s="329"/>
      <c r="Z127" s="329"/>
      <c r="AA127" s="329"/>
      <c r="AB127" s="329"/>
      <c r="AC127" s="329"/>
      <c r="AD127" s="329"/>
      <c r="AE127" s="329"/>
      <c r="AF127" s="329"/>
      <c r="AG127" s="329"/>
      <c r="AH127" s="329"/>
      <c r="AI127" s="329"/>
      <c r="AJ127" s="329"/>
      <c r="AK127" s="329"/>
      <c r="AL127" s="329"/>
      <c r="AM127" s="329"/>
      <c r="AN127" s="329"/>
      <c r="AO127" s="329"/>
      <c r="AP127" s="329"/>
      <c r="AQ127" s="329"/>
      <c r="AR127" s="329"/>
      <c r="AS127" s="329"/>
      <c r="AT127" s="329"/>
      <c r="AU127" s="329"/>
      <c r="AV127" s="329"/>
      <c r="AW127" s="329"/>
      <c r="AX127" s="329"/>
      <c r="AY127" s="329"/>
      <c r="AZ127" s="329"/>
      <c r="BA127" s="329"/>
      <c r="BB127" s="329"/>
      <c r="BC127" s="329"/>
      <c r="BD127" s="329"/>
      <c r="BE127" s="329"/>
      <c r="BF127" s="329"/>
      <c r="BG127" s="329"/>
      <c r="BH127" s="329"/>
      <c r="BI127" s="329"/>
      <c r="BJ127" s="329"/>
      <c r="BK127" s="329"/>
      <c r="BL127" s="329"/>
      <c r="BM127" s="329"/>
      <c r="BN127" s="329"/>
      <c r="BO127" s="329"/>
      <c r="BP127" s="329"/>
      <c r="BQ127" s="329"/>
      <c r="BR127" s="329"/>
      <c r="BS127" s="329"/>
    </row>
    <row r="128" spans="1:71" ht="12.75" x14ac:dyDescent="0.2">
      <c r="A128" s="331"/>
      <c r="B128" s="339"/>
      <c r="C128" s="329"/>
      <c r="D128" s="329"/>
      <c r="E128" s="329"/>
      <c r="F128" s="329"/>
      <c r="G128" s="329"/>
      <c r="H128" s="329"/>
      <c r="I128" s="329"/>
      <c r="J128" s="329"/>
      <c r="K128" s="329"/>
      <c r="L128" s="329"/>
      <c r="M128" s="329"/>
      <c r="N128" s="329"/>
      <c r="O128" s="329"/>
      <c r="P128" s="329"/>
      <c r="Q128" s="329"/>
      <c r="R128" s="329"/>
      <c r="S128" s="329"/>
      <c r="T128" s="329"/>
      <c r="U128" s="329"/>
      <c r="V128" s="329"/>
      <c r="W128" s="329"/>
      <c r="X128" s="329"/>
      <c r="Y128" s="329"/>
      <c r="Z128" s="329"/>
      <c r="AA128" s="329"/>
      <c r="AB128" s="329"/>
      <c r="AC128" s="329"/>
      <c r="AD128" s="329"/>
      <c r="AE128" s="329"/>
      <c r="AF128" s="329"/>
      <c r="AG128" s="329"/>
      <c r="AH128" s="329"/>
      <c r="AI128" s="329"/>
      <c r="AJ128" s="329"/>
      <c r="AK128" s="329"/>
      <c r="AL128" s="329"/>
      <c r="AM128" s="329"/>
      <c r="AN128" s="329"/>
      <c r="AO128" s="329"/>
      <c r="AP128" s="329"/>
      <c r="AQ128" s="329"/>
      <c r="AR128" s="329"/>
      <c r="AS128" s="329"/>
      <c r="AT128" s="329"/>
      <c r="AU128" s="329"/>
      <c r="AV128" s="329"/>
      <c r="AW128" s="329"/>
      <c r="AX128" s="329"/>
      <c r="AY128" s="329"/>
      <c r="AZ128" s="329"/>
      <c r="BA128" s="329"/>
      <c r="BB128" s="329"/>
      <c r="BC128" s="329"/>
      <c r="BD128" s="329"/>
      <c r="BE128" s="329"/>
      <c r="BF128" s="329"/>
      <c r="BG128" s="329"/>
      <c r="BH128" s="329"/>
      <c r="BI128" s="329"/>
      <c r="BJ128" s="329"/>
      <c r="BK128" s="329"/>
      <c r="BL128" s="329"/>
      <c r="BM128" s="329"/>
      <c r="BN128" s="329"/>
      <c r="BO128" s="329"/>
      <c r="BP128" s="329"/>
      <c r="BQ128" s="329"/>
      <c r="BR128" s="329"/>
      <c r="BS128" s="329"/>
    </row>
    <row r="129" spans="1:71" ht="12.75" x14ac:dyDescent="0.2">
      <c r="A129" s="389" t="s">
        <v>593</v>
      </c>
      <c r="B129" s="394">
        <v>0.20499999999999999</v>
      </c>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29"/>
      <c r="AI129" s="329"/>
      <c r="AJ129" s="329"/>
      <c r="AK129" s="329"/>
      <c r="AL129" s="329"/>
      <c r="AM129" s="329"/>
      <c r="AN129" s="329"/>
      <c r="AO129" s="329"/>
      <c r="AP129" s="329"/>
      <c r="AQ129" s="329"/>
      <c r="AR129" s="329"/>
      <c r="AS129" s="329"/>
      <c r="AT129" s="329"/>
      <c r="AU129" s="329"/>
      <c r="AV129" s="329"/>
      <c r="AW129" s="329"/>
      <c r="AX129" s="329"/>
      <c r="AY129" s="329"/>
      <c r="AZ129" s="329"/>
      <c r="BA129" s="329"/>
      <c r="BB129" s="329"/>
      <c r="BC129" s="329"/>
      <c r="BD129" s="329"/>
      <c r="BE129" s="329"/>
      <c r="BF129" s="329"/>
      <c r="BG129" s="329"/>
      <c r="BH129" s="329"/>
      <c r="BI129" s="329"/>
      <c r="BJ129" s="329"/>
      <c r="BK129" s="329"/>
      <c r="BL129" s="329"/>
      <c r="BM129" s="329"/>
      <c r="BN129" s="329"/>
      <c r="BO129" s="329"/>
      <c r="BP129" s="329"/>
      <c r="BQ129" s="329"/>
      <c r="BR129" s="329"/>
      <c r="BS129" s="329"/>
    </row>
    <row r="130" spans="1:71" x14ac:dyDescent="0.2">
      <c r="A130" s="340"/>
      <c r="B130" s="341"/>
      <c r="C130" s="329"/>
      <c r="D130" s="329"/>
      <c r="E130" s="329"/>
      <c r="F130" s="329"/>
      <c r="G130" s="329"/>
      <c r="H130" s="329"/>
      <c r="I130" s="329"/>
      <c r="J130" s="329"/>
      <c r="K130" s="329"/>
      <c r="L130" s="329"/>
      <c r="M130" s="329"/>
      <c r="N130" s="329"/>
      <c r="O130" s="329"/>
      <c r="P130" s="329"/>
      <c r="Q130" s="329"/>
      <c r="R130" s="329"/>
      <c r="S130" s="329"/>
      <c r="T130" s="329"/>
      <c r="U130" s="329"/>
      <c r="V130" s="329"/>
      <c r="W130" s="329"/>
      <c r="X130" s="329"/>
      <c r="Y130" s="329"/>
      <c r="Z130" s="329"/>
      <c r="AA130" s="329"/>
      <c r="AB130" s="329"/>
      <c r="AC130" s="329"/>
      <c r="AD130" s="329"/>
      <c r="AE130" s="329"/>
      <c r="AF130" s="329"/>
      <c r="AG130" s="329"/>
      <c r="AH130" s="329"/>
      <c r="AI130" s="329"/>
      <c r="AJ130" s="329"/>
      <c r="AK130" s="329"/>
      <c r="AL130" s="329"/>
      <c r="AM130" s="329"/>
      <c r="AN130" s="329"/>
      <c r="AO130" s="329"/>
      <c r="AP130" s="329"/>
      <c r="AQ130" s="329"/>
      <c r="AR130" s="329"/>
      <c r="AS130" s="329"/>
      <c r="AT130" s="329"/>
      <c r="AU130" s="329"/>
      <c r="AV130" s="329"/>
      <c r="AW130" s="329"/>
      <c r="AX130" s="329"/>
      <c r="AY130" s="329"/>
      <c r="AZ130" s="329"/>
      <c r="BA130" s="329"/>
      <c r="BB130" s="329"/>
      <c r="BC130" s="329"/>
      <c r="BD130" s="329"/>
      <c r="BE130" s="329"/>
      <c r="BF130" s="329"/>
      <c r="BG130" s="329"/>
      <c r="BH130" s="329"/>
      <c r="BI130" s="329"/>
      <c r="BJ130" s="329"/>
      <c r="BK130" s="329"/>
      <c r="BL130" s="329"/>
      <c r="BM130" s="329"/>
      <c r="BN130" s="329"/>
      <c r="BO130" s="329"/>
      <c r="BP130" s="329"/>
      <c r="BQ130" s="329"/>
      <c r="BR130" s="329"/>
      <c r="BS130" s="329"/>
    </row>
    <row r="131" spans="1:71" ht="12.75" x14ac:dyDescent="0.2">
      <c r="A131" s="395" t="s">
        <v>594</v>
      </c>
      <c r="B131" s="396">
        <v>1.4332</v>
      </c>
      <c r="C131" s="338"/>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row>
    <row r="132" spans="1:71" ht="12.75" x14ac:dyDescent="0.2">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c r="W132" s="329"/>
      <c r="X132" s="329"/>
      <c r="Y132" s="329"/>
      <c r="Z132" s="329"/>
      <c r="AA132" s="329"/>
      <c r="AB132" s="329"/>
      <c r="AC132" s="329"/>
      <c r="AD132" s="329"/>
      <c r="AE132" s="329"/>
      <c r="AF132" s="329"/>
      <c r="AG132" s="329"/>
      <c r="AH132" s="329"/>
      <c r="AI132" s="329"/>
      <c r="AJ132" s="329"/>
      <c r="AK132" s="329"/>
      <c r="AL132" s="329"/>
      <c r="AM132" s="329"/>
      <c r="AN132" s="329"/>
      <c r="AO132" s="329"/>
      <c r="AP132" s="329"/>
      <c r="AQ132" s="329"/>
      <c r="AR132" s="329"/>
      <c r="AS132" s="329"/>
      <c r="AT132" s="329"/>
      <c r="AU132" s="329"/>
      <c r="AV132" s="329"/>
      <c r="AW132" s="329"/>
      <c r="AX132" s="329"/>
      <c r="AY132" s="329"/>
      <c r="AZ132" s="329"/>
      <c r="BA132" s="329"/>
      <c r="BB132" s="329"/>
      <c r="BC132" s="329"/>
      <c r="BD132" s="329"/>
      <c r="BE132" s="329"/>
      <c r="BF132" s="329"/>
      <c r="BG132" s="329"/>
      <c r="BH132" s="329"/>
      <c r="BI132" s="329"/>
      <c r="BJ132" s="329"/>
      <c r="BK132" s="329"/>
      <c r="BL132" s="329"/>
      <c r="BM132" s="329"/>
      <c r="BN132" s="329"/>
      <c r="BO132" s="329"/>
      <c r="BP132" s="329"/>
      <c r="BQ132" s="329"/>
      <c r="BR132" s="329"/>
      <c r="BS132" s="329"/>
    </row>
    <row r="133" spans="1:71" ht="12.75" x14ac:dyDescent="0.2">
      <c r="A133" s="331"/>
      <c r="B133" s="329"/>
      <c r="C133" s="329"/>
      <c r="D133" s="329"/>
      <c r="E133" s="329"/>
      <c r="F133" s="329"/>
      <c r="G133" s="329"/>
      <c r="H133" s="329"/>
      <c r="I133" s="329"/>
      <c r="J133" s="329"/>
      <c r="K133" s="329"/>
      <c r="L133" s="329"/>
      <c r="M133" s="329"/>
      <c r="N133" s="329"/>
      <c r="O133" s="329"/>
      <c r="P133" s="329"/>
      <c r="Q133" s="329"/>
      <c r="R133" s="329"/>
      <c r="S133" s="329"/>
      <c r="T133" s="329"/>
      <c r="U133" s="329"/>
      <c r="V133" s="329"/>
      <c r="W133" s="329"/>
      <c r="X133" s="329"/>
      <c r="Y133" s="329"/>
      <c r="Z133" s="329"/>
      <c r="AA133" s="329"/>
      <c r="AB133" s="329"/>
      <c r="AC133" s="329"/>
      <c r="AD133" s="329"/>
      <c r="AE133" s="329"/>
      <c r="AF133" s="329"/>
      <c r="AG133" s="329"/>
      <c r="AH133" s="329"/>
      <c r="AI133" s="329"/>
      <c r="AJ133" s="329"/>
      <c r="AK133" s="329"/>
      <c r="AL133" s="329"/>
      <c r="AM133" s="329"/>
      <c r="AN133" s="329"/>
      <c r="AO133" s="329"/>
      <c r="AP133" s="329"/>
      <c r="AQ133" s="291"/>
      <c r="AR133" s="291"/>
      <c r="AS133" s="291"/>
      <c r="BH133" s="329"/>
      <c r="BI133" s="329"/>
      <c r="BJ133" s="329"/>
      <c r="BK133" s="329"/>
      <c r="BL133" s="329"/>
      <c r="BM133" s="329"/>
      <c r="BN133" s="329"/>
      <c r="BO133" s="329"/>
      <c r="BP133" s="329"/>
      <c r="BQ133" s="329"/>
      <c r="BR133" s="329"/>
      <c r="BS133" s="329"/>
    </row>
    <row r="134" spans="1:71" x14ac:dyDescent="0.2">
      <c r="A134" s="389" t="s">
        <v>595</v>
      </c>
      <c r="C134" s="338" t="s">
        <v>596</v>
      </c>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8"/>
      <c r="AI134" s="338"/>
      <c r="AJ134" s="338"/>
      <c r="AK134" s="338"/>
      <c r="AL134" s="338"/>
      <c r="AM134" s="338"/>
      <c r="AN134" s="338"/>
      <c r="AO134" s="338"/>
      <c r="AP134" s="338"/>
      <c r="AQ134" s="291"/>
      <c r="AR134" s="291"/>
      <c r="AS134" s="291"/>
      <c r="BH134" s="338"/>
      <c r="BI134" s="338"/>
      <c r="BJ134" s="338"/>
      <c r="BK134" s="338"/>
      <c r="BL134" s="338"/>
      <c r="BM134" s="338"/>
      <c r="BN134" s="338"/>
      <c r="BO134" s="338"/>
      <c r="BP134" s="338"/>
      <c r="BQ134" s="338"/>
      <c r="BR134" s="338"/>
      <c r="BS134" s="338"/>
    </row>
    <row r="135" spans="1:71" ht="12.75" x14ac:dyDescent="0.2">
      <c r="A135" s="389"/>
      <c r="B135" s="397">
        <v>2016</v>
      </c>
      <c r="C135" s="397">
        <f>B135+1</f>
        <v>2017</v>
      </c>
      <c r="D135" s="397">
        <f t="shared" ref="D135:AY135" si="40">C135+1</f>
        <v>2018</v>
      </c>
      <c r="E135" s="397">
        <f t="shared" si="40"/>
        <v>2019</v>
      </c>
      <c r="F135" s="397">
        <f t="shared" si="40"/>
        <v>2020</v>
      </c>
      <c r="G135" s="397">
        <f t="shared" si="40"/>
        <v>2021</v>
      </c>
      <c r="H135" s="397">
        <f t="shared" si="40"/>
        <v>2022</v>
      </c>
      <c r="I135" s="397">
        <f t="shared" si="40"/>
        <v>2023</v>
      </c>
      <c r="J135" s="397">
        <f t="shared" si="40"/>
        <v>2024</v>
      </c>
      <c r="K135" s="397">
        <f t="shared" si="40"/>
        <v>2025</v>
      </c>
      <c r="L135" s="397">
        <f t="shared" si="40"/>
        <v>2026</v>
      </c>
      <c r="M135" s="397">
        <f t="shared" si="40"/>
        <v>2027</v>
      </c>
      <c r="N135" s="397">
        <f t="shared" si="40"/>
        <v>2028</v>
      </c>
      <c r="O135" s="397">
        <f t="shared" si="40"/>
        <v>2029</v>
      </c>
      <c r="P135" s="397">
        <f t="shared" si="40"/>
        <v>2030</v>
      </c>
      <c r="Q135" s="397">
        <f t="shared" si="40"/>
        <v>2031</v>
      </c>
      <c r="R135" s="397">
        <f t="shared" si="40"/>
        <v>2032</v>
      </c>
      <c r="S135" s="397">
        <f t="shared" si="40"/>
        <v>2033</v>
      </c>
      <c r="T135" s="397">
        <f t="shared" si="40"/>
        <v>2034</v>
      </c>
      <c r="U135" s="397">
        <f t="shared" si="40"/>
        <v>2035</v>
      </c>
      <c r="V135" s="397">
        <f t="shared" si="40"/>
        <v>2036</v>
      </c>
      <c r="W135" s="397">
        <f t="shared" si="40"/>
        <v>2037</v>
      </c>
      <c r="X135" s="397">
        <f t="shared" si="40"/>
        <v>2038</v>
      </c>
      <c r="Y135" s="397">
        <f t="shared" si="40"/>
        <v>2039</v>
      </c>
      <c r="Z135" s="397">
        <f t="shared" si="40"/>
        <v>2040</v>
      </c>
      <c r="AA135" s="397">
        <f t="shared" si="40"/>
        <v>2041</v>
      </c>
      <c r="AB135" s="397">
        <f t="shared" si="40"/>
        <v>2042</v>
      </c>
      <c r="AC135" s="397">
        <f t="shared" si="40"/>
        <v>2043</v>
      </c>
      <c r="AD135" s="397">
        <f t="shared" si="40"/>
        <v>2044</v>
      </c>
      <c r="AE135" s="397">
        <f t="shared" si="40"/>
        <v>2045</v>
      </c>
      <c r="AF135" s="397">
        <f t="shared" si="40"/>
        <v>2046</v>
      </c>
      <c r="AG135" s="397">
        <f t="shared" si="40"/>
        <v>2047</v>
      </c>
      <c r="AH135" s="397">
        <f t="shared" si="40"/>
        <v>2048</v>
      </c>
      <c r="AI135" s="397">
        <f t="shared" si="40"/>
        <v>2049</v>
      </c>
      <c r="AJ135" s="397">
        <f t="shared" si="40"/>
        <v>2050</v>
      </c>
      <c r="AK135" s="397">
        <f t="shared" si="40"/>
        <v>2051</v>
      </c>
      <c r="AL135" s="397">
        <f t="shared" si="40"/>
        <v>2052</v>
      </c>
      <c r="AM135" s="397">
        <f t="shared" si="40"/>
        <v>2053</v>
      </c>
      <c r="AN135" s="397">
        <f t="shared" si="40"/>
        <v>2054</v>
      </c>
      <c r="AO135" s="397">
        <f t="shared" si="40"/>
        <v>2055</v>
      </c>
      <c r="AP135" s="397">
        <f t="shared" si="40"/>
        <v>2056</v>
      </c>
      <c r="AQ135" s="397">
        <f t="shared" si="40"/>
        <v>2057</v>
      </c>
      <c r="AR135" s="397">
        <f t="shared" si="40"/>
        <v>2058</v>
      </c>
      <c r="AS135" s="397">
        <f t="shared" si="40"/>
        <v>2059</v>
      </c>
      <c r="AT135" s="397">
        <f t="shared" si="40"/>
        <v>2060</v>
      </c>
      <c r="AU135" s="397">
        <f t="shared" si="40"/>
        <v>2061</v>
      </c>
      <c r="AV135" s="397">
        <f t="shared" si="40"/>
        <v>2062</v>
      </c>
      <c r="AW135" s="397">
        <f t="shared" si="40"/>
        <v>2063</v>
      </c>
      <c r="AX135" s="397">
        <f t="shared" si="40"/>
        <v>2064</v>
      </c>
      <c r="AY135" s="397">
        <f t="shared" si="40"/>
        <v>2065</v>
      </c>
    </row>
    <row r="136" spans="1:71" ht="12.75" x14ac:dyDescent="0.2">
      <c r="A136" s="389" t="s">
        <v>597</v>
      </c>
      <c r="B136" s="398"/>
      <c r="C136" s="399"/>
      <c r="D136" s="399">
        <v>4.5999999999999999E-2</v>
      </c>
      <c r="E136" s="399">
        <v>4.3999999999999997E-2</v>
      </c>
      <c r="F136" s="399">
        <v>4.2000000000000003E-2</v>
      </c>
      <c r="G136" s="399">
        <f>F136</f>
        <v>4.2000000000000003E-2</v>
      </c>
      <c r="H136" s="399">
        <f>G136</f>
        <v>4.2000000000000003E-2</v>
      </c>
      <c r="I136" s="399">
        <f t="shared" ref="I136:AY136" si="41">H136</f>
        <v>4.2000000000000003E-2</v>
      </c>
      <c r="J136" s="399">
        <f t="shared" si="41"/>
        <v>4.2000000000000003E-2</v>
      </c>
      <c r="K136" s="399">
        <f t="shared" si="41"/>
        <v>4.2000000000000003E-2</v>
      </c>
      <c r="L136" s="399">
        <f t="shared" si="41"/>
        <v>4.2000000000000003E-2</v>
      </c>
      <c r="M136" s="399">
        <f t="shared" si="41"/>
        <v>4.2000000000000003E-2</v>
      </c>
      <c r="N136" s="399">
        <f t="shared" si="41"/>
        <v>4.2000000000000003E-2</v>
      </c>
      <c r="O136" s="399">
        <f t="shared" si="41"/>
        <v>4.2000000000000003E-2</v>
      </c>
      <c r="P136" s="399">
        <f t="shared" si="41"/>
        <v>4.2000000000000003E-2</v>
      </c>
      <c r="Q136" s="399">
        <f t="shared" si="41"/>
        <v>4.2000000000000003E-2</v>
      </c>
      <c r="R136" s="399">
        <f t="shared" si="41"/>
        <v>4.2000000000000003E-2</v>
      </c>
      <c r="S136" s="399">
        <f t="shared" si="41"/>
        <v>4.2000000000000003E-2</v>
      </c>
      <c r="T136" s="399">
        <f t="shared" si="41"/>
        <v>4.2000000000000003E-2</v>
      </c>
      <c r="U136" s="399">
        <f t="shared" si="41"/>
        <v>4.2000000000000003E-2</v>
      </c>
      <c r="V136" s="399">
        <f t="shared" si="41"/>
        <v>4.2000000000000003E-2</v>
      </c>
      <c r="W136" s="399">
        <f t="shared" si="41"/>
        <v>4.2000000000000003E-2</v>
      </c>
      <c r="X136" s="399">
        <f t="shared" si="41"/>
        <v>4.2000000000000003E-2</v>
      </c>
      <c r="Y136" s="399">
        <f t="shared" si="41"/>
        <v>4.2000000000000003E-2</v>
      </c>
      <c r="Z136" s="399">
        <f t="shared" si="41"/>
        <v>4.2000000000000003E-2</v>
      </c>
      <c r="AA136" s="399">
        <f t="shared" si="41"/>
        <v>4.2000000000000003E-2</v>
      </c>
      <c r="AB136" s="399">
        <f t="shared" si="41"/>
        <v>4.2000000000000003E-2</v>
      </c>
      <c r="AC136" s="399">
        <f t="shared" si="41"/>
        <v>4.2000000000000003E-2</v>
      </c>
      <c r="AD136" s="399">
        <f t="shared" si="41"/>
        <v>4.2000000000000003E-2</v>
      </c>
      <c r="AE136" s="399">
        <f t="shared" si="41"/>
        <v>4.2000000000000003E-2</v>
      </c>
      <c r="AF136" s="399">
        <f t="shared" si="41"/>
        <v>4.2000000000000003E-2</v>
      </c>
      <c r="AG136" s="399">
        <f t="shared" si="41"/>
        <v>4.2000000000000003E-2</v>
      </c>
      <c r="AH136" s="399">
        <f t="shared" si="41"/>
        <v>4.2000000000000003E-2</v>
      </c>
      <c r="AI136" s="399">
        <f t="shared" si="41"/>
        <v>4.2000000000000003E-2</v>
      </c>
      <c r="AJ136" s="399">
        <f t="shared" si="41"/>
        <v>4.2000000000000003E-2</v>
      </c>
      <c r="AK136" s="399">
        <f t="shared" si="41"/>
        <v>4.2000000000000003E-2</v>
      </c>
      <c r="AL136" s="399">
        <f t="shared" si="41"/>
        <v>4.2000000000000003E-2</v>
      </c>
      <c r="AM136" s="399">
        <f t="shared" si="41"/>
        <v>4.2000000000000003E-2</v>
      </c>
      <c r="AN136" s="399">
        <f t="shared" si="41"/>
        <v>4.2000000000000003E-2</v>
      </c>
      <c r="AO136" s="399">
        <f t="shared" si="41"/>
        <v>4.2000000000000003E-2</v>
      </c>
      <c r="AP136" s="399">
        <f t="shared" si="41"/>
        <v>4.2000000000000003E-2</v>
      </c>
      <c r="AQ136" s="399">
        <f t="shared" si="41"/>
        <v>4.2000000000000003E-2</v>
      </c>
      <c r="AR136" s="399">
        <f t="shared" si="41"/>
        <v>4.2000000000000003E-2</v>
      </c>
      <c r="AS136" s="399">
        <f t="shared" si="41"/>
        <v>4.2000000000000003E-2</v>
      </c>
      <c r="AT136" s="399">
        <f t="shared" si="41"/>
        <v>4.2000000000000003E-2</v>
      </c>
      <c r="AU136" s="399">
        <f t="shared" si="41"/>
        <v>4.2000000000000003E-2</v>
      </c>
      <c r="AV136" s="399">
        <f t="shared" si="41"/>
        <v>4.2000000000000003E-2</v>
      </c>
      <c r="AW136" s="399">
        <f t="shared" si="41"/>
        <v>4.2000000000000003E-2</v>
      </c>
      <c r="AX136" s="399">
        <f t="shared" si="41"/>
        <v>4.2000000000000003E-2</v>
      </c>
      <c r="AY136" s="399">
        <f t="shared" si="41"/>
        <v>4.2000000000000003E-2</v>
      </c>
    </row>
    <row r="137" spans="1:71" s="291" customFormat="1" ht="15" x14ac:dyDescent="0.2">
      <c r="A137" s="389" t="s">
        <v>598</v>
      </c>
      <c r="B137" s="342"/>
      <c r="C137" s="400">
        <f>(1+B137)*(1+C136)-1</f>
        <v>0</v>
      </c>
      <c r="D137" s="400">
        <f>(1+C137)*(1+D136)-1</f>
        <v>4.6000000000000041E-2</v>
      </c>
      <c r="E137" s="400">
        <f>(1+D137)*(1+E136)-1</f>
        <v>9.2024000000000106E-2</v>
      </c>
      <c r="F137" s="400">
        <f t="shared" ref="F137:AY137" si="42">(1+E137)*(1+F136)-1</f>
        <v>0.13788900800000015</v>
      </c>
      <c r="G137" s="400">
        <f>(1+F137)*(1+G136)-1</f>
        <v>0.18568034633600017</v>
      </c>
      <c r="H137" s="400">
        <f t="shared" si="42"/>
        <v>0.2354789208821122</v>
      </c>
      <c r="I137" s="400">
        <f t="shared" si="42"/>
        <v>0.28736903555916093</v>
      </c>
      <c r="J137" s="400">
        <f t="shared" si="42"/>
        <v>0.34143853505264565</v>
      </c>
      <c r="K137" s="400">
        <f t="shared" si="42"/>
        <v>0.39777895352485682</v>
      </c>
      <c r="L137" s="400">
        <f t="shared" si="42"/>
        <v>0.45648566957290093</v>
      </c>
      <c r="M137" s="400">
        <f t="shared" si="42"/>
        <v>0.51765806769496292</v>
      </c>
      <c r="N137" s="400">
        <f t="shared" si="42"/>
        <v>0.58139970653815132</v>
      </c>
      <c r="O137" s="400">
        <f t="shared" si="42"/>
        <v>0.64781849421275384</v>
      </c>
      <c r="P137" s="400">
        <f t="shared" si="42"/>
        <v>0.71702687096968964</v>
      </c>
      <c r="Q137" s="400">
        <f t="shared" si="42"/>
        <v>0.78914199955041675</v>
      </c>
      <c r="R137" s="400">
        <f t="shared" si="42"/>
        <v>0.86428596353153431</v>
      </c>
      <c r="S137" s="400">
        <f t="shared" si="42"/>
        <v>0.94258597399985877</v>
      </c>
      <c r="T137" s="400">
        <f t="shared" si="42"/>
        <v>1.0241745849078527</v>
      </c>
      <c r="U137" s="400">
        <f t="shared" si="42"/>
        <v>1.1091899174739828</v>
      </c>
      <c r="V137" s="400">
        <f t="shared" si="42"/>
        <v>1.19777589400789</v>
      </c>
      <c r="W137" s="400">
        <f t="shared" si="42"/>
        <v>1.2900824815562215</v>
      </c>
      <c r="X137" s="400">
        <f t="shared" si="42"/>
        <v>1.3862659457815827</v>
      </c>
      <c r="Y137" s="400">
        <f t="shared" si="42"/>
        <v>1.4864891155044093</v>
      </c>
      <c r="Z137" s="400">
        <f t="shared" si="42"/>
        <v>1.5909216583555947</v>
      </c>
      <c r="AA137" s="400">
        <f t="shared" si="42"/>
        <v>1.6997403680065299</v>
      </c>
      <c r="AB137" s="400">
        <f t="shared" si="42"/>
        <v>1.8131294634628041</v>
      </c>
      <c r="AC137" s="400">
        <f t="shared" si="42"/>
        <v>1.9312809009282419</v>
      </c>
      <c r="AD137" s="400">
        <f t="shared" si="42"/>
        <v>2.0543946987672284</v>
      </c>
      <c r="AE137" s="400">
        <f t="shared" si="42"/>
        <v>2.1826792761154521</v>
      </c>
      <c r="AF137" s="400">
        <f t="shared" si="42"/>
        <v>2.3163518057123014</v>
      </c>
      <c r="AG137" s="400">
        <f t="shared" si="42"/>
        <v>2.4556385815522184</v>
      </c>
      <c r="AH137" s="400">
        <f t="shared" si="42"/>
        <v>2.6007754019774119</v>
      </c>
      <c r="AI137" s="400">
        <f t="shared" si="42"/>
        <v>2.7520079688604633</v>
      </c>
      <c r="AJ137" s="400">
        <f t="shared" si="42"/>
        <v>2.909592303552603</v>
      </c>
      <c r="AK137" s="400">
        <f t="shared" si="42"/>
        <v>3.0737951803018122</v>
      </c>
      <c r="AL137" s="400">
        <f t="shared" si="42"/>
        <v>3.2448945778744882</v>
      </c>
      <c r="AM137" s="400">
        <f t="shared" si="42"/>
        <v>3.4231801501452166</v>
      </c>
      <c r="AN137" s="400">
        <f t="shared" si="42"/>
        <v>3.6089537164513157</v>
      </c>
      <c r="AO137" s="400">
        <f t="shared" si="42"/>
        <v>3.8025297725422709</v>
      </c>
      <c r="AP137" s="400">
        <f t="shared" si="42"/>
        <v>4.0042360229890468</v>
      </c>
      <c r="AQ137" s="400">
        <f t="shared" si="42"/>
        <v>4.2144139359545871</v>
      </c>
      <c r="AR137" s="400">
        <f t="shared" si="42"/>
        <v>4.4334193212646804</v>
      </c>
      <c r="AS137" s="400">
        <f t="shared" si="42"/>
        <v>4.6616229327577976</v>
      </c>
      <c r="AT137" s="400">
        <f t="shared" si="42"/>
        <v>4.8994110959336252</v>
      </c>
      <c r="AU137" s="400">
        <f t="shared" si="42"/>
        <v>5.147186361962838</v>
      </c>
      <c r="AV137" s="400">
        <f t="shared" si="42"/>
        <v>5.4053681891652774</v>
      </c>
      <c r="AW137" s="400">
        <f>(1+AV137)*(1+AW136)-1</f>
        <v>5.6743936531102195</v>
      </c>
      <c r="AX137" s="400">
        <f t="shared" si="42"/>
        <v>5.9547181865408492</v>
      </c>
      <c r="AY137" s="400">
        <f t="shared" si="42"/>
        <v>6.2468163503755649</v>
      </c>
    </row>
    <row r="138" spans="1:71" s="291" customFormat="1" x14ac:dyDescent="0.2">
      <c r="A138" s="343"/>
      <c r="B138" s="344"/>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43"/>
    </row>
    <row r="139" spans="1:71" ht="12.75" x14ac:dyDescent="0.2">
      <c r="A139" s="331"/>
      <c r="B139" s="398">
        <v>2016</v>
      </c>
      <c r="C139" s="398">
        <f>B139+1</f>
        <v>2017</v>
      </c>
      <c r="D139" s="398">
        <f t="shared" ref="D139:S140" si="43">C139+1</f>
        <v>2018</v>
      </c>
      <c r="E139" s="398">
        <f t="shared" si="43"/>
        <v>2019</v>
      </c>
      <c r="F139" s="398">
        <f t="shared" si="43"/>
        <v>2020</v>
      </c>
      <c r="G139" s="398">
        <f t="shared" si="43"/>
        <v>2021</v>
      </c>
      <c r="H139" s="398">
        <f t="shared" si="43"/>
        <v>2022</v>
      </c>
      <c r="I139" s="398">
        <f t="shared" si="43"/>
        <v>2023</v>
      </c>
      <c r="J139" s="398">
        <f t="shared" si="43"/>
        <v>2024</v>
      </c>
      <c r="K139" s="398">
        <f t="shared" si="43"/>
        <v>2025</v>
      </c>
      <c r="L139" s="398">
        <f t="shared" si="43"/>
        <v>2026</v>
      </c>
      <c r="M139" s="398">
        <f t="shared" si="43"/>
        <v>2027</v>
      </c>
      <c r="N139" s="398">
        <f t="shared" si="43"/>
        <v>2028</v>
      </c>
      <c r="O139" s="398">
        <f t="shared" si="43"/>
        <v>2029</v>
      </c>
      <c r="P139" s="398">
        <f t="shared" si="43"/>
        <v>2030</v>
      </c>
      <c r="Q139" s="398">
        <f t="shared" si="43"/>
        <v>2031</v>
      </c>
      <c r="R139" s="398">
        <f t="shared" si="43"/>
        <v>2032</v>
      </c>
      <c r="S139" s="398">
        <f t="shared" si="43"/>
        <v>2033</v>
      </c>
      <c r="T139" s="398">
        <f t="shared" ref="T139:AI140" si="44">S139+1</f>
        <v>2034</v>
      </c>
      <c r="U139" s="398">
        <f t="shared" si="44"/>
        <v>2035</v>
      </c>
      <c r="V139" s="398">
        <f t="shared" si="44"/>
        <v>2036</v>
      </c>
      <c r="W139" s="398">
        <f t="shared" si="44"/>
        <v>2037</v>
      </c>
      <c r="X139" s="398">
        <f t="shared" si="44"/>
        <v>2038</v>
      </c>
      <c r="Y139" s="398">
        <f t="shared" si="44"/>
        <v>2039</v>
      </c>
      <c r="Z139" s="398">
        <f t="shared" si="44"/>
        <v>2040</v>
      </c>
      <c r="AA139" s="398">
        <f t="shared" si="44"/>
        <v>2041</v>
      </c>
      <c r="AB139" s="398">
        <f t="shared" si="44"/>
        <v>2042</v>
      </c>
      <c r="AC139" s="398">
        <f t="shared" si="44"/>
        <v>2043</v>
      </c>
      <c r="AD139" s="398">
        <f t="shared" si="44"/>
        <v>2044</v>
      </c>
      <c r="AE139" s="398">
        <f t="shared" si="44"/>
        <v>2045</v>
      </c>
      <c r="AF139" s="398">
        <f t="shared" si="44"/>
        <v>2046</v>
      </c>
      <c r="AG139" s="398">
        <f t="shared" si="44"/>
        <v>2047</v>
      </c>
      <c r="AH139" s="398">
        <f t="shared" si="44"/>
        <v>2048</v>
      </c>
      <c r="AI139" s="398">
        <f t="shared" si="44"/>
        <v>2049</v>
      </c>
      <c r="AJ139" s="398">
        <f t="shared" ref="AJ139:AY140" si="45">AI139+1</f>
        <v>2050</v>
      </c>
      <c r="AK139" s="398">
        <f t="shared" si="45"/>
        <v>2051</v>
      </c>
      <c r="AL139" s="398">
        <f t="shared" si="45"/>
        <v>2052</v>
      </c>
      <c r="AM139" s="398">
        <f t="shared" si="45"/>
        <v>2053</v>
      </c>
      <c r="AN139" s="398">
        <f t="shared" si="45"/>
        <v>2054</v>
      </c>
      <c r="AO139" s="398">
        <f t="shared" si="45"/>
        <v>2055</v>
      </c>
      <c r="AP139" s="398">
        <f t="shared" si="45"/>
        <v>2056</v>
      </c>
      <c r="AQ139" s="398">
        <f t="shared" si="45"/>
        <v>2057</v>
      </c>
      <c r="AR139" s="398">
        <f t="shared" si="45"/>
        <v>2058</v>
      </c>
      <c r="AS139" s="398">
        <f t="shared" si="45"/>
        <v>2059</v>
      </c>
      <c r="AT139" s="398">
        <f t="shared" si="45"/>
        <v>2060</v>
      </c>
      <c r="AU139" s="398">
        <f t="shared" si="45"/>
        <v>2061</v>
      </c>
      <c r="AV139" s="398">
        <f t="shared" si="45"/>
        <v>2062</v>
      </c>
      <c r="AW139" s="398">
        <f t="shared" si="45"/>
        <v>2063</v>
      </c>
      <c r="AX139" s="398">
        <f t="shared" si="45"/>
        <v>2064</v>
      </c>
      <c r="AY139" s="398">
        <f t="shared" si="45"/>
        <v>2065</v>
      </c>
      <c r="AZ139" s="329"/>
      <c r="BA139" s="329"/>
      <c r="BB139" s="329"/>
      <c r="BC139" s="329"/>
      <c r="BD139" s="329"/>
      <c r="BE139" s="329"/>
      <c r="BF139" s="329"/>
      <c r="BG139" s="329"/>
      <c r="BH139" s="329"/>
      <c r="BI139" s="329"/>
      <c r="BJ139" s="329"/>
      <c r="BK139" s="329"/>
      <c r="BL139" s="329"/>
      <c r="BM139" s="329"/>
      <c r="BN139" s="329"/>
      <c r="BO139" s="329"/>
      <c r="BP139" s="329"/>
      <c r="BQ139" s="329"/>
      <c r="BR139" s="329"/>
      <c r="BS139" s="329"/>
    </row>
    <row r="140" spans="1:71" x14ac:dyDescent="0.2">
      <c r="A140" s="331"/>
      <c r="B140" s="401">
        <v>0</v>
      </c>
      <c r="C140" s="401">
        <v>0</v>
      </c>
      <c r="D140" s="401">
        <v>1</v>
      </c>
      <c r="E140" s="401">
        <f>D140+1</f>
        <v>2</v>
      </c>
      <c r="F140" s="401">
        <f t="shared" si="43"/>
        <v>3</v>
      </c>
      <c r="G140" s="401">
        <f t="shared" si="43"/>
        <v>4</v>
      </c>
      <c r="H140" s="401">
        <f t="shared" si="43"/>
        <v>5</v>
      </c>
      <c r="I140" s="401">
        <f t="shared" si="43"/>
        <v>6</v>
      </c>
      <c r="J140" s="401">
        <f t="shared" si="43"/>
        <v>7</v>
      </c>
      <c r="K140" s="401">
        <f t="shared" si="43"/>
        <v>8</v>
      </c>
      <c r="L140" s="401">
        <f t="shared" si="43"/>
        <v>9</v>
      </c>
      <c r="M140" s="401">
        <f t="shared" si="43"/>
        <v>10</v>
      </c>
      <c r="N140" s="401">
        <f t="shared" si="43"/>
        <v>11</v>
      </c>
      <c r="O140" s="401">
        <f t="shared" si="43"/>
        <v>12</v>
      </c>
      <c r="P140" s="401">
        <f t="shared" si="43"/>
        <v>13</v>
      </c>
      <c r="Q140" s="401">
        <f t="shared" si="43"/>
        <v>14</v>
      </c>
      <c r="R140" s="401">
        <f t="shared" si="43"/>
        <v>15</v>
      </c>
      <c r="S140" s="401">
        <f t="shared" si="43"/>
        <v>16</v>
      </c>
      <c r="T140" s="401">
        <f t="shared" si="44"/>
        <v>17</v>
      </c>
      <c r="U140" s="401">
        <f t="shared" si="44"/>
        <v>18</v>
      </c>
      <c r="V140" s="401">
        <f t="shared" si="44"/>
        <v>19</v>
      </c>
      <c r="W140" s="401">
        <f t="shared" si="44"/>
        <v>20</v>
      </c>
      <c r="X140" s="401">
        <f t="shared" si="44"/>
        <v>21</v>
      </c>
      <c r="Y140" s="401">
        <f t="shared" si="44"/>
        <v>22</v>
      </c>
      <c r="Z140" s="401">
        <f t="shared" si="44"/>
        <v>23</v>
      </c>
      <c r="AA140" s="401">
        <f t="shared" si="44"/>
        <v>24</v>
      </c>
      <c r="AB140" s="401">
        <f t="shared" si="44"/>
        <v>25</v>
      </c>
      <c r="AC140" s="401">
        <f t="shared" si="44"/>
        <v>26</v>
      </c>
      <c r="AD140" s="401">
        <f t="shared" si="44"/>
        <v>27</v>
      </c>
      <c r="AE140" s="401">
        <f t="shared" si="44"/>
        <v>28</v>
      </c>
      <c r="AF140" s="401">
        <f t="shared" si="44"/>
        <v>29</v>
      </c>
      <c r="AG140" s="401">
        <f t="shared" si="44"/>
        <v>30</v>
      </c>
      <c r="AH140" s="401">
        <f t="shared" si="44"/>
        <v>31</v>
      </c>
      <c r="AI140" s="401">
        <f t="shared" si="44"/>
        <v>32</v>
      </c>
      <c r="AJ140" s="401">
        <f t="shared" si="45"/>
        <v>33</v>
      </c>
      <c r="AK140" s="401">
        <f t="shared" si="45"/>
        <v>34</v>
      </c>
      <c r="AL140" s="401">
        <f t="shared" si="45"/>
        <v>35</v>
      </c>
      <c r="AM140" s="401">
        <f t="shared" si="45"/>
        <v>36</v>
      </c>
      <c r="AN140" s="401">
        <f t="shared" si="45"/>
        <v>37</v>
      </c>
      <c r="AO140" s="401">
        <f t="shared" si="45"/>
        <v>38</v>
      </c>
      <c r="AP140" s="401">
        <f>AO140+1</f>
        <v>39</v>
      </c>
      <c r="AQ140" s="401">
        <f t="shared" si="45"/>
        <v>40</v>
      </c>
      <c r="AR140" s="401">
        <f t="shared" si="45"/>
        <v>41</v>
      </c>
      <c r="AS140" s="401">
        <f t="shared" si="45"/>
        <v>42</v>
      </c>
      <c r="AT140" s="401">
        <f t="shared" si="45"/>
        <v>43</v>
      </c>
      <c r="AU140" s="401">
        <f t="shared" si="45"/>
        <v>44</v>
      </c>
      <c r="AV140" s="401">
        <f t="shared" si="45"/>
        <v>45</v>
      </c>
      <c r="AW140" s="401">
        <f t="shared" si="45"/>
        <v>46</v>
      </c>
      <c r="AX140" s="401">
        <f t="shared" si="45"/>
        <v>47</v>
      </c>
      <c r="AY140" s="401">
        <f t="shared" si="45"/>
        <v>48</v>
      </c>
      <c r="AZ140" s="329"/>
      <c r="BA140" s="329"/>
      <c r="BB140" s="329"/>
      <c r="BC140" s="329"/>
      <c r="BD140" s="329"/>
      <c r="BE140" s="329"/>
      <c r="BF140" s="329"/>
      <c r="BG140" s="329"/>
      <c r="BH140" s="329"/>
      <c r="BI140" s="329"/>
      <c r="BJ140" s="329"/>
      <c r="BK140" s="329"/>
      <c r="BL140" s="329"/>
      <c r="BM140" s="329"/>
      <c r="BN140" s="329"/>
      <c r="BO140" s="329"/>
      <c r="BP140" s="329"/>
      <c r="BQ140" s="329"/>
      <c r="BR140" s="329"/>
      <c r="BS140" s="329"/>
    </row>
    <row r="141" spans="1:71" ht="15" x14ac:dyDescent="0.2">
      <c r="A141" s="331"/>
      <c r="B141" s="402">
        <f>AVERAGE(A140:B140)</f>
        <v>0</v>
      </c>
      <c r="C141" s="402">
        <f>AVERAGE(B140:C140)</f>
        <v>0</v>
      </c>
      <c r="D141" s="402">
        <f>AVERAGE(C140:D140)</f>
        <v>0.5</v>
      </c>
      <c r="E141" s="402">
        <f>AVERAGE(D140:E140)</f>
        <v>1.5</v>
      </c>
      <c r="F141" s="402">
        <f t="shared" ref="F141:AO141" si="46">AVERAGE(E140:F140)</f>
        <v>2.5</v>
      </c>
      <c r="G141" s="402">
        <f t="shared" si="46"/>
        <v>3.5</v>
      </c>
      <c r="H141" s="402">
        <f t="shared" si="46"/>
        <v>4.5</v>
      </c>
      <c r="I141" s="402">
        <f t="shared" si="46"/>
        <v>5.5</v>
      </c>
      <c r="J141" s="402">
        <f t="shared" si="46"/>
        <v>6.5</v>
      </c>
      <c r="K141" s="402">
        <f t="shared" si="46"/>
        <v>7.5</v>
      </c>
      <c r="L141" s="402">
        <f t="shared" si="46"/>
        <v>8.5</v>
      </c>
      <c r="M141" s="402">
        <f t="shared" si="46"/>
        <v>9.5</v>
      </c>
      <c r="N141" s="402">
        <f t="shared" si="46"/>
        <v>10.5</v>
      </c>
      <c r="O141" s="402">
        <f t="shared" si="46"/>
        <v>11.5</v>
      </c>
      <c r="P141" s="402">
        <f t="shared" si="46"/>
        <v>12.5</v>
      </c>
      <c r="Q141" s="402">
        <f t="shared" si="46"/>
        <v>13.5</v>
      </c>
      <c r="R141" s="402">
        <f t="shared" si="46"/>
        <v>14.5</v>
      </c>
      <c r="S141" s="402">
        <f t="shared" si="46"/>
        <v>15.5</v>
      </c>
      <c r="T141" s="402">
        <f t="shared" si="46"/>
        <v>16.5</v>
      </c>
      <c r="U141" s="402">
        <f t="shared" si="46"/>
        <v>17.5</v>
      </c>
      <c r="V141" s="402">
        <f t="shared" si="46"/>
        <v>18.5</v>
      </c>
      <c r="W141" s="402">
        <f t="shared" si="46"/>
        <v>19.5</v>
      </c>
      <c r="X141" s="402">
        <f t="shared" si="46"/>
        <v>20.5</v>
      </c>
      <c r="Y141" s="402">
        <f t="shared" si="46"/>
        <v>21.5</v>
      </c>
      <c r="Z141" s="402">
        <f t="shared" si="46"/>
        <v>22.5</v>
      </c>
      <c r="AA141" s="402">
        <f t="shared" si="46"/>
        <v>23.5</v>
      </c>
      <c r="AB141" s="402">
        <f t="shared" si="46"/>
        <v>24.5</v>
      </c>
      <c r="AC141" s="402">
        <f t="shared" si="46"/>
        <v>25.5</v>
      </c>
      <c r="AD141" s="402">
        <f t="shared" si="46"/>
        <v>26.5</v>
      </c>
      <c r="AE141" s="402">
        <f t="shared" si="46"/>
        <v>27.5</v>
      </c>
      <c r="AF141" s="402">
        <f t="shared" si="46"/>
        <v>28.5</v>
      </c>
      <c r="AG141" s="402">
        <f t="shared" si="46"/>
        <v>29.5</v>
      </c>
      <c r="AH141" s="402">
        <f t="shared" si="46"/>
        <v>30.5</v>
      </c>
      <c r="AI141" s="402">
        <f t="shared" si="46"/>
        <v>31.5</v>
      </c>
      <c r="AJ141" s="402">
        <f t="shared" si="46"/>
        <v>32.5</v>
      </c>
      <c r="AK141" s="402">
        <f t="shared" si="46"/>
        <v>33.5</v>
      </c>
      <c r="AL141" s="402">
        <f t="shared" si="46"/>
        <v>34.5</v>
      </c>
      <c r="AM141" s="402">
        <f t="shared" si="46"/>
        <v>35.5</v>
      </c>
      <c r="AN141" s="402">
        <f t="shared" si="46"/>
        <v>36.5</v>
      </c>
      <c r="AO141" s="402">
        <f t="shared" si="46"/>
        <v>37.5</v>
      </c>
      <c r="AP141" s="402">
        <f>AVERAGE(AO140:AP140)</f>
        <v>38.5</v>
      </c>
      <c r="AQ141" s="402">
        <f t="shared" ref="AQ141:AY141" si="47">AVERAGE(AP140:AQ140)</f>
        <v>39.5</v>
      </c>
      <c r="AR141" s="402">
        <f t="shared" si="47"/>
        <v>40.5</v>
      </c>
      <c r="AS141" s="402">
        <f t="shared" si="47"/>
        <v>41.5</v>
      </c>
      <c r="AT141" s="402">
        <f t="shared" si="47"/>
        <v>42.5</v>
      </c>
      <c r="AU141" s="402">
        <f t="shared" si="47"/>
        <v>43.5</v>
      </c>
      <c r="AV141" s="402">
        <f t="shared" si="47"/>
        <v>44.5</v>
      </c>
      <c r="AW141" s="402">
        <f t="shared" si="47"/>
        <v>45.5</v>
      </c>
      <c r="AX141" s="402">
        <f t="shared" si="47"/>
        <v>46.5</v>
      </c>
      <c r="AY141" s="402">
        <f t="shared" si="47"/>
        <v>47.5</v>
      </c>
      <c r="AZ141" s="329"/>
      <c r="BA141" s="329"/>
      <c r="BB141" s="329"/>
      <c r="BC141" s="329"/>
      <c r="BD141" s="329"/>
      <c r="BE141" s="329"/>
      <c r="BF141" s="329"/>
      <c r="BG141" s="329"/>
      <c r="BH141" s="329"/>
      <c r="BI141" s="329"/>
      <c r="BJ141" s="329"/>
      <c r="BK141" s="329"/>
      <c r="BL141" s="329"/>
      <c r="BM141" s="329"/>
      <c r="BN141" s="329"/>
      <c r="BO141" s="329"/>
      <c r="BP141" s="329"/>
      <c r="BQ141" s="329"/>
      <c r="BR141" s="329"/>
      <c r="BS141" s="329"/>
    </row>
    <row r="142" spans="1:71" ht="12.75" x14ac:dyDescent="0.2">
      <c r="A142" s="331"/>
      <c r="B142" s="329"/>
      <c r="C142" s="329"/>
      <c r="D142" s="329"/>
      <c r="E142" s="329"/>
      <c r="F142" s="329"/>
      <c r="G142" s="329"/>
      <c r="H142" s="329"/>
      <c r="I142" s="329"/>
      <c r="J142" s="329"/>
      <c r="K142" s="329"/>
      <c r="L142" s="329"/>
      <c r="M142" s="329"/>
      <c r="N142" s="329"/>
      <c r="O142" s="329"/>
      <c r="P142" s="329"/>
      <c r="Q142" s="329"/>
      <c r="R142" s="329"/>
      <c r="S142" s="329"/>
      <c r="T142" s="329"/>
      <c r="U142" s="329"/>
      <c r="V142" s="329"/>
      <c r="W142" s="329"/>
      <c r="X142" s="329"/>
      <c r="Y142" s="329"/>
      <c r="Z142" s="329"/>
      <c r="AA142" s="329"/>
      <c r="AB142" s="329"/>
      <c r="AC142" s="329"/>
      <c r="AD142" s="329"/>
      <c r="AE142" s="329"/>
      <c r="AF142" s="329"/>
      <c r="AG142" s="329"/>
      <c r="AH142" s="329"/>
      <c r="AI142" s="329"/>
      <c r="AJ142" s="329"/>
      <c r="AK142" s="329"/>
      <c r="AL142" s="329"/>
      <c r="AM142" s="329"/>
      <c r="AN142" s="329"/>
      <c r="AO142" s="329"/>
      <c r="AP142" s="329"/>
      <c r="AR142" s="329"/>
      <c r="AS142" s="329"/>
      <c r="AT142" s="329"/>
      <c r="AU142" s="329"/>
      <c r="AV142" s="329"/>
      <c r="AW142" s="329"/>
      <c r="AX142" s="329"/>
      <c r="AY142" s="329"/>
      <c r="AZ142" s="329"/>
      <c r="BA142" s="329"/>
      <c r="BB142" s="329"/>
      <c r="BC142" s="329"/>
      <c r="BD142" s="329"/>
      <c r="BE142" s="329"/>
      <c r="BF142" s="329"/>
      <c r="BG142" s="329"/>
      <c r="BH142" s="329"/>
      <c r="BI142" s="329"/>
      <c r="BJ142" s="329"/>
      <c r="BK142" s="329"/>
      <c r="BL142" s="329"/>
      <c r="BM142" s="329"/>
      <c r="BN142" s="329"/>
      <c r="BO142" s="329"/>
      <c r="BP142" s="329"/>
      <c r="BQ142" s="329"/>
      <c r="BR142" s="329"/>
      <c r="BS142" s="329"/>
    </row>
    <row r="143" spans="1:71" ht="12.75" x14ac:dyDescent="0.2">
      <c r="A143" s="331"/>
      <c r="B143" s="329"/>
      <c r="C143" s="329"/>
      <c r="D143" s="329"/>
      <c r="E143" s="329"/>
      <c r="F143" s="329"/>
      <c r="G143" s="329"/>
      <c r="H143" s="329"/>
      <c r="I143" s="329"/>
      <c r="J143" s="329"/>
      <c r="K143" s="329"/>
      <c r="L143" s="329"/>
      <c r="M143" s="329"/>
      <c r="N143" s="329"/>
      <c r="O143" s="329"/>
      <c r="P143" s="329"/>
      <c r="Q143" s="329"/>
      <c r="R143" s="329"/>
      <c r="S143" s="329"/>
      <c r="T143" s="329"/>
      <c r="U143" s="329"/>
      <c r="V143" s="329"/>
      <c r="W143" s="329"/>
      <c r="X143" s="329"/>
      <c r="Y143" s="329"/>
      <c r="Z143" s="329"/>
      <c r="AA143" s="329"/>
      <c r="AB143" s="329"/>
      <c r="AC143" s="329"/>
      <c r="AD143" s="329"/>
      <c r="AE143" s="329"/>
      <c r="AF143" s="329"/>
      <c r="AG143" s="329"/>
      <c r="AH143" s="329"/>
      <c r="AI143" s="329"/>
      <c r="AJ143" s="329"/>
      <c r="AK143" s="329"/>
      <c r="AL143" s="329"/>
      <c r="AM143" s="329"/>
      <c r="AN143" s="329"/>
      <c r="AO143" s="329"/>
      <c r="AP143" s="329"/>
      <c r="AQ143" s="329"/>
      <c r="AR143" s="329"/>
      <c r="AS143" s="329"/>
      <c r="AT143" s="329"/>
      <c r="AU143" s="329"/>
      <c r="AV143" s="329"/>
      <c r="AW143" s="329"/>
      <c r="AX143" s="329"/>
      <c r="AY143" s="329"/>
      <c r="AZ143" s="329"/>
      <c r="BA143" s="329"/>
      <c r="BB143" s="329"/>
      <c r="BC143" s="329"/>
      <c r="BD143" s="329"/>
      <c r="BE143" s="329"/>
      <c r="BF143" s="329"/>
      <c r="BG143" s="329"/>
      <c r="BH143" s="329"/>
      <c r="BI143" s="329"/>
      <c r="BJ143" s="329"/>
      <c r="BK143" s="329"/>
      <c r="BL143" s="329"/>
      <c r="BM143" s="329"/>
      <c r="BN143" s="329"/>
      <c r="BO143" s="329"/>
      <c r="BP143" s="329"/>
      <c r="BQ143" s="329"/>
      <c r="BR143" s="329"/>
      <c r="BS143" s="329"/>
    </row>
    <row r="144" spans="1:71" ht="12.75" x14ac:dyDescent="0.2">
      <c r="A144" s="331"/>
      <c r="B144" s="329"/>
      <c r="C144" s="329"/>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329"/>
      <c r="BA144" s="329"/>
      <c r="BB144" s="329"/>
      <c r="BC144" s="329"/>
      <c r="BD144" s="329"/>
      <c r="BE144" s="329"/>
      <c r="BF144" s="329"/>
      <c r="BG144" s="329"/>
      <c r="BH144" s="329"/>
      <c r="BI144" s="329"/>
      <c r="BJ144" s="329"/>
      <c r="BK144" s="329"/>
      <c r="BL144" s="329"/>
      <c r="BM144" s="329"/>
      <c r="BN144" s="329"/>
      <c r="BO144" s="329"/>
      <c r="BP144" s="329"/>
      <c r="BQ144" s="329"/>
      <c r="BR144" s="329"/>
      <c r="BS144" s="329"/>
    </row>
    <row r="145" spans="1:71" ht="12.75" x14ac:dyDescent="0.2">
      <c r="A145" s="331"/>
      <c r="B145" s="329"/>
      <c r="C145" s="329"/>
      <c r="D145" s="329"/>
      <c r="E145" s="329"/>
      <c r="F145" s="329"/>
      <c r="G145" s="329"/>
      <c r="H145" s="329"/>
      <c r="I145" s="329"/>
      <c r="J145" s="329"/>
      <c r="K145" s="329"/>
      <c r="L145" s="329"/>
      <c r="M145" s="329"/>
      <c r="N145" s="329"/>
      <c r="O145" s="329"/>
      <c r="P145" s="329"/>
      <c r="Q145" s="329"/>
      <c r="R145" s="329"/>
      <c r="S145" s="329"/>
      <c r="T145" s="329"/>
      <c r="U145" s="329"/>
      <c r="V145" s="329"/>
      <c r="W145" s="329"/>
      <c r="X145" s="329"/>
      <c r="Y145" s="329"/>
      <c r="Z145" s="329"/>
      <c r="AA145" s="329"/>
      <c r="AB145" s="329"/>
      <c r="AC145" s="329"/>
      <c r="AD145" s="329"/>
      <c r="AE145" s="329"/>
      <c r="AF145" s="329"/>
      <c r="AG145" s="329"/>
      <c r="AH145" s="329"/>
      <c r="AI145" s="329"/>
      <c r="AJ145" s="329"/>
      <c r="AK145" s="329"/>
      <c r="AL145" s="329"/>
      <c r="AM145" s="329"/>
      <c r="AN145" s="329"/>
      <c r="AO145" s="329"/>
      <c r="AP145" s="329"/>
      <c r="AQ145" s="329"/>
      <c r="AR145" s="329"/>
      <c r="AS145" s="329"/>
      <c r="AT145" s="329"/>
      <c r="AU145" s="329"/>
      <c r="AV145" s="329"/>
      <c r="AW145" s="329"/>
      <c r="AX145" s="329"/>
      <c r="AY145" s="329"/>
      <c r="AZ145" s="329"/>
      <c r="BA145" s="329"/>
      <c r="BB145" s="329"/>
      <c r="BC145" s="329"/>
      <c r="BD145" s="329"/>
      <c r="BE145" s="329"/>
      <c r="BF145" s="329"/>
      <c r="BG145" s="329"/>
      <c r="BH145" s="329"/>
      <c r="BI145" s="329"/>
      <c r="BJ145" s="329"/>
      <c r="BK145" s="329"/>
      <c r="BL145" s="329"/>
      <c r="BM145" s="329"/>
      <c r="BN145" s="329"/>
      <c r="BO145" s="329"/>
      <c r="BP145" s="329"/>
      <c r="BQ145" s="329"/>
      <c r="BR145" s="329"/>
      <c r="BS145" s="329"/>
    </row>
    <row r="146" spans="1:71" ht="12.75" x14ac:dyDescent="0.2">
      <c r="A146" s="331"/>
      <c r="B146" s="329"/>
      <c r="C146" s="329"/>
      <c r="D146" s="329"/>
      <c r="E146" s="329"/>
      <c r="F146" s="329"/>
      <c r="G146" s="329"/>
      <c r="H146" s="329"/>
      <c r="I146" s="329"/>
      <c r="J146" s="329"/>
      <c r="K146" s="329"/>
      <c r="L146" s="329"/>
      <c r="M146" s="329"/>
      <c r="N146" s="329"/>
      <c r="O146" s="329"/>
      <c r="P146" s="329"/>
      <c r="Q146" s="329"/>
      <c r="R146" s="329"/>
      <c r="S146" s="329"/>
      <c r="T146" s="329"/>
      <c r="U146" s="329"/>
      <c r="V146" s="329"/>
      <c r="W146" s="329"/>
      <c r="X146" s="329"/>
      <c r="Y146" s="329"/>
      <c r="Z146" s="329"/>
      <c r="AA146" s="329"/>
      <c r="AB146" s="329"/>
      <c r="AC146" s="329"/>
      <c r="AD146" s="329"/>
      <c r="AE146" s="329"/>
      <c r="AF146" s="329"/>
      <c r="AG146" s="329"/>
      <c r="AH146" s="329"/>
      <c r="AI146" s="329"/>
      <c r="AJ146" s="329"/>
      <c r="AK146" s="329"/>
      <c r="AL146" s="329"/>
      <c r="AM146" s="329"/>
      <c r="AN146" s="329"/>
      <c r="AO146" s="329"/>
      <c r="AP146" s="329"/>
      <c r="AQ146" s="329"/>
      <c r="AR146" s="329"/>
      <c r="AS146" s="329"/>
      <c r="AT146" s="329"/>
      <c r="AU146" s="329"/>
      <c r="AV146" s="329"/>
      <c r="AW146" s="329"/>
      <c r="AX146" s="329"/>
      <c r="AY146" s="329"/>
      <c r="AZ146" s="329"/>
      <c r="BA146" s="329"/>
      <c r="BB146" s="329"/>
      <c r="BC146" s="329"/>
      <c r="BD146" s="329"/>
      <c r="BE146" s="329"/>
      <c r="BF146" s="329"/>
      <c r="BG146" s="329"/>
      <c r="BH146" s="329"/>
      <c r="BI146" s="329"/>
      <c r="BJ146" s="329"/>
      <c r="BK146" s="329"/>
      <c r="BL146" s="329"/>
      <c r="BM146" s="329"/>
      <c r="BN146" s="329"/>
      <c r="BO146" s="329"/>
      <c r="BP146" s="329"/>
      <c r="BQ146" s="329"/>
      <c r="BR146" s="329"/>
      <c r="BS146" s="329"/>
    </row>
    <row r="147" spans="1:71" ht="12.75" x14ac:dyDescent="0.2">
      <c r="A147" s="331"/>
      <c r="B147" s="329"/>
      <c r="C147" s="329"/>
      <c r="D147" s="329"/>
      <c r="E147" s="329"/>
      <c r="F147" s="329"/>
      <c r="G147" s="329"/>
      <c r="H147" s="329"/>
      <c r="I147" s="329"/>
      <c r="J147" s="329"/>
      <c r="K147" s="329"/>
      <c r="L147" s="329"/>
      <c r="M147" s="329"/>
      <c r="N147" s="329"/>
      <c r="O147" s="329"/>
      <c r="P147" s="329"/>
      <c r="Q147" s="329"/>
      <c r="R147" s="329"/>
      <c r="S147" s="329"/>
      <c r="T147" s="329"/>
      <c r="U147" s="329"/>
      <c r="V147" s="329"/>
      <c r="W147" s="329"/>
      <c r="X147" s="329"/>
      <c r="Y147" s="329"/>
      <c r="Z147" s="329"/>
      <c r="AA147" s="329"/>
      <c r="AB147" s="329"/>
      <c r="AC147" s="329"/>
      <c r="AD147" s="329"/>
      <c r="AE147" s="329"/>
      <c r="AF147" s="329"/>
      <c r="AG147" s="329"/>
      <c r="AH147" s="329"/>
      <c r="AI147" s="329"/>
      <c r="AJ147" s="329"/>
      <c r="AK147" s="329"/>
      <c r="AL147" s="329"/>
      <c r="AM147" s="329"/>
      <c r="AN147" s="329"/>
      <c r="AO147" s="329"/>
      <c r="AP147" s="329"/>
      <c r="AQ147" s="329"/>
      <c r="AR147" s="329"/>
      <c r="AS147" s="329"/>
      <c r="AT147" s="329"/>
      <c r="AU147" s="329"/>
      <c r="AV147" s="329"/>
      <c r="AW147" s="329"/>
      <c r="AX147" s="329"/>
      <c r="AY147" s="329"/>
      <c r="AZ147" s="329"/>
      <c r="BA147" s="329"/>
      <c r="BB147" s="329"/>
      <c r="BC147" s="329"/>
      <c r="BD147" s="329"/>
      <c r="BE147" s="329"/>
      <c r="BF147" s="329"/>
      <c r="BG147" s="329"/>
      <c r="BH147" s="329"/>
      <c r="BI147" s="329"/>
      <c r="BJ147" s="329"/>
      <c r="BK147" s="329"/>
      <c r="BL147" s="329"/>
      <c r="BM147" s="329"/>
      <c r="BN147" s="329"/>
      <c r="BO147" s="329"/>
      <c r="BP147" s="329"/>
      <c r="BQ147" s="329"/>
      <c r="BR147" s="329"/>
      <c r="BS147" s="329"/>
    </row>
    <row r="148" spans="1:71" ht="12.75" x14ac:dyDescent="0.2">
      <c r="A148" s="331"/>
      <c r="B148" s="329"/>
      <c r="C148" s="329"/>
      <c r="D148" s="329"/>
      <c r="E148" s="329"/>
      <c r="F148" s="329"/>
      <c r="G148" s="329"/>
      <c r="H148" s="329"/>
      <c r="I148" s="329"/>
      <c r="J148" s="329"/>
      <c r="K148" s="329"/>
      <c r="L148" s="329"/>
      <c r="M148" s="329"/>
      <c r="N148" s="329"/>
      <c r="O148" s="329"/>
      <c r="P148" s="329"/>
      <c r="Q148" s="329"/>
      <c r="R148" s="329"/>
      <c r="S148" s="329"/>
      <c r="T148" s="329"/>
      <c r="U148" s="329"/>
      <c r="V148" s="329"/>
      <c r="W148" s="329"/>
      <c r="X148" s="329"/>
      <c r="Y148" s="329"/>
      <c r="Z148" s="329"/>
      <c r="AA148" s="329"/>
      <c r="AB148" s="329"/>
      <c r="AC148" s="329"/>
      <c r="AD148" s="329"/>
      <c r="AE148" s="329"/>
      <c r="AF148" s="329"/>
      <c r="AG148" s="329"/>
      <c r="AH148" s="329"/>
      <c r="AI148" s="329"/>
      <c r="AJ148" s="329"/>
      <c r="AK148" s="329"/>
      <c r="AL148" s="329"/>
      <c r="AM148" s="329"/>
      <c r="AN148" s="329"/>
      <c r="AO148" s="329"/>
      <c r="AP148" s="329"/>
      <c r="AQ148" s="329"/>
      <c r="AR148" s="329"/>
      <c r="AS148" s="329"/>
      <c r="AT148" s="329"/>
      <c r="AU148" s="329"/>
      <c r="AV148" s="329"/>
      <c r="AW148" s="329"/>
      <c r="AX148" s="329"/>
      <c r="AY148" s="329"/>
      <c r="AZ148" s="329"/>
      <c r="BA148" s="329"/>
      <c r="BB148" s="329"/>
      <c r="BC148" s="329"/>
      <c r="BD148" s="329"/>
      <c r="BE148" s="329"/>
      <c r="BF148" s="329"/>
      <c r="BG148" s="329"/>
      <c r="BH148" s="329"/>
      <c r="BI148" s="329"/>
      <c r="BJ148" s="329"/>
      <c r="BK148" s="329"/>
      <c r="BL148" s="329"/>
      <c r="BM148" s="329"/>
      <c r="BN148" s="329"/>
      <c r="BO148" s="329"/>
      <c r="BP148" s="329"/>
      <c r="BQ148" s="329"/>
      <c r="BR148" s="329"/>
      <c r="BS148" s="329"/>
    </row>
    <row r="149" spans="1:71" ht="12.75" x14ac:dyDescent="0.2">
      <c r="A149" s="331"/>
      <c r="B149" s="329"/>
      <c r="C149" s="329"/>
      <c r="D149" s="329"/>
      <c r="E149" s="329"/>
      <c r="F149" s="329"/>
      <c r="G149" s="329"/>
      <c r="H149" s="329"/>
      <c r="I149" s="329"/>
      <c r="J149" s="329"/>
      <c r="K149" s="329"/>
      <c r="L149" s="329"/>
      <c r="M149" s="329"/>
      <c r="N149" s="329"/>
      <c r="O149" s="329"/>
      <c r="P149" s="329"/>
      <c r="Q149" s="329"/>
      <c r="R149" s="329"/>
      <c r="S149" s="329"/>
      <c r="T149" s="329"/>
      <c r="U149" s="329"/>
      <c r="V149" s="329"/>
      <c r="W149" s="329"/>
      <c r="X149" s="329"/>
      <c r="Y149" s="329"/>
      <c r="Z149" s="329"/>
      <c r="AA149" s="329"/>
      <c r="AB149" s="329"/>
      <c r="AC149" s="329"/>
      <c r="AD149" s="329"/>
      <c r="AE149" s="329"/>
      <c r="AF149" s="329"/>
      <c r="AG149" s="329"/>
      <c r="AH149" s="329"/>
      <c r="AI149" s="329"/>
      <c r="AJ149" s="329"/>
      <c r="AK149" s="329"/>
      <c r="AL149" s="329"/>
      <c r="AM149" s="329"/>
      <c r="AN149" s="329"/>
      <c r="AO149" s="329"/>
      <c r="AP149" s="329"/>
      <c r="AQ149" s="329"/>
      <c r="AR149" s="329"/>
      <c r="AS149" s="329"/>
      <c r="AT149" s="329"/>
      <c r="AU149" s="329"/>
      <c r="AV149" s="329"/>
      <c r="AW149" s="329"/>
      <c r="AX149" s="329"/>
      <c r="AY149" s="329"/>
      <c r="AZ149" s="329"/>
      <c r="BA149" s="329"/>
      <c r="BB149" s="329"/>
      <c r="BC149" s="329"/>
      <c r="BD149" s="329"/>
      <c r="BE149" s="329"/>
      <c r="BF149" s="329"/>
      <c r="BG149" s="329"/>
      <c r="BH149" s="329"/>
      <c r="BI149" s="329"/>
      <c r="BJ149" s="329"/>
      <c r="BK149" s="329"/>
      <c r="BL149" s="329"/>
      <c r="BM149" s="329"/>
      <c r="BN149" s="329"/>
      <c r="BO149" s="329"/>
      <c r="BP149" s="329"/>
      <c r="BQ149" s="329"/>
      <c r="BR149" s="329"/>
      <c r="BS149" s="329"/>
    </row>
    <row r="150" spans="1:71" ht="12.75" x14ac:dyDescent="0.2">
      <c r="A150" s="331"/>
      <c r="B150" s="329"/>
      <c r="C150" s="329"/>
      <c r="D150" s="329"/>
      <c r="E150" s="329"/>
      <c r="F150" s="329"/>
      <c r="G150" s="329"/>
      <c r="H150" s="329"/>
      <c r="I150" s="329"/>
      <c r="J150" s="329"/>
      <c r="K150" s="329"/>
      <c r="L150" s="329"/>
      <c r="M150" s="329"/>
      <c r="N150" s="329"/>
      <c r="O150" s="329"/>
      <c r="P150" s="329"/>
      <c r="Q150" s="329"/>
      <c r="R150" s="329"/>
      <c r="S150" s="329"/>
      <c r="T150" s="329"/>
      <c r="U150" s="329"/>
      <c r="V150" s="329"/>
      <c r="W150" s="329"/>
      <c r="X150" s="329"/>
      <c r="Y150" s="329"/>
      <c r="Z150" s="329"/>
      <c r="AA150" s="329"/>
      <c r="AB150" s="329"/>
      <c r="AC150" s="329"/>
      <c r="AD150" s="329"/>
      <c r="AE150" s="329"/>
      <c r="AF150" s="329"/>
      <c r="AG150" s="329"/>
      <c r="AH150" s="329"/>
      <c r="AI150" s="329"/>
      <c r="AJ150" s="329"/>
      <c r="AK150" s="329"/>
      <c r="AL150" s="329"/>
      <c r="AM150" s="329"/>
      <c r="AN150" s="329"/>
      <c r="AO150" s="329"/>
      <c r="AP150" s="329"/>
      <c r="AQ150" s="329"/>
      <c r="AR150" s="329"/>
      <c r="AS150" s="329"/>
      <c r="AT150" s="329"/>
      <c r="AU150" s="329"/>
      <c r="AV150" s="329"/>
      <c r="AW150" s="329"/>
      <c r="AX150" s="329"/>
      <c r="AY150" s="329"/>
      <c r="AZ150" s="329"/>
      <c r="BA150" s="329"/>
      <c r="BB150" s="329"/>
      <c r="BC150" s="329"/>
      <c r="BD150" s="329"/>
      <c r="BE150" s="329"/>
      <c r="BF150" s="329"/>
      <c r="BG150" s="329"/>
      <c r="BH150" s="329"/>
      <c r="BI150" s="329"/>
      <c r="BJ150" s="329"/>
      <c r="BK150" s="329"/>
      <c r="BL150" s="329"/>
      <c r="BM150" s="329"/>
      <c r="BN150" s="329"/>
      <c r="BO150" s="329"/>
      <c r="BP150" s="329"/>
      <c r="BQ150" s="329"/>
      <c r="BR150" s="329"/>
      <c r="BS150" s="329"/>
    </row>
    <row r="151" spans="1:71" ht="12.75" x14ac:dyDescent="0.2">
      <c r="A151" s="331"/>
      <c r="B151" s="329"/>
      <c r="C151" s="329"/>
      <c r="D151" s="329"/>
      <c r="E151" s="329"/>
      <c r="F151" s="329"/>
      <c r="G151" s="329"/>
      <c r="H151" s="329"/>
      <c r="I151" s="329"/>
      <c r="J151" s="329"/>
      <c r="K151" s="329"/>
      <c r="L151" s="329"/>
      <c r="M151" s="329"/>
      <c r="N151" s="329"/>
      <c r="O151" s="329"/>
      <c r="P151" s="329"/>
      <c r="Q151" s="329"/>
      <c r="R151" s="329"/>
      <c r="S151" s="329"/>
      <c r="T151" s="329"/>
      <c r="U151" s="329"/>
      <c r="V151" s="329"/>
      <c r="W151" s="329"/>
      <c r="X151" s="329"/>
      <c r="Y151" s="329"/>
      <c r="Z151" s="329"/>
      <c r="AA151" s="329"/>
      <c r="AB151" s="329"/>
      <c r="AC151" s="329"/>
      <c r="AD151" s="329"/>
      <c r="AE151" s="329"/>
      <c r="AF151" s="329"/>
      <c r="AG151" s="329"/>
      <c r="AH151" s="329"/>
      <c r="AI151" s="329"/>
      <c r="AJ151" s="329"/>
      <c r="AK151" s="329"/>
      <c r="AL151" s="329"/>
      <c r="AM151" s="329"/>
      <c r="AN151" s="329"/>
      <c r="AO151" s="329"/>
      <c r="AP151" s="329"/>
      <c r="AQ151" s="329"/>
      <c r="AR151" s="329"/>
      <c r="AS151" s="329"/>
      <c r="AT151" s="329"/>
      <c r="AU151" s="329"/>
      <c r="AV151" s="329"/>
      <c r="AW151" s="329"/>
      <c r="AX151" s="329"/>
      <c r="AY151" s="329"/>
      <c r="AZ151" s="329"/>
      <c r="BA151" s="329"/>
      <c r="BB151" s="329"/>
      <c r="BC151" s="329"/>
      <c r="BD151" s="329"/>
      <c r="BE151" s="329"/>
      <c r="BF151" s="329"/>
      <c r="BG151" s="329"/>
      <c r="BH151" s="329"/>
      <c r="BI151" s="329"/>
      <c r="BJ151" s="329"/>
      <c r="BK151" s="329"/>
      <c r="BL151" s="329"/>
      <c r="BM151" s="329"/>
      <c r="BN151" s="329"/>
      <c r="BO151" s="329"/>
      <c r="BP151" s="329"/>
      <c r="BQ151" s="329"/>
      <c r="BR151" s="329"/>
      <c r="BS151" s="329"/>
    </row>
    <row r="152" spans="1:71" ht="12.75" x14ac:dyDescent="0.2">
      <c r="A152" s="331"/>
      <c r="B152" s="329"/>
      <c r="C152" s="329"/>
      <c r="D152" s="329"/>
      <c r="E152" s="329"/>
      <c r="F152" s="329"/>
      <c r="G152" s="329"/>
      <c r="H152" s="329"/>
      <c r="I152" s="329"/>
      <c r="J152" s="329"/>
      <c r="K152" s="329"/>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29"/>
      <c r="AQ152" s="329"/>
      <c r="AR152" s="329"/>
      <c r="AS152" s="329"/>
      <c r="AT152" s="329"/>
      <c r="AU152" s="329"/>
      <c r="AV152" s="329"/>
      <c r="AW152" s="329"/>
      <c r="AX152" s="329"/>
      <c r="AY152" s="329"/>
      <c r="AZ152" s="329"/>
      <c r="BA152" s="329"/>
      <c r="BB152" s="329"/>
      <c r="BC152" s="329"/>
      <c r="BD152" s="329"/>
      <c r="BE152" s="329"/>
      <c r="BF152" s="329"/>
      <c r="BG152" s="329"/>
      <c r="BH152" s="329"/>
      <c r="BI152" s="329"/>
      <c r="BJ152" s="329"/>
      <c r="BK152" s="329"/>
      <c r="BL152" s="329"/>
      <c r="BM152" s="329"/>
      <c r="BN152" s="329"/>
      <c r="BO152" s="329"/>
      <c r="BP152" s="329"/>
      <c r="BQ152" s="329"/>
      <c r="BR152" s="329"/>
      <c r="BS152" s="329"/>
    </row>
    <row r="153" spans="1:71" ht="12.75" x14ac:dyDescent="0.2">
      <c r="A153" s="331"/>
      <c r="B153" s="329"/>
      <c r="C153" s="329"/>
      <c r="D153" s="329"/>
      <c r="E153" s="329"/>
      <c r="F153" s="329"/>
      <c r="G153" s="329"/>
      <c r="H153" s="329"/>
      <c r="I153" s="329"/>
      <c r="J153" s="329"/>
      <c r="K153" s="329"/>
      <c r="L153" s="329"/>
      <c r="M153" s="329"/>
      <c r="N153" s="329"/>
      <c r="O153" s="329"/>
      <c r="P153" s="329"/>
      <c r="Q153" s="329"/>
      <c r="R153" s="329"/>
      <c r="S153" s="329"/>
      <c r="T153" s="329"/>
      <c r="U153" s="329"/>
      <c r="V153" s="329"/>
      <c r="W153" s="329"/>
      <c r="X153" s="329"/>
      <c r="Y153" s="329"/>
      <c r="Z153" s="329"/>
      <c r="AA153" s="329"/>
      <c r="AB153" s="329"/>
      <c r="AC153" s="329"/>
      <c r="AD153" s="329"/>
      <c r="AE153" s="329"/>
      <c r="AF153" s="329"/>
      <c r="AG153" s="329"/>
      <c r="AH153" s="329"/>
      <c r="AI153" s="329"/>
      <c r="AJ153" s="329"/>
      <c r="AK153" s="329"/>
      <c r="AL153" s="329"/>
      <c r="AM153" s="329"/>
      <c r="AN153" s="329"/>
      <c r="AO153" s="329"/>
      <c r="AP153" s="329"/>
      <c r="AQ153" s="329"/>
      <c r="AR153" s="329"/>
      <c r="AS153" s="329"/>
      <c r="AT153" s="329"/>
      <c r="AU153" s="329"/>
      <c r="AV153" s="329"/>
      <c r="AW153" s="329"/>
      <c r="AX153" s="329"/>
      <c r="AY153" s="329"/>
      <c r="AZ153" s="329"/>
      <c r="BA153" s="329"/>
      <c r="BB153" s="329"/>
      <c r="BC153" s="329"/>
      <c r="BD153" s="329"/>
      <c r="BE153" s="329"/>
      <c r="BF153" s="329"/>
      <c r="BG153" s="329"/>
      <c r="BH153" s="329"/>
      <c r="BI153" s="329"/>
      <c r="BJ153" s="329"/>
      <c r="BK153" s="329"/>
      <c r="BL153" s="329"/>
      <c r="BM153" s="329"/>
      <c r="BN153" s="329"/>
      <c r="BO153" s="329"/>
      <c r="BP153" s="329"/>
      <c r="BQ153" s="329"/>
      <c r="BR153" s="329"/>
      <c r="BS153" s="329"/>
    </row>
    <row r="154" spans="1:71" ht="12.75" x14ac:dyDescent="0.2">
      <c r="A154" s="331"/>
      <c r="B154" s="329"/>
      <c r="C154" s="329"/>
      <c r="D154" s="329"/>
      <c r="E154" s="329"/>
      <c r="F154" s="329"/>
      <c r="G154" s="329"/>
      <c r="H154" s="329"/>
      <c r="I154" s="329"/>
      <c r="J154" s="329"/>
      <c r="K154" s="329"/>
      <c r="L154" s="329"/>
      <c r="M154" s="329"/>
      <c r="N154" s="329"/>
      <c r="O154" s="329"/>
      <c r="P154" s="329"/>
      <c r="Q154" s="329"/>
      <c r="R154" s="329"/>
      <c r="S154" s="329"/>
      <c r="T154" s="329"/>
      <c r="U154" s="329"/>
      <c r="V154" s="329"/>
      <c r="W154" s="329"/>
      <c r="X154" s="329"/>
      <c r="Y154" s="329"/>
      <c r="Z154" s="329"/>
      <c r="AA154" s="329"/>
      <c r="AB154" s="329"/>
      <c r="AC154" s="329"/>
      <c r="AD154" s="329"/>
      <c r="AE154" s="329"/>
      <c r="AF154" s="329"/>
      <c r="AG154" s="329"/>
      <c r="AH154" s="329"/>
      <c r="AI154" s="329"/>
      <c r="AJ154" s="329"/>
      <c r="AK154" s="329"/>
      <c r="AL154" s="329"/>
      <c r="AM154" s="329"/>
      <c r="AN154" s="329"/>
      <c r="AO154" s="329"/>
      <c r="AP154" s="329"/>
      <c r="AQ154" s="329"/>
      <c r="AR154" s="329"/>
      <c r="AS154" s="329"/>
      <c r="AT154" s="329"/>
      <c r="AU154" s="329"/>
      <c r="AV154" s="329"/>
      <c r="AW154" s="329"/>
      <c r="AX154" s="329"/>
      <c r="AY154" s="329"/>
      <c r="AZ154" s="329"/>
      <c r="BA154" s="329"/>
      <c r="BB154" s="329"/>
      <c r="BC154" s="329"/>
      <c r="BD154" s="329"/>
      <c r="BE154" s="329"/>
      <c r="BF154" s="329"/>
      <c r="BG154" s="329"/>
      <c r="BH154" s="329"/>
      <c r="BI154" s="329"/>
      <c r="BJ154" s="329"/>
      <c r="BK154" s="329"/>
      <c r="BL154" s="329"/>
      <c r="BM154" s="329"/>
      <c r="BN154" s="329"/>
      <c r="BO154" s="329"/>
      <c r="BP154" s="329"/>
      <c r="BQ154" s="329"/>
      <c r="BR154" s="329"/>
      <c r="BS154" s="329"/>
    </row>
    <row r="155" spans="1:71" ht="12.75" x14ac:dyDescent="0.2">
      <c r="A155" s="331"/>
      <c r="B155" s="329"/>
      <c r="C155" s="329"/>
      <c r="D155" s="329"/>
      <c r="E155" s="329"/>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29"/>
      <c r="AK155" s="329"/>
      <c r="AL155" s="329"/>
      <c r="AM155" s="329"/>
      <c r="AN155" s="329"/>
      <c r="AO155" s="329"/>
      <c r="AP155" s="329"/>
      <c r="AQ155" s="329"/>
      <c r="AR155" s="329"/>
      <c r="AS155" s="329"/>
      <c r="AT155" s="329"/>
      <c r="AU155" s="329"/>
      <c r="AV155" s="329"/>
      <c r="AW155" s="329"/>
      <c r="AX155" s="329"/>
      <c r="AY155" s="329"/>
      <c r="AZ155" s="329"/>
      <c r="BA155" s="329"/>
      <c r="BB155" s="329"/>
      <c r="BC155" s="329"/>
      <c r="BD155" s="329"/>
      <c r="BE155" s="329"/>
      <c r="BF155" s="329"/>
      <c r="BG155" s="329"/>
      <c r="BH155" s="329"/>
      <c r="BI155" s="329"/>
      <c r="BJ155" s="329"/>
      <c r="BK155" s="329"/>
      <c r="BL155" s="329"/>
      <c r="BM155" s="329"/>
      <c r="BN155" s="329"/>
      <c r="BO155" s="329"/>
      <c r="BP155" s="329"/>
      <c r="BQ155" s="329"/>
      <c r="BR155" s="329"/>
      <c r="BS155" s="329"/>
    </row>
    <row r="156" spans="1:71" ht="12.75" x14ac:dyDescent="0.2">
      <c r="A156" s="330"/>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0"/>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0"/>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0"/>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0"/>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0"/>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0"/>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0"/>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0"/>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0"/>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0"/>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0"/>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0"/>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0"/>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0"/>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0"/>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0"/>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0"/>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0"/>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0"/>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0"/>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0"/>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0"/>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0"/>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0"/>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0"/>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0"/>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0"/>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0"/>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0"/>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0"/>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0"/>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0"/>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0"/>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0"/>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0"/>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0"/>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0"/>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0"/>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0"/>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0"/>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0"/>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0"/>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0"/>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0"/>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0"/>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0"/>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0"/>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0"/>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0"/>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0"/>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0"/>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0"/>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46" zoomScale="70" zoomScaleNormal="100" zoomScaleSheetLayoutView="70" workbookViewId="0">
      <selection activeCell="J26" sqref="J26"/>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7" t="str">
        <f>'5. анализ эконом эфф'!A5</f>
        <v>Год раскрытия информации: 2023 год</v>
      </c>
      <c r="B5" s="407"/>
      <c r="C5" s="407"/>
      <c r="D5" s="407"/>
      <c r="E5" s="407"/>
      <c r="F5" s="407"/>
      <c r="G5" s="407"/>
      <c r="H5" s="407"/>
      <c r="I5" s="407"/>
      <c r="J5" s="407"/>
      <c r="K5" s="407"/>
    </row>
    <row r="6" spans="1:11" ht="15.75" x14ac:dyDescent="0.25">
      <c r="A6" s="17"/>
      <c r="B6" s="17"/>
      <c r="C6" s="52"/>
      <c r="D6" s="52"/>
      <c r="E6" s="52"/>
      <c r="F6" s="52"/>
      <c r="G6" s="52"/>
      <c r="H6" s="52"/>
      <c r="I6" s="52"/>
      <c r="J6" s="17"/>
      <c r="K6" s="17"/>
    </row>
    <row r="7" spans="1:11" ht="18.75" x14ac:dyDescent="0.25">
      <c r="A7" s="488" t="s">
        <v>7</v>
      </c>
      <c r="B7" s="488"/>
      <c r="C7" s="488"/>
      <c r="D7" s="488"/>
      <c r="E7" s="488"/>
      <c r="F7" s="488"/>
      <c r="G7" s="488"/>
      <c r="H7" s="488"/>
      <c r="I7" s="488"/>
      <c r="J7" s="488"/>
      <c r="K7" s="488"/>
    </row>
    <row r="8" spans="1:11" ht="18.75" x14ac:dyDescent="0.25">
      <c r="A8" s="488"/>
      <c r="B8" s="488"/>
      <c r="C8" s="488"/>
      <c r="D8" s="488"/>
      <c r="E8" s="488"/>
      <c r="F8" s="488"/>
      <c r="G8" s="488"/>
      <c r="H8" s="488"/>
      <c r="I8" s="488"/>
      <c r="J8" s="488"/>
      <c r="K8" s="488"/>
    </row>
    <row r="9" spans="1:11" ht="15.75" x14ac:dyDescent="0.25">
      <c r="A9" s="489" t="str">
        <f>'5. анализ эконом эфф'!A9</f>
        <v>Акционерное общество "Россети Янтарь"</v>
      </c>
      <c r="B9" s="489"/>
      <c r="C9" s="489"/>
      <c r="D9" s="489"/>
      <c r="E9" s="489"/>
      <c r="F9" s="489"/>
      <c r="G9" s="489"/>
      <c r="H9" s="489"/>
      <c r="I9" s="489"/>
      <c r="J9" s="489"/>
      <c r="K9" s="489"/>
    </row>
    <row r="10" spans="1:11" ht="15.75" x14ac:dyDescent="0.25">
      <c r="A10" s="475" t="s">
        <v>6</v>
      </c>
      <c r="B10" s="475"/>
      <c r="C10" s="475"/>
      <c r="D10" s="475"/>
      <c r="E10" s="475"/>
      <c r="F10" s="475"/>
      <c r="G10" s="475"/>
      <c r="H10" s="475"/>
      <c r="I10" s="475"/>
      <c r="J10" s="475"/>
      <c r="K10" s="475"/>
    </row>
    <row r="11" spans="1:11" ht="18.75" x14ac:dyDescent="0.25">
      <c r="A11" s="488"/>
      <c r="B11" s="488"/>
      <c r="C11" s="488"/>
      <c r="D11" s="488"/>
      <c r="E11" s="488"/>
      <c r="F11" s="488"/>
      <c r="G11" s="488"/>
      <c r="H11" s="488"/>
      <c r="I11" s="488"/>
      <c r="J11" s="488"/>
      <c r="K11" s="488"/>
    </row>
    <row r="12" spans="1:11" ht="15.75" x14ac:dyDescent="0.25">
      <c r="A12" s="489" t="str">
        <f>'5. анализ эконом эфф'!A12</f>
        <v>M_21-0752</v>
      </c>
      <c r="B12" s="489"/>
      <c r="C12" s="489"/>
      <c r="D12" s="489"/>
      <c r="E12" s="489"/>
      <c r="F12" s="489"/>
      <c r="G12" s="489"/>
      <c r="H12" s="489"/>
      <c r="I12" s="489"/>
      <c r="J12" s="489"/>
      <c r="K12" s="489"/>
    </row>
    <row r="13" spans="1:11" ht="15.75" x14ac:dyDescent="0.25">
      <c r="A13" s="475" t="s">
        <v>5</v>
      </c>
      <c r="B13" s="475"/>
      <c r="C13" s="475"/>
      <c r="D13" s="475"/>
      <c r="E13" s="475"/>
      <c r="F13" s="475"/>
      <c r="G13" s="475"/>
      <c r="H13" s="475"/>
      <c r="I13" s="475"/>
      <c r="J13" s="475"/>
      <c r="K13" s="475"/>
    </row>
    <row r="14" spans="1:11" ht="18.75" x14ac:dyDescent="0.25">
      <c r="A14" s="420"/>
      <c r="B14" s="420"/>
      <c r="C14" s="420"/>
      <c r="D14" s="420"/>
      <c r="E14" s="420"/>
      <c r="F14" s="420"/>
      <c r="G14" s="420"/>
      <c r="H14" s="420"/>
      <c r="I14" s="420"/>
      <c r="J14" s="420"/>
      <c r="K14" s="420"/>
    </row>
    <row r="15" spans="1:11" ht="15.75" x14ac:dyDescent="0.25">
      <c r="A15" s="476" t="str">
        <f>'5. анализ эконом эфф'!A15</f>
        <v>Строительство КТП 10/0,4 кВ, КЛ-10 кВ, организация системы учета электроэнергии по Московскому проспекту в г. Калининграде</v>
      </c>
      <c r="B15" s="476"/>
      <c r="C15" s="476"/>
      <c r="D15" s="476"/>
      <c r="E15" s="476"/>
      <c r="F15" s="476"/>
      <c r="G15" s="476"/>
      <c r="H15" s="476"/>
      <c r="I15" s="476"/>
      <c r="J15" s="476"/>
      <c r="K15" s="476"/>
    </row>
    <row r="16" spans="1:11" ht="15.75" x14ac:dyDescent="0.25">
      <c r="A16" s="475" t="s">
        <v>4</v>
      </c>
      <c r="B16" s="475"/>
      <c r="C16" s="475"/>
      <c r="D16" s="475"/>
      <c r="E16" s="475"/>
      <c r="F16" s="475"/>
      <c r="G16" s="475"/>
      <c r="H16" s="475"/>
      <c r="I16" s="475"/>
      <c r="J16" s="475"/>
      <c r="K16" s="47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3" t="s">
        <v>358</v>
      </c>
      <c r="B19" s="483"/>
      <c r="C19" s="483"/>
      <c r="D19" s="483"/>
      <c r="E19" s="483"/>
      <c r="F19" s="483"/>
      <c r="G19" s="483"/>
      <c r="H19" s="483"/>
      <c r="I19" s="483"/>
      <c r="J19" s="483"/>
      <c r="K19" s="483"/>
    </row>
    <row r="20" spans="1:12" ht="15.75" x14ac:dyDescent="0.25">
      <c r="A20" s="53"/>
      <c r="K20" s="52"/>
    </row>
    <row r="21" spans="1:12" ht="15.75" x14ac:dyDescent="0.25">
      <c r="A21" s="477" t="s">
        <v>193</v>
      </c>
      <c r="B21" s="477" t="s">
        <v>398</v>
      </c>
      <c r="C21" s="477" t="s">
        <v>403</v>
      </c>
      <c r="D21" s="477"/>
      <c r="E21" s="477"/>
      <c r="F21" s="477"/>
      <c r="G21" s="477"/>
      <c r="H21" s="477"/>
      <c r="I21" s="478" t="s">
        <v>192</v>
      </c>
      <c r="J21" s="479" t="s">
        <v>404</v>
      </c>
      <c r="K21" s="477" t="s">
        <v>191</v>
      </c>
      <c r="L21" s="474" t="s">
        <v>469</v>
      </c>
    </row>
    <row r="22" spans="1:12" ht="32.25" customHeight="1" x14ac:dyDescent="0.25">
      <c r="A22" s="477"/>
      <c r="B22" s="477"/>
      <c r="C22" s="482" t="s">
        <v>2</v>
      </c>
      <c r="D22" s="482"/>
      <c r="E22" s="486" t="s">
        <v>9</v>
      </c>
      <c r="F22" s="487"/>
      <c r="G22" s="484" t="s">
        <v>465</v>
      </c>
      <c r="H22" s="485"/>
      <c r="I22" s="478"/>
      <c r="J22" s="480"/>
      <c r="K22" s="477"/>
      <c r="L22" s="474"/>
    </row>
    <row r="23" spans="1:12" ht="31.5" x14ac:dyDescent="0.25">
      <c r="A23" s="477"/>
      <c r="B23" s="477"/>
      <c r="C23" s="137" t="s">
        <v>190</v>
      </c>
      <c r="D23" s="137" t="s">
        <v>189</v>
      </c>
      <c r="E23" s="137" t="s">
        <v>190</v>
      </c>
      <c r="F23" s="137" t="s">
        <v>189</v>
      </c>
      <c r="G23" s="137" t="s">
        <v>190</v>
      </c>
      <c r="H23" s="137" t="s">
        <v>189</v>
      </c>
      <c r="I23" s="478"/>
      <c r="J23" s="481"/>
      <c r="K23" s="477"/>
      <c r="L23" s="474"/>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405</v>
      </c>
      <c r="B26" s="152" t="s">
        <v>406</v>
      </c>
      <c r="C26" s="164" t="s">
        <v>477</v>
      </c>
      <c r="D26" s="165" t="s">
        <v>477</v>
      </c>
      <c r="E26" s="165">
        <v>44295</v>
      </c>
      <c r="F26" s="165">
        <v>44295</v>
      </c>
      <c r="G26" s="165"/>
      <c r="H26" s="165"/>
      <c r="I26" s="353">
        <v>100</v>
      </c>
      <c r="J26" s="353"/>
      <c r="K26" s="144"/>
      <c r="L26" s="144"/>
    </row>
    <row r="27" spans="1:12" ht="31.5" x14ac:dyDescent="0.25">
      <c r="A27" s="150" t="s">
        <v>408</v>
      </c>
      <c r="B27" s="152" t="s">
        <v>409</v>
      </c>
      <c r="C27" s="164" t="s">
        <v>477</v>
      </c>
      <c r="D27" s="165" t="s">
        <v>477</v>
      </c>
      <c r="E27" s="164" t="s">
        <v>407</v>
      </c>
      <c r="F27" s="165" t="str">
        <f t="shared" ref="F27:F30" si="0">E27</f>
        <v>не требуется</v>
      </c>
      <c r="G27" s="165"/>
      <c r="H27" s="165"/>
      <c r="I27" s="168"/>
      <c r="J27" s="138"/>
      <c r="K27" s="144"/>
      <c r="L27" s="144"/>
    </row>
    <row r="28" spans="1:12" ht="47.25" x14ac:dyDescent="0.25">
      <c r="A28" s="150" t="s">
        <v>411</v>
      </c>
      <c r="B28" s="152" t="s">
        <v>410</v>
      </c>
      <c r="C28" s="164" t="s">
        <v>477</v>
      </c>
      <c r="D28" s="165" t="s">
        <v>477</v>
      </c>
      <c r="E28" s="164" t="s">
        <v>407</v>
      </c>
      <c r="F28" s="165" t="str">
        <f t="shared" si="0"/>
        <v>не требуется</v>
      </c>
      <c r="G28" s="165"/>
      <c r="H28" s="165"/>
      <c r="I28" s="168"/>
      <c r="J28" s="138"/>
      <c r="K28" s="144"/>
      <c r="L28" s="144"/>
    </row>
    <row r="29" spans="1:12" ht="31.5" x14ac:dyDescent="0.25">
      <c r="A29" s="150" t="s">
        <v>413</v>
      </c>
      <c r="B29" s="152" t="s">
        <v>412</v>
      </c>
      <c r="C29" s="164" t="s">
        <v>477</v>
      </c>
      <c r="D29" s="165" t="s">
        <v>477</v>
      </c>
      <c r="E29" s="164" t="s">
        <v>407</v>
      </c>
      <c r="F29" s="165" t="str">
        <f t="shared" si="0"/>
        <v>не требуется</v>
      </c>
      <c r="G29" s="165"/>
      <c r="H29" s="165"/>
      <c r="I29" s="168"/>
      <c r="J29" s="139"/>
      <c r="K29" s="144"/>
      <c r="L29" s="144"/>
    </row>
    <row r="30" spans="1:12" ht="31.5" x14ac:dyDescent="0.25">
      <c r="A30" s="150" t="s">
        <v>415</v>
      </c>
      <c r="B30" s="152" t="s">
        <v>414</v>
      </c>
      <c r="C30" s="164" t="s">
        <v>477</v>
      </c>
      <c r="D30" s="165" t="s">
        <v>477</v>
      </c>
      <c r="E30" s="164" t="s">
        <v>407</v>
      </c>
      <c r="F30" s="165" t="str">
        <f t="shared" si="0"/>
        <v>не требуется</v>
      </c>
      <c r="G30" s="165"/>
      <c r="H30" s="165"/>
      <c r="I30" s="168"/>
      <c r="J30" s="143"/>
      <c r="K30" s="144"/>
      <c r="L30" s="144"/>
    </row>
    <row r="31" spans="1:12" ht="31.5" x14ac:dyDescent="0.25">
      <c r="A31" s="150" t="s">
        <v>416</v>
      </c>
      <c r="B31" s="152" t="s">
        <v>322</v>
      </c>
      <c r="C31" s="164" t="s">
        <v>477</v>
      </c>
      <c r="D31" s="165" t="s">
        <v>477</v>
      </c>
      <c r="E31" s="164">
        <v>44480</v>
      </c>
      <c r="F31" s="164">
        <v>44480</v>
      </c>
      <c r="G31" s="165"/>
      <c r="H31" s="165"/>
      <c r="I31" s="353">
        <v>100</v>
      </c>
      <c r="J31" s="143"/>
      <c r="K31" s="144"/>
      <c r="L31" s="144"/>
    </row>
    <row r="32" spans="1:12" ht="31.5" x14ac:dyDescent="0.25">
      <c r="A32" s="150" t="s">
        <v>418</v>
      </c>
      <c r="B32" s="152" t="s">
        <v>417</v>
      </c>
      <c r="C32" s="164" t="s">
        <v>477</v>
      </c>
      <c r="D32" s="165" t="s">
        <v>477</v>
      </c>
      <c r="E32" s="164">
        <v>44707</v>
      </c>
      <c r="F32" s="165">
        <v>44707</v>
      </c>
      <c r="G32" s="165"/>
      <c r="H32" s="165"/>
      <c r="I32" s="353">
        <v>100</v>
      </c>
      <c r="J32" s="353"/>
      <c r="K32" s="144"/>
      <c r="L32" s="144"/>
    </row>
    <row r="33" spans="1:12" ht="47.25" x14ac:dyDescent="0.25">
      <c r="A33" s="150" t="s">
        <v>420</v>
      </c>
      <c r="B33" s="152" t="s">
        <v>419</v>
      </c>
      <c r="C33" s="164" t="s">
        <v>477</v>
      </c>
      <c r="D33" s="165" t="s">
        <v>477</v>
      </c>
      <c r="E33" s="164" t="s">
        <v>407</v>
      </c>
      <c r="F33" s="165" t="str">
        <f t="shared" ref="F33:F34" si="1">E33</f>
        <v>не требуется</v>
      </c>
      <c r="G33" s="165"/>
      <c r="H33" s="165"/>
      <c r="I33" s="168"/>
      <c r="J33" s="139"/>
      <c r="K33" s="144"/>
      <c r="L33" s="144"/>
    </row>
    <row r="34" spans="1:12" ht="63" x14ac:dyDescent="0.25">
      <c r="A34" s="150" t="s">
        <v>422</v>
      </c>
      <c r="B34" s="152" t="s">
        <v>421</v>
      </c>
      <c r="C34" s="164" t="s">
        <v>477</v>
      </c>
      <c r="D34" s="165" t="s">
        <v>477</v>
      </c>
      <c r="E34" s="164" t="s">
        <v>407</v>
      </c>
      <c r="F34" s="165" t="str">
        <f t="shared" si="1"/>
        <v>не требуется</v>
      </c>
      <c r="G34" s="165"/>
      <c r="H34" s="165"/>
      <c r="I34" s="169"/>
      <c r="J34" s="138"/>
      <c r="K34" s="146"/>
      <c r="L34" s="144"/>
    </row>
    <row r="35" spans="1:12" ht="31.5" x14ac:dyDescent="0.25">
      <c r="A35" s="150" t="s">
        <v>423</v>
      </c>
      <c r="B35" s="152" t="s">
        <v>187</v>
      </c>
      <c r="C35" s="164" t="s">
        <v>477</v>
      </c>
      <c r="D35" s="165" t="s">
        <v>477</v>
      </c>
      <c r="E35" s="165">
        <v>44865</v>
      </c>
      <c r="F35" s="165">
        <v>44865</v>
      </c>
      <c r="G35" s="165"/>
      <c r="H35" s="165"/>
      <c r="I35" s="353">
        <v>100</v>
      </c>
      <c r="J35" s="146"/>
      <c r="K35" s="146"/>
      <c r="L35" s="144"/>
    </row>
    <row r="36" spans="1:12" ht="31.5" x14ac:dyDescent="0.25">
      <c r="A36" s="150" t="s">
        <v>425</v>
      </c>
      <c r="B36" s="152" t="s">
        <v>424</v>
      </c>
      <c r="C36" s="164" t="s">
        <v>477</v>
      </c>
      <c r="D36" s="165" t="s">
        <v>477</v>
      </c>
      <c r="E36" s="164" t="s">
        <v>407</v>
      </c>
      <c r="F36" s="165" t="str">
        <f t="shared" ref="F36" si="2">E36</f>
        <v>не требуется</v>
      </c>
      <c r="G36" s="165"/>
      <c r="H36" s="165"/>
      <c r="I36" s="170"/>
      <c r="J36" s="139"/>
      <c r="K36" s="147"/>
      <c r="L36" s="144"/>
    </row>
    <row r="37" spans="1:12" ht="15.75" x14ac:dyDescent="0.25">
      <c r="A37" s="150" t="s">
        <v>426</v>
      </c>
      <c r="B37" s="152" t="s">
        <v>186</v>
      </c>
      <c r="C37" s="164" t="s">
        <v>477</v>
      </c>
      <c r="D37" s="165" t="s">
        <v>477</v>
      </c>
      <c r="E37" s="165">
        <v>44707</v>
      </c>
      <c r="F37" s="165">
        <v>44707</v>
      </c>
      <c r="G37" s="165"/>
      <c r="H37" s="165"/>
      <c r="I37" s="353">
        <v>100</v>
      </c>
      <c r="J37" s="353"/>
      <c r="K37" s="147"/>
      <c r="L37" s="144"/>
    </row>
    <row r="38" spans="1:12" ht="15.75" x14ac:dyDescent="0.25">
      <c r="A38" s="153" t="s">
        <v>466</v>
      </c>
      <c r="B38" s="151" t="s">
        <v>185</v>
      </c>
      <c r="C38" s="164" t="s">
        <v>477</v>
      </c>
      <c r="D38" s="165" t="s">
        <v>477</v>
      </c>
      <c r="E38" s="165"/>
      <c r="F38" s="165"/>
      <c r="G38" s="165"/>
      <c r="H38" s="165"/>
      <c r="I38" s="171"/>
      <c r="J38" s="144"/>
      <c r="K38" s="144"/>
      <c r="L38" s="144"/>
    </row>
    <row r="39" spans="1:12" ht="63" x14ac:dyDescent="0.25">
      <c r="A39" s="150" t="s">
        <v>428</v>
      </c>
      <c r="B39" s="152" t="s">
        <v>427</v>
      </c>
      <c r="C39" s="164" t="s">
        <v>477</v>
      </c>
      <c r="D39" s="165" t="s">
        <v>477</v>
      </c>
      <c r="E39" s="164">
        <v>44921</v>
      </c>
      <c r="F39" s="164">
        <v>44921</v>
      </c>
      <c r="G39" s="165"/>
      <c r="H39" s="165"/>
      <c r="I39" s="353">
        <v>100</v>
      </c>
      <c r="J39" s="353"/>
      <c r="K39" s="144"/>
      <c r="L39" s="144"/>
    </row>
    <row r="40" spans="1:12" ht="15.75" x14ac:dyDescent="0.25">
      <c r="A40" s="150" t="s">
        <v>430</v>
      </c>
      <c r="B40" s="152" t="s">
        <v>429</v>
      </c>
      <c r="C40" s="164" t="s">
        <v>477</v>
      </c>
      <c r="D40" s="165" t="s">
        <v>477</v>
      </c>
      <c r="E40" s="164" t="s">
        <v>407</v>
      </c>
      <c r="F40" s="165" t="str">
        <f t="shared" ref="F40" si="3">E40</f>
        <v>не требуется</v>
      </c>
      <c r="G40" s="165"/>
      <c r="H40" s="166"/>
      <c r="I40" s="172"/>
      <c r="J40" s="142"/>
      <c r="K40" s="144"/>
      <c r="L40" s="144"/>
    </row>
    <row r="41" spans="1:12" ht="47.25" x14ac:dyDescent="0.25">
      <c r="A41" s="150" t="s">
        <v>467</v>
      </c>
      <c r="B41" s="151" t="s">
        <v>431</v>
      </c>
      <c r="C41" s="164" t="s">
        <v>477</v>
      </c>
      <c r="D41" s="165" t="s">
        <v>477</v>
      </c>
      <c r="E41" s="165"/>
      <c r="F41" s="239"/>
      <c r="G41" s="165"/>
      <c r="H41" s="167"/>
      <c r="I41" s="171"/>
      <c r="J41" s="144"/>
      <c r="K41" s="144"/>
      <c r="L41" s="144"/>
    </row>
    <row r="42" spans="1:12" ht="31.5" x14ac:dyDescent="0.25">
      <c r="A42" s="150" t="s">
        <v>433</v>
      </c>
      <c r="B42" s="152" t="s">
        <v>432</v>
      </c>
      <c r="C42" s="164" t="s">
        <v>477</v>
      </c>
      <c r="D42" s="165" t="s">
        <v>477</v>
      </c>
      <c r="E42" s="164" t="s">
        <v>407</v>
      </c>
      <c r="F42" s="165" t="str">
        <f t="shared" ref="F42:F43" si="4">E42</f>
        <v>не требуется</v>
      </c>
      <c r="G42" s="165"/>
      <c r="H42" s="165"/>
      <c r="I42" s="172"/>
      <c r="J42" s="140"/>
      <c r="K42" s="144"/>
      <c r="L42" s="144"/>
    </row>
    <row r="43" spans="1:12" ht="15.75" x14ac:dyDescent="0.25">
      <c r="A43" s="150" t="s">
        <v>434</v>
      </c>
      <c r="B43" s="152" t="s">
        <v>184</v>
      </c>
      <c r="C43" s="164" t="s">
        <v>477</v>
      </c>
      <c r="D43" s="165" t="s">
        <v>477</v>
      </c>
      <c r="E43" s="164" t="s">
        <v>407</v>
      </c>
      <c r="F43" s="165" t="str">
        <f t="shared" si="4"/>
        <v>не требуется</v>
      </c>
      <c r="G43" s="165"/>
      <c r="H43" s="165"/>
      <c r="I43" s="171"/>
      <c r="J43" s="138"/>
      <c r="K43" s="144"/>
      <c r="L43" s="144"/>
    </row>
    <row r="44" spans="1:12" ht="15.75" x14ac:dyDescent="0.25">
      <c r="A44" s="150" t="s">
        <v>436</v>
      </c>
      <c r="B44" s="152" t="s">
        <v>435</v>
      </c>
      <c r="C44" s="164" t="s">
        <v>477</v>
      </c>
      <c r="D44" s="165" t="s">
        <v>477</v>
      </c>
      <c r="E44" s="164">
        <v>44958</v>
      </c>
      <c r="F44" s="164">
        <v>44985</v>
      </c>
      <c r="G44" s="165"/>
      <c r="H44" s="165"/>
      <c r="I44" s="353">
        <v>100</v>
      </c>
      <c r="J44" s="353">
        <v>100</v>
      </c>
      <c r="K44" s="144"/>
      <c r="L44" s="144"/>
    </row>
    <row r="45" spans="1:12" ht="78.75" x14ac:dyDescent="0.25">
      <c r="A45" s="150" t="s">
        <v>438</v>
      </c>
      <c r="B45" s="152" t="s">
        <v>437</v>
      </c>
      <c r="C45" s="164" t="s">
        <v>477</v>
      </c>
      <c r="D45" s="165" t="s">
        <v>477</v>
      </c>
      <c r="E45" s="164" t="s">
        <v>407</v>
      </c>
      <c r="F45" s="165" t="str">
        <f t="shared" ref="F45:F46" si="5">E45</f>
        <v>не требуется</v>
      </c>
      <c r="G45" s="165"/>
      <c r="H45" s="165"/>
      <c r="I45" s="171"/>
      <c r="J45" s="144"/>
      <c r="K45" s="144"/>
      <c r="L45" s="144"/>
    </row>
    <row r="46" spans="1:12" ht="157.5" x14ac:dyDescent="0.25">
      <c r="A46" s="150" t="s">
        <v>440</v>
      </c>
      <c r="B46" s="152" t="s">
        <v>439</v>
      </c>
      <c r="C46" s="164" t="s">
        <v>477</v>
      </c>
      <c r="D46" s="165" t="s">
        <v>477</v>
      </c>
      <c r="E46" s="164" t="s">
        <v>407</v>
      </c>
      <c r="F46" s="165" t="str">
        <f t="shared" si="5"/>
        <v>не требуется</v>
      </c>
      <c r="G46" s="165"/>
      <c r="H46" s="165"/>
      <c r="I46" s="171"/>
      <c r="J46" s="144"/>
      <c r="K46" s="144"/>
      <c r="L46" s="144"/>
    </row>
    <row r="47" spans="1:12" ht="15.75" x14ac:dyDescent="0.25">
      <c r="A47" s="150" t="s">
        <v>470</v>
      </c>
      <c r="B47" s="152" t="s">
        <v>441</v>
      </c>
      <c r="C47" s="164" t="s">
        <v>477</v>
      </c>
      <c r="D47" s="165" t="s">
        <v>477</v>
      </c>
      <c r="E47" s="165">
        <v>45019</v>
      </c>
      <c r="F47" s="165">
        <v>45019</v>
      </c>
      <c r="G47" s="165"/>
      <c r="H47" s="165"/>
      <c r="I47" s="353">
        <v>100</v>
      </c>
      <c r="J47" s="353"/>
      <c r="K47" s="144"/>
      <c r="L47" s="144"/>
    </row>
    <row r="48" spans="1:12" ht="31.5" x14ac:dyDescent="0.25">
      <c r="A48" s="150" t="s">
        <v>468</v>
      </c>
      <c r="B48" s="151" t="s">
        <v>183</v>
      </c>
      <c r="C48" s="164" t="s">
        <v>477</v>
      </c>
      <c r="D48" s="165" t="s">
        <v>477</v>
      </c>
      <c r="E48" s="165"/>
      <c r="F48" s="239"/>
      <c r="G48" s="165"/>
      <c r="H48" s="167"/>
      <c r="I48" s="171"/>
      <c r="J48" s="144"/>
      <c r="K48" s="144"/>
      <c r="L48" s="144"/>
    </row>
    <row r="49" spans="1:12" ht="31.5" x14ac:dyDescent="0.25">
      <c r="A49" s="150" t="s">
        <v>471</v>
      </c>
      <c r="B49" s="152" t="s">
        <v>182</v>
      </c>
      <c r="C49" s="164" t="s">
        <v>477</v>
      </c>
      <c r="D49" s="165" t="s">
        <v>477</v>
      </c>
      <c r="E49" s="165">
        <v>45019</v>
      </c>
      <c r="F49" s="165">
        <v>45019</v>
      </c>
      <c r="G49" s="165"/>
      <c r="H49" s="165"/>
      <c r="I49" s="353">
        <v>100</v>
      </c>
      <c r="J49" s="353"/>
      <c r="K49" s="144"/>
      <c r="L49" s="144"/>
    </row>
    <row r="50" spans="1:12" ht="78.75" x14ac:dyDescent="0.25">
      <c r="A50" s="153" t="s">
        <v>443</v>
      </c>
      <c r="B50" s="152" t="s">
        <v>442</v>
      </c>
      <c r="C50" s="164" t="s">
        <v>477</v>
      </c>
      <c r="D50" s="165" t="s">
        <v>477</v>
      </c>
      <c r="E50" s="165">
        <v>45019</v>
      </c>
      <c r="F50" s="165">
        <v>45019</v>
      </c>
      <c r="G50" s="165"/>
      <c r="H50" s="165"/>
      <c r="I50" s="353">
        <v>100</v>
      </c>
      <c r="J50" s="353"/>
      <c r="K50" s="144"/>
      <c r="L50" s="144"/>
    </row>
    <row r="51" spans="1:12" ht="63" x14ac:dyDescent="0.25">
      <c r="A51" s="150" t="s">
        <v>445</v>
      </c>
      <c r="B51" s="152" t="s">
        <v>444</v>
      </c>
      <c r="C51" s="164" t="s">
        <v>477</v>
      </c>
      <c r="D51" s="165" t="s">
        <v>477</v>
      </c>
      <c r="E51" s="164" t="s">
        <v>407</v>
      </c>
      <c r="F51" s="165" t="str">
        <f t="shared" ref="F51" si="6">E51</f>
        <v>не требуется</v>
      </c>
      <c r="G51" s="165"/>
      <c r="H51" s="165"/>
      <c r="I51" s="171"/>
      <c r="J51" s="144"/>
      <c r="K51" s="144"/>
      <c r="L51" s="144"/>
    </row>
    <row r="52" spans="1:12" ht="63" x14ac:dyDescent="0.25">
      <c r="A52" s="150" t="s">
        <v>447</v>
      </c>
      <c r="B52" s="152" t="s">
        <v>446</v>
      </c>
      <c r="C52" s="164" t="s">
        <v>477</v>
      </c>
      <c r="D52" s="165" t="s">
        <v>477</v>
      </c>
      <c r="E52" s="164"/>
      <c r="F52" s="165"/>
      <c r="G52" s="165"/>
      <c r="H52" s="165"/>
      <c r="I52" s="171"/>
      <c r="J52" s="138"/>
      <c r="K52" s="144"/>
      <c r="L52" s="144"/>
    </row>
    <row r="53" spans="1:12" ht="31.5" x14ac:dyDescent="0.25">
      <c r="A53" s="150" t="s">
        <v>449</v>
      </c>
      <c r="B53" s="154" t="s">
        <v>448</v>
      </c>
      <c r="C53" s="164" t="s">
        <v>477</v>
      </c>
      <c r="D53" s="165" t="s">
        <v>477</v>
      </c>
      <c r="E53" s="165">
        <v>45019</v>
      </c>
      <c r="F53" s="165">
        <v>45019</v>
      </c>
      <c r="G53" s="165"/>
      <c r="H53" s="165"/>
      <c r="I53" s="353">
        <v>100</v>
      </c>
      <c r="J53" s="353"/>
      <c r="K53" s="144"/>
      <c r="L53" s="144"/>
    </row>
    <row r="54" spans="1:12" ht="31.5" x14ac:dyDescent="0.25">
      <c r="A54" s="150" t="s">
        <v>472</v>
      </c>
      <c r="B54" s="152" t="s">
        <v>450</v>
      </c>
      <c r="C54" s="164" t="s">
        <v>477</v>
      </c>
      <c r="D54" s="165" t="s">
        <v>477</v>
      </c>
      <c r="E54" s="164" t="s">
        <v>407</v>
      </c>
      <c r="F54" s="165" t="str">
        <f t="shared" ref="F54" si="7">E54</f>
        <v>не требуется</v>
      </c>
      <c r="G54" s="165"/>
      <c r="H54" s="165"/>
      <c r="I54" s="171"/>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2023-05-02T11:17:41Z</dcterms:modified>
</cp:coreProperties>
</file>