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сведения'!$A$1:$B$118</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122" i="23" l="1"/>
  <c r="B35" i="25"/>
  <c r="O30" i="15"/>
  <c r="O24" i="15"/>
  <c r="B93" i="25" l="1"/>
  <c r="B36" i="25" l="1"/>
  <c r="B95" i="25" s="1"/>
  <c r="D26" i="5" l="1"/>
  <c r="B33" i="25" l="1"/>
  <c r="N34" i="15"/>
  <c r="AD26" i="5" l="1"/>
  <c r="AE26" i="5" s="1"/>
  <c r="D117" i="23" l="1"/>
  <c r="G118"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27" i="23"/>
  <c r="D48" i="23" l="1"/>
  <c r="B48" i="23"/>
  <c r="B50" i="23"/>
  <c r="B59" i="23" s="1"/>
  <c r="B66" i="23" s="1"/>
  <c r="B68" i="23" s="1"/>
  <c r="B46" i="23"/>
  <c r="C52" i="23"/>
  <c r="L136" i="23"/>
  <c r="E48" i="23"/>
  <c r="G137" i="23"/>
  <c r="H137" i="23" s="1"/>
  <c r="C48" i="23"/>
  <c r="C47" i="23"/>
  <c r="B29" i="23"/>
  <c r="D58" i="23"/>
  <c r="I118" i="23"/>
  <c r="I120" i="23" s="1"/>
  <c r="C109" i="23" s="1"/>
  <c r="G120" i="23"/>
  <c r="F140" i="23"/>
  <c r="F141" i="23" s="1"/>
  <c r="B80" i="23" l="1"/>
  <c r="B79" i="23"/>
  <c r="I137" i="23"/>
  <c r="B49" i="23"/>
  <c r="M136" i="23"/>
  <c r="F48" i="23"/>
  <c r="D109" i="23"/>
  <c r="C108" i="23"/>
  <c r="G140" i="23"/>
  <c r="G141" i="23" s="1"/>
  <c r="B75" i="23"/>
  <c r="D74" i="23"/>
  <c r="E58" i="23"/>
  <c r="D47" i="23"/>
  <c r="D52" i="23"/>
  <c r="N136" i="23" l="1"/>
  <c r="G48" i="23"/>
  <c r="J137" i="23"/>
  <c r="C49" i="23"/>
  <c r="C61" i="23" s="1"/>
  <c r="C60" i="23" s="1"/>
  <c r="H140" i="23"/>
  <c r="H141" i="23" s="1"/>
  <c r="B73" i="23" s="1"/>
  <c r="B85" i="23" s="1"/>
  <c r="B99" i="23" s="1"/>
  <c r="E74" i="23"/>
  <c r="E52" i="23"/>
  <c r="E47" i="23"/>
  <c r="F58" i="23"/>
  <c r="D108" i="23"/>
  <c r="E109" i="23"/>
  <c r="C50" i="23" l="1"/>
  <c r="C59" i="23" s="1"/>
  <c r="C79" i="23" s="1"/>
  <c r="K137" i="23"/>
  <c r="D49" i="23"/>
  <c r="D61" i="23" s="1"/>
  <c r="D60" i="23" s="1"/>
  <c r="O136" i="23"/>
  <c r="H48" i="23"/>
  <c r="F109" i="23"/>
  <c r="E108" i="23"/>
  <c r="I140" i="23"/>
  <c r="I141" i="23" s="1"/>
  <c r="C73" i="23" s="1"/>
  <c r="C85" i="23" s="1"/>
  <c r="C99" i="23" s="1"/>
  <c r="F74" i="23"/>
  <c r="G58" i="23"/>
  <c r="F52" i="23"/>
  <c r="F47" i="23"/>
  <c r="C80" i="23" l="1"/>
  <c r="C66" i="23"/>
  <c r="P136" i="23"/>
  <c r="I48" i="23"/>
  <c r="L137" i="23"/>
  <c r="E49" i="23"/>
  <c r="E61" i="23" s="1"/>
  <c r="E60" i="23" s="1"/>
  <c r="D50" i="23"/>
  <c r="D59" i="23" s="1"/>
  <c r="G74" i="23"/>
  <c r="H58" i="23"/>
  <c r="G52" i="23"/>
  <c r="G47" i="23"/>
  <c r="J140" i="23"/>
  <c r="J141" i="23" s="1"/>
  <c r="D73" i="23" s="1"/>
  <c r="D85" i="23" s="1"/>
  <c r="D99" i="23" s="1"/>
  <c r="G109" i="23"/>
  <c r="F108" i="23"/>
  <c r="E50" i="23" l="1"/>
  <c r="E59" i="23" s="1"/>
  <c r="D66" i="23"/>
  <c r="D80" i="23"/>
  <c r="D79" i="23"/>
  <c r="M137" i="23"/>
  <c r="F49" i="23"/>
  <c r="F61" i="23" s="1"/>
  <c r="F60" i="23" s="1"/>
  <c r="Q136" i="23"/>
  <c r="J48" i="23"/>
  <c r="G108" i="23"/>
  <c r="H109" i="23"/>
  <c r="H74" i="23"/>
  <c r="I58" i="23"/>
  <c r="H52" i="23"/>
  <c r="H47" i="23"/>
  <c r="K140" i="23"/>
  <c r="K141" i="23" s="1"/>
  <c r="E73" i="23" s="1"/>
  <c r="E85" i="23" s="1"/>
  <c r="E99" i="23" s="1"/>
  <c r="E66" i="23" l="1"/>
  <c r="E80" i="23"/>
  <c r="E79" i="23"/>
  <c r="R136" i="23"/>
  <c r="K48" i="23"/>
  <c r="N137" i="23"/>
  <c r="G49" i="23"/>
  <c r="G61" i="23" s="1"/>
  <c r="G60" i="23" s="1"/>
  <c r="F50" i="23"/>
  <c r="F59" i="23" s="1"/>
  <c r="I74" i="23"/>
  <c r="I52" i="23"/>
  <c r="I47" i="23"/>
  <c r="J58" i="23"/>
  <c r="L140" i="23"/>
  <c r="L141" i="23" s="1"/>
  <c r="F73" i="23" s="1"/>
  <c r="F85" i="23" s="1"/>
  <c r="F99" i="23" s="1"/>
  <c r="I109" i="23"/>
  <c r="H108" i="23"/>
  <c r="G50" i="23" l="1"/>
  <c r="G59" i="23" s="1"/>
  <c r="F80" i="23"/>
  <c r="F66" i="23"/>
  <c r="O137" i="23"/>
  <c r="H49" i="23"/>
  <c r="H61" i="23" s="1"/>
  <c r="H60" i="23" s="1"/>
  <c r="S136" i="23"/>
  <c r="L48" i="23"/>
  <c r="F79" i="23"/>
  <c r="M140" i="23"/>
  <c r="M141" i="23" s="1"/>
  <c r="G73" i="23" s="1"/>
  <c r="G85" i="23" s="1"/>
  <c r="G99" i="23" s="1"/>
  <c r="K58" i="23"/>
  <c r="J74" i="23"/>
  <c r="J52" i="23"/>
  <c r="J47" i="23"/>
  <c r="J109" i="23"/>
  <c r="I108" i="23"/>
  <c r="G79" i="23" l="1"/>
  <c r="T136" i="23"/>
  <c r="M48" i="23"/>
  <c r="P137" i="23"/>
  <c r="I49" i="23"/>
  <c r="I61" i="23" s="1"/>
  <c r="I60" i="23" s="1"/>
  <c r="G80" i="23"/>
  <c r="G66" i="23"/>
  <c r="H50" i="23"/>
  <c r="H59" i="23" s="1"/>
  <c r="K109" i="23"/>
  <c r="J108" i="23"/>
  <c r="N140" i="23"/>
  <c r="N141" i="23" s="1"/>
  <c r="H73" i="23" s="1"/>
  <c r="H85" i="23" s="1"/>
  <c r="H99" i="23" s="1"/>
  <c r="K74" i="23"/>
  <c r="L58" i="23"/>
  <c r="K52" i="23"/>
  <c r="K47" i="23"/>
  <c r="H66" i="23" l="1"/>
  <c r="H79" i="23"/>
  <c r="H80" i="23"/>
  <c r="Q137" i="23"/>
  <c r="J49" i="23"/>
  <c r="J61" i="23" s="1"/>
  <c r="J60" i="23" s="1"/>
  <c r="U136" i="23"/>
  <c r="N48" i="23"/>
  <c r="I50" i="23"/>
  <c r="I59" i="23" s="1"/>
  <c r="O140" i="23"/>
  <c r="O141" i="23" s="1"/>
  <c r="I73" i="23" s="1"/>
  <c r="I85" i="23" s="1"/>
  <c r="I99" i="23" s="1"/>
  <c r="L74" i="23"/>
  <c r="M58" i="23"/>
  <c r="L47" i="23"/>
  <c r="L52" i="23"/>
  <c r="K108" i="23"/>
  <c r="L109" i="23"/>
  <c r="I66" i="23" l="1"/>
  <c r="I79" i="23"/>
  <c r="I80" i="23"/>
  <c r="V136" i="23"/>
  <c r="O48" i="23"/>
  <c r="R137" i="23"/>
  <c r="K49" i="23"/>
  <c r="K61" i="23" s="1"/>
  <c r="K60" i="23" s="1"/>
  <c r="J50" i="23"/>
  <c r="J59" i="23" s="1"/>
  <c r="M74" i="23"/>
  <c r="M52" i="23"/>
  <c r="M47" i="23"/>
  <c r="N58" i="23"/>
  <c r="P140" i="23"/>
  <c r="P141" i="23" s="1"/>
  <c r="J73" i="23" s="1"/>
  <c r="J85" i="23" s="1"/>
  <c r="J99" i="23" s="1"/>
  <c r="M109" i="23"/>
  <c r="L108" i="23"/>
  <c r="J80" i="23" l="1"/>
  <c r="J66" i="23"/>
  <c r="J79" i="23"/>
  <c r="S137" i="23"/>
  <c r="L49" i="23"/>
  <c r="L61" i="23" s="1"/>
  <c r="L60" i="23" s="1"/>
  <c r="W136" i="23"/>
  <c r="P48" i="23"/>
  <c r="K50" i="23"/>
  <c r="K59" i="23" s="1"/>
  <c r="N74" i="23"/>
  <c r="O58" i="23"/>
  <c r="N52" i="23"/>
  <c r="N47" i="23"/>
  <c r="N109" i="23"/>
  <c r="M108" i="23"/>
  <c r="Q140" i="23"/>
  <c r="Q141" i="23" s="1"/>
  <c r="K73" i="23" s="1"/>
  <c r="K85" i="23" s="1"/>
  <c r="K99" i="23" s="1"/>
  <c r="K66" i="23" l="1"/>
  <c r="K80" i="23"/>
  <c r="K79" i="23"/>
  <c r="X136" i="23"/>
  <c r="Q48" i="23"/>
  <c r="T137" i="23"/>
  <c r="M49" i="23"/>
  <c r="M61" i="23" s="1"/>
  <c r="M60" i="23" s="1"/>
  <c r="L50" i="23"/>
  <c r="L59" i="23" s="1"/>
  <c r="L79" i="23" s="1"/>
  <c r="O74" i="23"/>
  <c r="P58" i="23"/>
  <c r="O52" i="23"/>
  <c r="O47" i="23"/>
  <c r="O109" i="23"/>
  <c r="N108" i="23"/>
  <c r="R140" i="23"/>
  <c r="R141" i="23" s="1"/>
  <c r="L73" i="23" s="1"/>
  <c r="L85" i="23" s="1"/>
  <c r="L99" i="23" s="1"/>
  <c r="L66" i="23" l="1"/>
  <c r="L80" i="23"/>
  <c r="M50" i="23"/>
  <c r="M59" i="23" s="1"/>
  <c r="U137" i="23"/>
  <c r="N49" i="23"/>
  <c r="N61" i="23" s="1"/>
  <c r="N60" i="23" s="1"/>
  <c r="Y136" i="23"/>
  <c r="R48" i="23"/>
  <c r="S140" i="23"/>
  <c r="S141" i="23" s="1"/>
  <c r="M73" i="23" s="1"/>
  <c r="M85" i="23" s="1"/>
  <c r="M99" i="23" s="1"/>
  <c r="O108" i="23"/>
  <c r="P109" i="23"/>
  <c r="P74" i="23"/>
  <c r="Q58" i="23"/>
  <c r="P52" i="23"/>
  <c r="P47" i="23"/>
  <c r="Z136" i="23" l="1"/>
  <c r="S48" i="23"/>
  <c r="V137" i="23"/>
  <c r="O49" i="23"/>
  <c r="O61" i="23" s="1"/>
  <c r="O60" i="23" s="1"/>
  <c r="M66" i="23"/>
  <c r="M80" i="23"/>
  <c r="M79" i="23"/>
  <c r="N50" i="23"/>
  <c r="N59" i="23" s="1"/>
  <c r="Q74" i="23"/>
  <c r="Q52" i="23"/>
  <c r="Q47" i="23"/>
  <c r="R58" i="23"/>
  <c r="Q109" i="23"/>
  <c r="P108" i="23"/>
  <c r="T140" i="23"/>
  <c r="T141" i="23" s="1"/>
  <c r="N73" i="23" s="1"/>
  <c r="N85" i="23" s="1"/>
  <c r="N99" i="23" s="1"/>
  <c r="O50" i="23" l="1"/>
  <c r="O59" i="23" s="1"/>
  <c r="N66" i="23"/>
  <c r="N80" i="23"/>
  <c r="N79" i="23"/>
  <c r="W137" i="23"/>
  <c r="P49" i="23"/>
  <c r="P61" i="23" s="1"/>
  <c r="P60" i="23" s="1"/>
  <c r="AA136" i="23"/>
  <c r="T48" i="23"/>
  <c r="R109" i="23"/>
  <c r="Q108" i="23"/>
  <c r="U140" i="23"/>
  <c r="S58" i="23"/>
  <c r="R74" i="23"/>
  <c r="R52" i="23"/>
  <c r="R47" i="23"/>
  <c r="O79" i="23" l="1"/>
  <c r="O80" i="23"/>
  <c r="O66" i="23"/>
  <c r="AB136" i="23"/>
  <c r="U48" i="23"/>
  <c r="X137" i="23"/>
  <c r="Q49" i="23"/>
  <c r="Q61" i="23" s="1"/>
  <c r="Q60" i="23" s="1"/>
  <c r="P50" i="23"/>
  <c r="P59" i="23" s="1"/>
  <c r="S74" i="23"/>
  <c r="T58" i="23"/>
  <c r="S52" i="23"/>
  <c r="S47" i="23"/>
  <c r="V140" i="23"/>
  <c r="V141" i="23" s="1"/>
  <c r="P73" i="23" s="1"/>
  <c r="P85" i="23" s="1"/>
  <c r="P99" i="23" s="1"/>
  <c r="S109" i="23"/>
  <c r="R108" i="23"/>
  <c r="U141" i="23"/>
  <c r="O73" i="23" s="1"/>
  <c r="O85" i="23" s="1"/>
  <c r="O99" i="23" s="1"/>
  <c r="Q50" i="23" l="1"/>
  <c r="Q59" i="23" s="1"/>
  <c r="P66" i="23"/>
  <c r="P80" i="23"/>
  <c r="P79" i="23"/>
  <c r="Y137" i="23"/>
  <c r="R49" i="23"/>
  <c r="R61" i="23" s="1"/>
  <c r="R60" i="23" s="1"/>
  <c r="AC136" i="23"/>
  <c r="V48" i="23"/>
  <c r="T109" i="23"/>
  <c r="S108" i="23"/>
  <c r="T74" i="23"/>
  <c r="U58" i="23"/>
  <c r="T47" i="23"/>
  <c r="T52" i="23"/>
  <c r="W140" i="23"/>
  <c r="Q66" i="23" l="1"/>
  <c r="Q80" i="23"/>
  <c r="Q79" i="23"/>
  <c r="AD136" i="23"/>
  <c r="W48" i="23"/>
  <c r="Z137" i="23"/>
  <c r="S49" i="23"/>
  <c r="S61" i="23" s="1"/>
  <c r="S60" i="23" s="1"/>
  <c r="R50" i="23"/>
  <c r="R59" i="23" s="1"/>
  <c r="R79" i="23" s="1"/>
  <c r="U74" i="23"/>
  <c r="U52" i="23"/>
  <c r="U47" i="23"/>
  <c r="V58" i="23"/>
  <c r="U109" i="23"/>
  <c r="T108" i="23"/>
  <c r="X140" i="23"/>
  <c r="W141" i="23"/>
  <c r="Q73" i="23" s="1"/>
  <c r="Q85" i="23" s="1"/>
  <c r="Q99" i="23" s="1"/>
  <c r="R80" i="23" l="1"/>
  <c r="R66" i="23"/>
  <c r="AA137" i="23"/>
  <c r="T49" i="23"/>
  <c r="T61" i="23" s="1"/>
  <c r="T60" i="23" s="1"/>
  <c r="AE136" i="23"/>
  <c r="X48" i="23"/>
  <c r="S50" i="23"/>
  <c r="S59" i="23" s="1"/>
  <c r="Y140" i="23"/>
  <c r="X141" i="23"/>
  <c r="R73" i="23" s="1"/>
  <c r="R85" i="23" s="1"/>
  <c r="R99" i="23" s="1"/>
  <c r="V109" i="23"/>
  <c r="U108" i="23"/>
  <c r="V74" i="23"/>
  <c r="W58" i="23"/>
  <c r="V52" i="23"/>
  <c r="V47" i="23"/>
  <c r="S66" i="23" l="1"/>
  <c r="S80" i="23"/>
  <c r="S79" i="23"/>
  <c r="AF136" i="23"/>
  <c r="Y48" i="23"/>
  <c r="AB137" i="23"/>
  <c r="U49" i="23"/>
  <c r="U61" i="23" s="1"/>
  <c r="U60" i="23" s="1"/>
  <c r="T50" i="23"/>
  <c r="T59" i="23" s="1"/>
  <c r="W74" i="23"/>
  <c r="X58" i="23"/>
  <c r="W52" i="23"/>
  <c r="W47" i="23"/>
  <c r="Z140" i="23"/>
  <c r="W109" i="23"/>
  <c r="V108" i="23"/>
  <c r="Y141" i="23"/>
  <c r="S73" i="23" s="1"/>
  <c r="S85" i="23" s="1"/>
  <c r="S99" i="23" s="1"/>
  <c r="U50" i="23" l="1"/>
  <c r="U59" i="23" s="1"/>
  <c r="T80" i="23"/>
  <c r="T79" i="23"/>
  <c r="U79" i="23" s="1"/>
  <c r="T66" i="23"/>
  <c r="AC137" i="23"/>
  <c r="V49" i="23"/>
  <c r="V61" i="23" s="1"/>
  <c r="V60" i="23" s="1"/>
  <c r="AG136" i="23"/>
  <c r="Z48" i="23"/>
  <c r="W108" i="23"/>
  <c r="X109" i="23"/>
  <c r="X74" i="23"/>
  <c r="Y58" i="23"/>
  <c r="X52" i="23"/>
  <c r="X47" i="23"/>
  <c r="AA140" i="23"/>
  <c r="AA141" i="23" s="1"/>
  <c r="U73" i="23" s="1"/>
  <c r="U85" i="23" s="1"/>
  <c r="U99" i="23" s="1"/>
  <c r="Z141" i="23"/>
  <c r="T73" i="23" s="1"/>
  <c r="T85" i="23" s="1"/>
  <c r="T99" i="23" s="1"/>
  <c r="U80" i="23" l="1"/>
  <c r="U66" i="23"/>
  <c r="AH136" i="23"/>
  <c r="AA48" i="23"/>
  <c r="AD137" i="23"/>
  <c r="W49" i="23"/>
  <c r="W61" i="23" s="1"/>
  <c r="W60" i="23" s="1"/>
  <c r="V50" i="23"/>
  <c r="V59" i="23" s="1"/>
  <c r="AB140" i="23"/>
  <c r="AB141" i="23" s="1"/>
  <c r="V73" i="23" s="1"/>
  <c r="V85" i="23" s="1"/>
  <c r="V99" i="23" s="1"/>
  <c r="Y74" i="23"/>
  <c r="Y52" i="23"/>
  <c r="Y47" i="23"/>
  <c r="Z58" i="23"/>
  <c r="Y109" i="23"/>
  <c r="X108" i="23"/>
  <c r="W50" i="23" l="1"/>
  <c r="W59" i="23" s="1"/>
  <c r="AE137" i="23"/>
  <c r="X49" i="23"/>
  <c r="X61" i="23" s="1"/>
  <c r="X60" i="23" s="1"/>
  <c r="AI136" i="23"/>
  <c r="AB48" i="23"/>
  <c r="V66" i="23"/>
  <c r="V80" i="23"/>
  <c r="V79" i="23"/>
  <c r="W79" i="23" s="1"/>
  <c r="Y108" i="23"/>
  <c r="Z109" i="23"/>
  <c r="AA58" i="23"/>
  <c r="Z74" i="23"/>
  <c r="Z52" i="23"/>
  <c r="Z47" i="23"/>
  <c r="AC140" i="23"/>
  <c r="X50" i="23" l="1"/>
  <c r="X59" i="23" s="1"/>
  <c r="W66" i="23"/>
  <c r="W80" i="23"/>
  <c r="AJ136" i="23"/>
  <c r="AC48" i="23"/>
  <c r="AF137" i="23"/>
  <c r="Y49" i="23"/>
  <c r="Y61" i="23" s="1"/>
  <c r="Y60" i="23" s="1"/>
  <c r="AA74" i="23"/>
  <c r="AB58" i="23"/>
  <c r="AA52" i="23"/>
  <c r="AA47" i="23"/>
  <c r="AD140" i="23"/>
  <c r="AD141" i="23" s="1"/>
  <c r="X73" i="23" s="1"/>
  <c r="X85" i="23" s="1"/>
  <c r="X99" i="23" s="1"/>
  <c r="AC141" i="23"/>
  <c r="W73" i="23" s="1"/>
  <c r="W85" i="23" s="1"/>
  <c r="W99" i="23" s="1"/>
  <c r="AA109" i="23"/>
  <c r="Z108" i="23"/>
  <c r="X80" i="23" l="1"/>
  <c r="X66" i="23"/>
  <c r="X79" i="23"/>
  <c r="Y50" i="23"/>
  <c r="Y59" i="23" s="1"/>
  <c r="AG137" i="23"/>
  <c r="Z49" i="23"/>
  <c r="Z61" i="23" s="1"/>
  <c r="Z60" i="23" s="1"/>
  <c r="AK136" i="23"/>
  <c r="AD48" i="23"/>
  <c r="AA108" i="23"/>
  <c r="AB109" i="23"/>
  <c r="AB74" i="23"/>
  <c r="AC58" i="23"/>
  <c r="AB47" i="23"/>
  <c r="AB52" i="23"/>
  <c r="AE140" i="23"/>
  <c r="AE141" i="23" s="1"/>
  <c r="Y73" i="23" s="1"/>
  <c r="Y85" i="23" s="1"/>
  <c r="Y99" i="23" s="1"/>
  <c r="AL136" i="23" l="1"/>
  <c r="AE48" i="23"/>
  <c r="AH137" i="23"/>
  <c r="AA49" i="23"/>
  <c r="AA61" i="23" s="1"/>
  <c r="AA60" i="23" s="1"/>
  <c r="Y66" i="23"/>
  <c r="Y80" i="23"/>
  <c r="Y79" i="23"/>
  <c r="Z50" i="23"/>
  <c r="Z59" i="23" s="1"/>
  <c r="AC74" i="23"/>
  <c r="AC52" i="23"/>
  <c r="AC47" i="23"/>
  <c r="AD58" i="23"/>
  <c r="AB108" i="23"/>
  <c r="AC109" i="23"/>
  <c r="AF140" i="23"/>
  <c r="AF141" i="23" s="1"/>
  <c r="Z73" i="23" s="1"/>
  <c r="Z85" i="23" s="1"/>
  <c r="Z99" i="23" s="1"/>
  <c r="Z66" i="23" l="1"/>
  <c r="Z80" i="23"/>
  <c r="Z79" i="23"/>
  <c r="AA50" i="23"/>
  <c r="AA59" i="23" s="1"/>
  <c r="AA79" i="23" s="1"/>
  <c r="AI137" i="23"/>
  <c r="AB49" i="23"/>
  <c r="AB61" i="23" s="1"/>
  <c r="AB60" i="23" s="1"/>
  <c r="AM136" i="23"/>
  <c r="AF48" i="23"/>
  <c r="AG140" i="23"/>
  <c r="AG141" i="23" s="1"/>
  <c r="AA73" i="23" s="1"/>
  <c r="AA85" i="23" s="1"/>
  <c r="AA99" i="23" s="1"/>
  <c r="AD74" i="23"/>
  <c r="AE58" i="23"/>
  <c r="AD52" i="23"/>
  <c r="AD47" i="23"/>
  <c r="AD109" i="23"/>
  <c r="AC108" i="23"/>
  <c r="AN136" i="23" l="1"/>
  <c r="AG48" i="23"/>
  <c r="AJ137" i="23"/>
  <c r="AC49" i="23"/>
  <c r="AC61" i="23" s="1"/>
  <c r="AC60" i="23" s="1"/>
  <c r="AA80" i="23"/>
  <c r="AA66" i="23"/>
  <c r="AB50" i="23"/>
  <c r="AB59" i="23" s="1"/>
  <c r="AH140" i="23"/>
  <c r="AH141" i="23" s="1"/>
  <c r="AB73" i="23" s="1"/>
  <c r="AB85" i="23" s="1"/>
  <c r="AB99" i="23" s="1"/>
  <c r="AE109" i="23"/>
  <c r="AD108" i="23"/>
  <c r="AE74" i="23"/>
  <c r="AF58" i="23"/>
  <c r="AE52" i="23"/>
  <c r="AE47" i="23"/>
  <c r="AB80" i="23" l="1"/>
  <c r="AB66" i="23"/>
  <c r="AB79" i="23"/>
  <c r="AK137" i="23"/>
  <c r="AD49" i="23"/>
  <c r="AD61" i="23" s="1"/>
  <c r="AD60" i="23" s="1"/>
  <c r="AO136" i="23"/>
  <c r="AH48" i="23"/>
  <c r="AC50" i="23"/>
  <c r="AC59" i="23" s="1"/>
  <c r="AF74" i="23"/>
  <c r="AG58" i="23"/>
  <c r="AF52" i="23"/>
  <c r="AF47" i="23"/>
  <c r="AI140" i="23"/>
  <c r="AI141" i="23" s="1"/>
  <c r="AC73" i="23" s="1"/>
  <c r="AC85" i="23" s="1"/>
  <c r="AC99" i="23" s="1"/>
  <c r="AE108" i="23"/>
  <c r="AF109" i="23"/>
  <c r="AD50" i="23" l="1"/>
  <c r="AD59" i="23" s="1"/>
  <c r="AC80" i="23"/>
  <c r="AC79" i="23"/>
  <c r="AD79" i="23" s="1"/>
  <c r="AC66" i="23"/>
  <c r="AP136" i="23"/>
  <c r="AI48" i="23"/>
  <c r="AL137" i="23"/>
  <c r="AE49" i="23"/>
  <c r="AE61" i="23" s="1"/>
  <c r="AE60" i="23" s="1"/>
  <c r="AF108" i="23"/>
  <c r="AG109" i="23"/>
  <c r="AJ140" i="23"/>
  <c r="AJ141" i="23" s="1"/>
  <c r="AD73" i="23" s="1"/>
  <c r="AD85" i="23" s="1"/>
  <c r="AD99" i="23" s="1"/>
  <c r="AG74" i="23"/>
  <c r="AG52" i="23"/>
  <c r="AG47" i="23"/>
  <c r="AH58" i="23"/>
  <c r="AD80" i="23" l="1"/>
  <c r="AD66" i="23"/>
  <c r="AM137" i="23"/>
  <c r="AF49" i="23"/>
  <c r="AF61" i="23" s="1"/>
  <c r="AF60" i="23" s="1"/>
  <c r="AQ136" i="23"/>
  <c r="AJ48" i="23"/>
  <c r="AE50" i="23"/>
  <c r="AE59" i="23" s="1"/>
  <c r="AI58" i="23"/>
  <c r="AH74" i="23"/>
  <c r="AH52" i="23"/>
  <c r="AH47" i="23"/>
  <c r="AK140" i="23"/>
  <c r="AG108" i="23"/>
  <c r="AH109" i="23"/>
  <c r="AF50" i="23" l="1"/>
  <c r="AF59" i="23" s="1"/>
  <c r="AE80" i="23"/>
  <c r="AE79" i="23"/>
  <c r="AE66" i="23"/>
  <c r="AR136" i="23"/>
  <c r="AK48" i="23"/>
  <c r="AN137" i="23"/>
  <c r="AG49" i="23"/>
  <c r="AG61" i="23" s="1"/>
  <c r="AG60" i="23" s="1"/>
  <c r="AI109" i="23"/>
  <c r="AH108" i="23"/>
  <c r="AL140" i="23"/>
  <c r="AI74" i="23"/>
  <c r="AJ58" i="23"/>
  <c r="AI52" i="23"/>
  <c r="AI47" i="23"/>
  <c r="AK141" i="23"/>
  <c r="AE73" i="23" s="1"/>
  <c r="AE85" i="23" s="1"/>
  <c r="AE99" i="23" s="1"/>
  <c r="AF66" i="23" l="1"/>
  <c r="AF80" i="23"/>
  <c r="AF79" i="23"/>
  <c r="AO137" i="23"/>
  <c r="AH49" i="23"/>
  <c r="AH61" i="23" s="1"/>
  <c r="AH60" i="23" s="1"/>
  <c r="AS136" i="23"/>
  <c r="AL48" i="23"/>
  <c r="AG50" i="23"/>
  <c r="AG59" i="23" s="1"/>
  <c r="AI108" i="23"/>
  <c r="AJ109" i="23"/>
  <c r="AJ74" i="23"/>
  <c r="AK58" i="23"/>
  <c r="AJ47" i="23"/>
  <c r="AJ52" i="23"/>
  <c r="AM140" i="23"/>
  <c r="AM141" i="23" s="1"/>
  <c r="AG73" i="23" s="1"/>
  <c r="AG85" i="23" s="1"/>
  <c r="AG99" i="23" s="1"/>
  <c r="AL141" i="23"/>
  <c r="AF73" i="23" s="1"/>
  <c r="AF85" i="23" s="1"/>
  <c r="AF99" i="23" s="1"/>
  <c r="AG66" i="23" l="1"/>
  <c r="AG80" i="23"/>
  <c r="AG79" i="23"/>
  <c r="AT136" i="23"/>
  <c r="AM48" i="23"/>
  <c r="AP137" i="23"/>
  <c r="AI49" i="23"/>
  <c r="AI61" i="23" s="1"/>
  <c r="AI60" i="23" s="1"/>
  <c r="AH50" i="23"/>
  <c r="AH59" i="23" s="1"/>
  <c r="AK74" i="23"/>
  <c r="AK52" i="23"/>
  <c r="AK47" i="23"/>
  <c r="AL58" i="23"/>
  <c r="AJ108" i="23"/>
  <c r="AK109" i="23"/>
  <c r="AN140" i="23"/>
  <c r="AH79" i="23" l="1"/>
  <c r="AI50" i="23"/>
  <c r="AI59" i="23" s="1"/>
  <c r="AQ137" i="23"/>
  <c r="AJ49" i="23"/>
  <c r="AJ61" i="23" s="1"/>
  <c r="AJ60" i="23" s="1"/>
  <c r="AU136" i="23"/>
  <c r="AN48" i="23"/>
  <c r="AI79" i="23"/>
  <c r="AH80" i="23"/>
  <c r="AH66" i="23"/>
  <c r="AO140" i="23"/>
  <c r="AO141" i="23" s="1"/>
  <c r="AI73" i="23" s="1"/>
  <c r="AI85" i="23" s="1"/>
  <c r="AI99" i="23" s="1"/>
  <c r="AK108" i="23"/>
  <c r="AL109" i="23"/>
  <c r="AL74" i="23"/>
  <c r="AM58" i="23"/>
  <c r="AL52" i="23"/>
  <c r="AL47" i="23"/>
  <c r="AN141" i="23"/>
  <c r="AH73" i="23" s="1"/>
  <c r="AH85" i="23" s="1"/>
  <c r="AH99" i="23" s="1"/>
  <c r="AI80" i="23" l="1"/>
  <c r="AI66" i="23"/>
  <c r="AV136" i="23"/>
  <c r="AO48" i="23"/>
  <c r="AR137" i="23"/>
  <c r="AK49" i="23"/>
  <c r="AK61" i="23" s="1"/>
  <c r="AK60" i="23" s="1"/>
  <c r="AJ50" i="23"/>
  <c r="AJ59" i="23" s="1"/>
  <c r="AM74" i="23"/>
  <c r="AN58" i="23"/>
  <c r="AM52" i="23"/>
  <c r="AM47" i="23"/>
  <c r="AM109" i="23"/>
  <c r="AL108" i="23"/>
  <c r="AP140" i="23"/>
  <c r="AK50" i="23" l="1"/>
  <c r="AK59" i="23" s="1"/>
  <c r="AJ66" i="23"/>
  <c r="AJ80" i="23"/>
  <c r="AJ79" i="23"/>
  <c r="AS137" i="23"/>
  <c r="AL49" i="23"/>
  <c r="AL61" i="23" s="1"/>
  <c r="AL60" i="23" s="1"/>
  <c r="AW136" i="23"/>
  <c r="AX136" i="23" s="1"/>
  <c r="AY136" i="23" s="1"/>
  <c r="AP48" i="23"/>
  <c r="AQ140" i="23"/>
  <c r="AQ141" i="23" s="1"/>
  <c r="AK73" i="23" s="1"/>
  <c r="AK85" i="23" s="1"/>
  <c r="AK99" i="23" s="1"/>
  <c r="AP141" i="23"/>
  <c r="AJ73" i="23" s="1"/>
  <c r="AJ85" i="23" s="1"/>
  <c r="AJ99" i="23" s="1"/>
  <c r="AM108" i="23"/>
  <c r="AN109" i="23"/>
  <c r="AN74" i="23"/>
  <c r="AO58" i="23"/>
  <c r="AN52" i="23"/>
  <c r="AN47" i="23"/>
  <c r="AT137" i="23" l="1"/>
  <c r="AM49" i="23"/>
  <c r="AM61" i="23" s="1"/>
  <c r="AM60" i="23" s="1"/>
  <c r="AK66" i="23"/>
  <c r="AK80" i="23"/>
  <c r="AK79" i="23"/>
  <c r="AL50" i="23"/>
  <c r="AL59" i="23" s="1"/>
  <c r="AR140" i="23"/>
  <c r="AO74" i="23"/>
  <c r="AO52" i="23"/>
  <c r="AO47" i="23"/>
  <c r="AP58" i="23"/>
  <c r="AO109" i="23"/>
  <c r="AN108" i="23"/>
  <c r="AL66" i="23" l="1"/>
  <c r="AL80" i="23"/>
  <c r="AL79" i="23"/>
  <c r="AM50" i="23"/>
  <c r="AM59" i="23" s="1"/>
  <c r="AU137" i="23"/>
  <c r="AN49" i="23"/>
  <c r="AN61" i="23" s="1"/>
  <c r="AN60" i="23" s="1"/>
  <c r="AS140" i="23"/>
  <c r="AP109" i="23"/>
  <c r="AP108" i="23" s="1"/>
  <c r="AO108" i="23"/>
  <c r="AP74" i="23"/>
  <c r="AP52" i="23"/>
  <c r="AP47" i="23"/>
  <c r="AR141" i="23"/>
  <c r="AL73" i="23" s="1"/>
  <c r="AL85" i="23" s="1"/>
  <c r="AL99" i="23" s="1"/>
  <c r="AM79" i="23" l="1"/>
  <c r="AV137" i="23"/>
  <c r="AO49" i="23"/>
  <c r="AO61" i="23" s="1"/>
  <c r="AO60" i="23" s="1"/>
  <c r="AM80" i="23"/>
  <c r="AM66" i="23"/>
  <c r="AN50" i="23"/>
  <c r="AN59" i="23" s="1"/>
  <c r="AT140" i="23"/>
  <c r="AT141" i="23" s="1"/>
  <c r="AN73" i="23" s="1"/>
  <c r="AN85" i="23" s="1"/>
  <c r="AN99" i="23" s="1"/>
  <c r="AS141" i="23"/>
  <c r="AM73" i="23" s="1"/>
  <c r="AM85" i="23" s="1"/>
  <c r="AM99" i="23" s="1"/>
  <c r="AN66" i="23" l="1"/>
  <c r="AN79" i="23"/>
  <c r="AN80" i="23"/>
  <c r="AO50" i="23"/>
  <c r="AO59" i="23" s="1"/>
  <c r="AW137" i="23"/>
  <c r="AX137" i="23" s="1"/>
  <c r="AY137" i="23" s="1"/>
  <c r="AP49" i="23"/>
  <c r="AU140" i="23"/>
  <c r="AU141" i="23" s="1"/>
  <c r="AO73" i="23" s="1"/>
  <c r="AO85" i="23" s="1"/>
  <c r="AO99" i="23" s="1"/>
  <c r="AP61" i="23" l="1"/>
  <c r="AP60" i="23" s="1"/>
  <c r="AP50" i="23"/>
  <c r="AP59" i="23" s="1"/>
  <c r="AO66" i="23"/>
  <c r="AO80" i="23"/>
  <c r="AO79" i="23"/>
  <c r="AV140" i="23"/>
  <c r="AV141" i="23" s="1"/>
  <c r="AP73" i="23" s="1"/>
  <c r="AP85" i="23" s="1"/>
  <c r="AP99" i="23" s="1"/>
  <c r="AQ99" i="23" s="1"/>
  <c r="A100" i="23" s="1"/>
  <c r="AP80" i="23" l="1"/>
  <c r="AP66" i="23"/>
  <c r="AP79" i="23"/>
  <c r="AW140" i="23"/>
  <c r="AW141" i="23" s="1"/>
  <c r="AX140" i="23" l="1"/>
  <c r="AX141" i="23" s="1"/>
  <c r="AY140" i="23" l="1"/>
  <c r="AY141" i="23" s="1"/>
  <c r="N45" i="15" l="1"/>
  <c r="N54" i="15" s="1"/>
  <c r="N46" i="15"/>
  <c r="N47" i="15"/>
  <c r="N48" i="15"/>
  <c r="N49" i="15"/>
  <c r="N56" i="15" s="1"/>
  <c r="N50" i="15"/>
  <c r="N44" i="15"/>
  <c r="O25" i="13"/>
  <c r="K50" i="15" l="1"/>
  <c r="K57" i="15" s="1"/>
  <c r="J50" i="15"/>
  <c r="J57" i="15" s="1"/>
  <c r="K45" i="15"/>
  <c r="K54" i="15" s="1"/>
  <c r="K46" i="15"/>
  <c r="K47" i="15"/>
  <c r="K48" i="15"/>
  <c r="K49" i="15"/>
  <c r="J46" i="15"/>
  <c r="J47" i="15"/>
  <c r="J48" i="15"/>
  <c r="J49" i="15"/>
  <c r="J45" i="15"/>
  <c r="J54" i="15" s="1"/>
  <c r="J56" i="15" l="1"/>
  <c r="K56" i="15"/>
  <c r="C27" i="6"/>
  <c r="R26" i="14"/>
  <c r="K26" i="5" s="1"/>
  <c r="N25" i="13" l="1"/>
  <c r="P25" i="13" l="1"/>
  <c r="Q26" i="14"/>
  <c r="H23" i="12"/>
  <c r="J23" i="12"/>
  <c r="S23" i="12"/>
  <c r="C40" i="7" l="1"/>
  <c r="G26" i="5"/>
  <c r="I30" i="15" l="1"/>
  <c r="I24" i="15"/>
  <c r="H30" i="15"/>
  <c r="G30" i="15"/>
  <c r="F30" i="15"/>
  <c r="E30" i="15"/>
  <c r="D30" i="15"/>
  <c r="C30" i="15"/>
  <c r="H24" i="15"/>
  <c r="G24" i="15"/>
  <c r="F24" i="15"/>
  <c r="E24" i="15"/>
  <c r="D24" i="15"/>
  <c r="C24" i="15"/>
  <c r="B109" i="25" l="1"/>
  <c r="B49" i="25"/>
  <c r="B66" i="25"/>
  <c r="B32" i="25"/>
  <c r="AD32" i="5"/>
  <c r="B29" i="25" s="1"/>
  <c r="B22" i="25"/>
  <c r="A15" i="5"/>
  <c r="A12" i="5"/>
  <c r="A9" i="5"/>
  <c r="A5" i="5"/>
  <c r="B30" i="25" l="1"/>
  <c r="T47" i="15" l="1"/>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N30" i="15"/>
  <c r="M30" i="15"/>
  <c r="L30" i="15"/>
  <c r="K30" i="15"/>
  <c r="J30" i="15"/>
  <c r="T52" i="15"/>
  <c r="U29" i="15"/>
  <c r="T29" i="15"/>
  <c r="U28" i="15"/>
  <c r="T28" i="15"/>
  <c r="U27" i="15"/>
  <c r="T27" i="15"/>
  <c r="U26" i="15"/>
  <c r="T26" i="15"/>
  <c r="U25" i="15"/>
  <c r="S24" i="15"/>
  <c r="R24" i="15"/>
  <c r="Q24" i="15"/>
  <c r="P24" i="15"/>
  <c r="N24" i="15"/>
  <c r="M24" i="15"/>
  <c r="L24" i="15"/>
  <c r="K24" i="15"/>
  <c r="J24" i="15"/>
  <c r="C23" i="15"/>
  <c r="D23" i="15" s="1"/>
  <c r="E23" i="15" s="1"/>
  <c r="F23" i="15" s="1"/>
  <c r="G23" i="15" s="1"/>
  <c r="H23" i="15" s="1"/>
  <c r="I23" i="15" s="1"/>
  <c r="J23" i="15" s="1"/>
  <c r="K23" i="15" s="1"/>
  <c r="L23" i="15" s="1"/>
  <c r="M23" i="15" s="1"/>
  <c r="N23" i="15" s="1"/>
  <c r="O23" i="15" s="1"/>
  <c r="P23" i="15" s="1"/>
  <c r="Q23" i="15" s="1"/>
  <c r="R23" i="15" s="1"/>
  <c r="S23" i="15" s="1"/>
  <c r="T23" i="15" s="1"/>
  <c r="U23" i="15" s="1"/>
  <c r="U24" i="15" l="1"/>
  <c r="C48" i="7" s="1"/>
  <c r="C67" i="23"/>
  <c r="B54" i="23"/>
  <c r="U30" i="15"/>
  <c r="C49" i="7" s="1"/>
  <c r="T50" i="15"/>
  <c r="B55" i="23" l="1"/>
  <c r="B56" i="23" s="1"/>
  <c r="B69" i="23" s="1"/>
  <c r="B82" i="23"/>
  <c r="C76" i="23"/>
  <c r="F76" i="23"/>
  <c r="D67" i="23"/>
  <c r="C68" i="23"/>
  <c r="F68" i="23"/>
  <c r="B27" i="25"/>
  <c r="T31" i="15"/>
  <c r="T30" i="15"/>
  <c r="C53" i="23" l="1"/>
  <c r="C55" i="23" s="1"/>
  <c r="C56" i="23" s="1"/>
  <c r="C69" i="23" s="1"/>
  <c r="B92" i="25"/>
  <c r="B94" i="25"/>
  <c r="B87" i="25"/>
  <c r="B89" i="25"/>
  <c r="C75" i="23"/>
  <c r="E67" i="23"/>
  <c r="D76" i="23"/>
  <c r="D68" i="23"/>
  <c r="F75" i="23"/>
  <c r="B77" i="23"/>
  <c r="B70" i="23"/>
  <c r="B71" i="23" s="1"/>
  <c r="B76" i="25"/>
  <c r="B72" i="25"/>
  <c r="B42" i="25"/>
  <c r="B59" i="25"/>
  <c r="B63" i="25"/>
  <c r="B46" i="25"/>
  <c r="B38" i="25"/>
  <c r="B55" i="25"/>
  <c r="B80" i="25"/>
  <c r="B83" i="25"/>
  <c r="B34" i="25"/>
  <c r="B51" i="25"/>
  <c r="B68" i="25"/>
  <c r="T25" i="15"/>
  <c r="T24" i="15"/>
  <c r="C77" i="23" l="1"/>
  <c r="C70" i="23"/>
  <c r="B72" i="23"/>
  <c r="B78" i="23"/>
  <c r="B83" i="23" s="1"/>
  <c r="E76" i="23"/>
  <c r="F67" i="23"/>
  <c r="G67" i="23" s="1"/>
  <c r="E68" i="23"/>
  <c r="D53" i="23"/>
  <c r="C82" i="23"/>
  <c r="D75" i="23"/>
  <c r="B85" i="25"/>
  <c r="S26" i="14"/>
  <c r="B84" i="23" l="1"/>
  <c r="B89" i="23" s="1"/>
  <c r="B86" i="23"/>
  <c r="B88" i="23"/>
  <c r="D55" i="23"/>
  <c r="D82" i="23" s="1"/>
  <c r="C71" i="23"/>
  <c r="C72" i="23" s="1"/>
  <c r="E75" i="23"/>
  <c r="H67" i="23"/>
  <c r="G76" i="23"/>
  <c r="G68" i="23"/>
  <c r="B24" i="25"/>
  <c r="C23" i="6"/>
  <c r="A15" i="25"/>
  <c r="D56" i="23" l="1"/>
  <c r="D69" i="23" s="1"/>
  <c r="D77" i="23" s="1"/>
  <c r="I67" i="23"/>
  <c r="H76" i="23"/>
  <c r="H68" i="23"/>
  <c r="C78" i="23"/>
  <c r="C83" i="23" s="1"/>
  <c r="B87" i="23"/>
  <c r="B90" i="23" s="1"/>
  <c r="G75" i="23"/>
  <c r="E53" i="23"/>
  <c r="D70" i="23" l="1"/>
  <c r="D71" i="23" s="1"/>
  <c r="D72" i="23" s="1"/>
  <c r="I76" i="23"/>
  <c r="J67" i="23"/>
  <c r="I68" i="23"/>
  <c r="E55" i="23"/>
  <c r="E82" i="23" s="1"/>
  <c r="C86" i="23"/>
  <c r="C88" i="23"/>
  <c r="C84" i="23"/>
  <c r="C89" i="23" s="1"/>
  <c r="H75" i="23"/>
  <c r="B21" i="25"/>
  <c r="A12" i="25"/>
  <c r="A9" i="25"/>
  <c r="F53" i="23" l="1"/>
  <c r="D78" i="23"/>
  <c r="D83" i="23" s="1"/>
  <c r="D88" i="23" s="1"/>
  <c r="E56" i="23"/>
  <c r="E69" i="23" s="1"/>
  <c r="E77" i="23" s="1"/>
  <c r="F55" i="23"/>
  <c r="F56" i="23" s="1"/>
  <c r="F69" i="23" s="1"/>
  <c r="K67" i="23"/>
  <c r="J76" i="23"/>
  <c r="J68" i="23"/>
  <c r="I75" i="23"/>
  <c r="C87" i="23"/>
  <c r="C90" i="23" s="1"/>
  <c r="A14" i="12"/>
  <c r="A15" i="13" s="1"/>
  <c r="E15" i="14" s="1"/>
  <c r="A15" i="6" s="1"/>
  <c r="A14" i="17" s="1"/>
  <c r="A15" i="10" s="1"/>
  <c r="A15" i="24" s="1"/>
  <c r="E70" i="23" l="1"/>
  <c r="E71" i="23" s="1"/>
  <c r="D86" i="23"/>
  <c r="D87" i="23" s="1"/>
  <c r="D84" i="23"/>
  <c r="D89" i="23" s="1"/>
  <c r="F77" i="23"/>
  <c r="F70" i="23"/>
  <c r="F71" i="23" s="1"/>
  <c r="F72" i="23" s="1"/>
  <c r="D90" i="23"/>
  <c r="E72" i="23"/>
  <c r="E78" i="23"/>
  <c r="E83" i="23" s="1"/>
  <c r="J75" i="23"/>
  <c r="K76" i="23"/>
  <c r="L67" i="23"/>
  <c r="K68" i="23"/>
  <c r="G53" i="23"/>
  <c r="F82" i="23"/>
  <c r="A11" i="12"/>
  <c r="A12" i="13" s="1"/>
  <c r="A8" i="12"/>
  <c r="A9" i="13" s="1"/>
  <c r="E9" i="14" s="1"/>
  <c r="A9" i="6" s="1"/>
  <c r="A8" i="17" s="1"/>
  <c r="A9" i="10" s="1"/>
  <c r="A9" i="24" s="1"/>
  <c r="A4" i="12"/>
  <c r="G55" i="23" l="1"/>
  <c r="G56" i="23" s="1"/>
  <c r="G69" i="23" s="1"/>
  <c r="E86" i="23"/>
  <c r="E88" i="23"/>
  <c r="E84" i="23"/>
  <c r="E89" i="23" s="1"/>
  <c r="K75" i="23"/>
  <c r="M67" i="23"/>
  <c r="L76" i="23"/>
  <c r="L68" i="23"/>
  <c r="F78" i="23"/>
  <c r="F83" i="23" s="1"/>
  <c r="F86" i="23" s="1"/>
  <c r="A5" i="13"/>
  <c r="A5" i="14" s="1"/>
  <c r="A5" i="6" s="1"/>
  <c r="A4" i="17" s="1"/>
  <c r="A5" i="10" s="1"/>
  <c r="A5" i="24" s="1"/>
  <c r="A5" i="25"/>
  <c r="G77" i="23" l="1"/>
  <c r="G70" i="23"/>
  <c r="L75" i="23"/>
  <c r="F84" i="23"/>
  <c r="F89" i="23" s="1"/>
  <c r="E87" i="23"/>
  <c r="E90" i="23" s="1"/>
  <c r="F87" i="23"/>
  <c r="N67" i="23"/>
  <c r="M76" i="23"/>
  <c r="M68" i="23"/>
  <c r="F88" i="23"/>
  <c r="H53" i="23"/>
  <c r="G82" i="23"/>
  <c r="E12" i="14"/>
  <c r="A12" i="6" s="1"/>
  <c r="A11" i="17" s="1"/>
  <c r="A12" i="10" s="1"/>
  <c r="A12" i="24" s="1"/>
  <c r="F90" i="23" l="1"/>
  <c r="O67" i="23"/>
  <c r="N76" i="23"/>
  <c r="N68" i="23"/>
  <c r="H55" i="23"/>
  <c r="H82" i="23" s="1"/>
  <c r="M75" i="23"/>
  <c r="G71" i="23"/>
  <c r="G72"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5" i="23" l="1"/>
  <c r="H56" i="23"/>
  <c r="H69" i="23" s="1"/>
  <c r="G78" i="23"/>
  <c r="G83" i="23" s="1"/>
  <c r="I53" i="23"/>
  <c r="O76" i="23"/>
  <c r="P67" i="23"/>
  <c r="O68" i="23"/>
  <c r="H77" i="23" l="1"/>
  <c r="H70" i="23"/>
  <c r="H71" i="23" s="1"/>
  <c r="O75" i="23"/>
  <c r="G86" i="23"/>
  <c r="G84" i="23"/>
  <c r="G89" i="23" s="1"/>
  <c r="G88" i="23"/>
  <c r="I55" i="23"/>
  <c r="I56" i="23" s="1"/>
  <c r="I69" i="23" s="1"/>
  <c r="Q67" i="23"/>
  <c r="P76" i="23"/>
  <c r="P68" i="23"/>
  <c r="I77" i="23" l="1"/>
  <c r="I70" i="23"/>
  <c r="H72" i="23"/>
  <c r="H78" i="23"/>
  <c r="H83" i="23" s="1"/>
  <c r="R67" i="23"/>
  <c r="Q76" i="23"/>
  <c r="Q68" i="23"/>
  <c r="P75" i="23"/>
  <c r="J53" i="23"/>
  <c r="I82" i="23"/>
  <c r="G87" i="23"/>
  <c r="G90" i="23" s="1"/>
  <c r="J55" i="23" l="1"/>
  <c r="J56" i="23" s="1"/>
  <c r="J69" i="23" s="1"/>
  <c r="I71" i="23"/>
  <c r="I78" i="23" s="1"/>
  <c r="I83" i="23" s="1"/>
  <c r="H84" i="23"/>
  <c r="H89" i="23" s="1"/>
  <c r="H86" i="23"/>
  <c r="H88" i="23"/>
  <c r="R76" i="23"/>
  <c r="S67" i="23"/>
  <c r="R68" i="23"/>
  <c r="Q75" i="23"/>
  <c r="I72" i="23" l="1"/>
  <c r="I86" i="23"/>
  <c r="I88" i="23"/>
  <c r="I84" i="23"/>
  <c r="I89" i="23" s="1"/>
  <c r="R75" i="23"/>
  <c r="I87" i="23"/>
  <c r="H87" i="23"/>
  <c r="H90" i="23" s="1"/>
  <c r="J77" i="23"/>
  <c r="J70" i="23"/>
  <c r="S76" i="23"/>
  <c r="T67" i="23"/>
  <c r="S68" i="23"/>
  <c r="K53" i="23"/>
  <c r="J82" i="23"/>
  <c r="S75" i="23" l="1"/>
  <c r="U67" i="23"/>
  <c r="T76" i="23"/>
  <c r="T68" i="23"/>
  <c r="I90" i="23"/>
  <c r="K55" i="23"/>
  <c r="K56" i="23" s="1"/>
  <c r="K69" i="23" s="1"/>
  <c r="J71" i="23"/>
  <c r="J78" i="23" s="1"/>
  <c r="J83" i="23" s="1"/>
  <c r="J72" i="23" l="1"/>
  <c r="U76" i="23"/>
  <c r="V67" i="23"/>
  <c r="U68" i="23"/>
  <c r="K77" i="23"/>
  <c r="K70" i="23"/>
  <c r="L53" i="23"/>
  <c r="K82" i="23"/>
  <c r="J86" i="23"/>
  <c r="J87" i="23" s="1"/>
  <c r="J90" i="23" s="1"/>
  <c r="J84" i="23"/>
  <c r="J89" i="23" s="1"/>
  <c r="J88" i="23"/>
  <c r="T75" i="23"/>
  <c r="V76" i="23" l="1"/>
  <c r="W67" i="23"/>
  <c r="V68" i="23"/>
  <c r="U75" i="23"/>
  <c r="L55" i="23"/>
  <c r="L82" i="23" s="1"/>
  <c r="L56" i="23"/>
  <c r="L69" i="23" s="1"/>
  <c r="K71" i="23"/>
  <c r="K78" i="23" s="1"/>
  <c r="K83" i="23" s="1"/>
  <c r="M53" i="23" l="1"/>
  <c r="M55" i="23" s="1"/>
  <c r="K72" i="23"/>
  <c r="X67" i="23"/>
  <c r="W76" i="23"/>
  <c r="W68" i="23"/>
  <c r="L77" i="23"/>
  <c r="L70" i="23"/>
  <c r="V75" i="23"/>
  <c r="K86" i="23"/>
  <c r="K87" i="23" s="1"/>
  <c r="K90" i="23" s="1"/>
  <c r="K84" i="23"/>
  <c r="K89" i="23" s="1"/>
  <c r="K88" i="23"/>
  <c r="M82" i="23" l="1"/>
  <c r="M56" i="23"/>
  <c r="M69" i="23" s="1"/>
  <c r="M77" i="23" s="1"/>
  <c r="M70" i="23"/>
  <c r="W75" i="23"/>
  <c r="N53" i="23"/>
  <c r="L71" i="23"/>
  <c r="L78" i="23" s="1"/>
  <c r="L83" i="23" s="1"/>
  <c r="X76" i="23"/>
  <c r="Y67" i="23"/>
  <c r="X68" i="23"/>
  <c r="L72" i="23" l="1"/>
  <c r="X75" i="23"/>
  <c r="L86" i="23"/>
  <c r="L87" i="23" s="1"/>
  <c r="L88" i="23"/>
  <c r="B105" i="23" s="1"/>
  <c r="L84" i="23"/>
  <c r="L89" i="23" s="1"/>
  <c r="G28" i="23" s="1"/>
  <c r="C105" i="23" s="1"/>
  <c r="M71" i="23"/>
  <c r="M78" i="23" s="1"/>
  <c r="M83" i="23" s="1"/>
  <c r="Y76" i="23"/>
  <c r="Z67" i="23"/>
  <c r="Y68" i="23"/>
  <c r="N55" i="23"/>
  <c r="N56" i="23" s="1"/>
  <c r="N69" i="23" s="1"/>
  <c r="M72" i="23" l="1"/>
  <c r="L90" i="23"/>
  <c r="G29" i="23" s="1"/>
  <c r="D105" i="23" s="1"/>
  <c r="G30" i="23"/>
  <c r="A105" i="23" s="1"/>
  <c r="Y75" i="23"/>
  <c r="M86" i="23"/>
  <c r="M87" i="23" s="1"/>
  <c r="M90" i="23" s="1"/>
  <c r="M84" i="23"/>
  <c r="M89" i="23" s="1"/>
  <c r="M88" i="23"/>
  <c r="N77" i="23"/>
  <c r="N70" i="23"/>
  <c r="O53" i="23"/>
  <c r="N82" i="23"/>
  <c r="Z76" i="23"/>
  <c r="AA67" i="23"/>
  <c r="Z68" i="23"/>
  <c r="Z75" i="23" l="1"/>
  <c r="O55" i="23"/>
  <c r="O82" i="23" s="1"/>
  <c r="AA76" i="23"/>
  <c r="AB67" i="23"/>
  <c r="AA68" i="23"/>
  <c r="AQ67" i="23"/>
  <c r="N71" i="23"/>
  <c r="N78" i="23" s="1"/>
  <c r="N83" i="23" s="1"/>
  <c r="O56" i="23" l="1"/>
  <c r="O69" i="23" s="1"/>
  <c r="O77" i="23" s="1"/>
  <c r="N72" i="23"/>
  <c r="AA75" i="23"/>
  <c r="AB76" i="23"/>
  <c r="AC67" i="23"/>
  <c r="AB68" i="23"/>
  <c r="N86" i="23"/>
  <c r="N87" i="23" s="1"/>
  <c r="N90" i="23" s="1"/>
  <c r="N84" i="23"/>
  <c r="N89" i="23" s="1"/>
  <c r="N88" i="23"/>
  <c r="O70" i="23"/>
  <c r="P53" i="23"/>
  <c r="O71" i="23" l="1"/>
  <c r="O78" i="23" s="1"/>
  <c r="O83" i="23" s="1"/>
  <c r="AC76" i="23"/>
  <c r="AD67" i="23"/>
  <c r="AC68" i="23"/>
  <c r="P55" i="23"/>
  <c r="P56" i="23" s="1"/>
  <c r="P69" i="23" s="1"/>
  <c r="AB75" i="23"/>
  <c r="O72" i="23" l="1"/>
  <c r="P77" i="23"/>
  <c r="P70" i="23"/>
  <c r="Q53" i="23"/>
  <c r="P82" i="23"/>
  <c r="O86" i="23"/>
  <c r="O87" i="23" s="1"/>
  <c r="O90" i="23" s="1"/>
  <c r="O84" i="23"/>
  <c r="O89" i="23" s="1"/>
  <c r="O88" i="23"/>
  <c r="AE67" i="23"/>
  <c r="AD76" i="23"/>
  <c r="AD68" i="23"/>
  <c r="AC75" i="23"/>
  <c r="P71" i="23" l="1"/>
  <c r="P78" i="23" s="1"/>
  <c r="P83" i="23" s="1"/>
  <c r="AE76" i="23"/>
  <c r="AF67" i="23"/>
  <c r="AE68" i="23"/>
  <c r="Q55" i="23"/>
  <c r="Q56" i="23" s="1"/>
  <c r="Q69" i="23" s="1"/>
  <c r="AD75" i="23"/>
  <c r="P72" i="23" l="1"/>
  <c r="Q77" i="23"/>
  <c r="Q70" i="23"/>
  <c r="R53" i="23"/>
  <c r="Q82" i="23"/>
  <c r="AG67" i="23"/>
  <c r="AF76" i="23"/>
  <c r="AF68" i="23"/>
  <c r="AR67" i="23"/>
  <c r="AE75" i="23"/>
  <c r="P86" i="23"/>
  <c r="P87" i="23" s="1"/>
  <c r="P90" i="23" s="1"/>
  <c r="P88" i="23"/>
  <c r="P84" i="23"/>
  <c r="P89" i="23" s="1"/>
  <c r="R55" i="23" l="1"/>
  <c r="R56" i="23" s="1"/>
  <c r="R69" i="23" s="1"/>
  <c r="Q71" i="23"/>
  <c r="Q78" i="23" s="1"/>
  <c r="Q83" i="23" s="1"/>
  <c r="AF75" i="23"/>
  <c r="AG76" i="23"/>
  <c r="AH67" i="23"/>
  <c r="AG68" i="23"/>
  <c r="Q72" i="23" l="1"/>
  <c r="AI67" i="23"/>
  <c r="AH76" i="23"/>
  <c r="AH68" i="23"/>
  <c r="R77" i="23"/>
  <c r="R70" i="23"/>
  <c r="Q86" i="23"/>
  <c r="Q87" i="23" s="1"/>
  <c r="Q90" i="23" s="1"/>
  <c r="Q84" i="23"/>
  <c r="Q89" i="23" s="1"/>
  <c r="Q88" i="23"/>
  <c r="AG75" i="23"/>
  <c r="S53" i="23"/>
  <c r="R82" i="23"/>
  <c r="S55" i="23" l="1"/>
  <c r="S56" i="23" s="1"/>
  <c r="S69" i="23" s="1"/>
  <c r="AH75" i="23"/>
  <c r="R71" i="23"/>
  <c r="R78" i="23" s="1"/>
  <c r="R83" i="23" s="1"/>
  <c r="AI76" i="23"/>
  <c r="AJ67" i="23"/>
  <c r="AI68" i="23"/>
  <c r="R86" i="23" l="1"/>
  <c r="R87" i="23" s="1"/>
  <c r="R90" i="23" s="1"/>
  <c r="R84" i="23"/>
  <c r="R89" i="23" s="1"/>
  <c r="R88" i="23"/>
  <c r="AJ76" i="23"/>
  <c r="AK67" i="23"/>
  <c r="AJ68" i="23"/>
  <c r="S77" i="23"/>
  <c r="S70" i="23"/>
  <c r="AI75" i="23"/>
  <c r="R72" i="23"/>
  <c r="T53" i="23"/>
  <c r="S82" i="23"/>
  <c r="T55" i="23" l="1"/>
  <c r="T82" i="23" s="1"/>
  <c r="T56" i="23"/>
  <c r="T69" i="23" s="1"/>
  <c r="S71" i="23"/>
  <c r="S78" i="23" s="1"/>
  <c r="S83" i="23" s="1"/>
  <c r="AJ75" i="23"/>
  <c r="AK76" i="23"/>
  <c r="AL67" i="23"/>
  <c r="AK68" i="23"/>
  <c r="U53" i="23" l="1"/>
  <c r="U55" i="23" s="1"/>
  <c r="S86" i="23"/>
  <c r="S87" i="23" s="1"/>
  <c r="S90" i="23" s="1"/>
  <c r="S88" i="23"/>
  <c r="S84" i="23"/>
  <c r="S89" i="23" s="1"/>
  <c r="AK75" i="23"/>
  <c r="T77" i="23"/>
  <c r="T70" i="23"/>
  <c r="AL76" i="23"/>
  <c r="AM67" i="23"/>
  <c r="AL68" i="23"/>
  <c r="S72" i="23"/>
  <c r="AL75" i="23" l="1"/>
  <c r="V53" i="23"/>
  <c r="U82" i="23"/>
  <c r="AM76" i="23"/>
  <c r="AN67" i="23"/>
  <c r="AM68" i="23"/>
  <c r="T71" i="23"/>
  <c r="T78" i="23" s="1"/>
  <c r="T83" i="23" s="1"/>
  <c r="U56" i="23"/>
  <c r="U69" i="23" s="1"/>
  <c r="T86" i="23" l="1"/>
  <c r="T87" i="23" s="1"/>
  <c r="T90" i="23" s="1"/>
  <c r="T84" i="23"/>
  <c r="T89" i="23" s="1"/>
  <c r="T88" i="23"/>
  <c r="V55" i="23"/>
  <c r="AM75" i="23"/>
  <c r="U77" i="23"/>
  <c r="U70" i="23"/>
  <c r="AO67" i="23"/>
  <c r="AN76" i="23"/>
  <c r="AN68" i="23"/>
  <c r="T72" i="23"/>
  <c r="AN75" i="23" l="1"/>
  <c r="W53" i="23"/>
  <c r="V82" i="23"/>
  <c r="AO76" i="23"/>
  <c r="AP67" i="23"/>
  <c r="AO68" i="23"/>
  <c r="U71" i="23"/>
  <c r="U78" i="23" s="1"/>
  <c r="U83" i="23" s="1"/>
  <c r="V56" i="23"/>
  <c r="V69" i="23" s="1"/>
  <c r="U86" i="23" l="1"/>
  <c r="U87" i="23" s="1"/>
  <c r="U90" i="23" s="1"/>
  <c r="U84" i="23"/>
  <c r="U89" i="23" s="1"/>
  <c r="U88" i="23"/>
  <c r="AO75" i="23"/>
  <c r="W55" i="23"/>
  <c r="W82" i="23" s="1"/>
  <c r="V77" i="23"/>
  <c r="V70" i="23"/>
  <c r="AP76" i="23"/>
  <c r="AP68" i="23"/>
  <c r="AS67" i="23"/>
  <c r="U72" i="23"/>
  <c r="X53" i="23" l="1"/>
  <c r="X55" i="23" s="1"/>
  <c r="X82" i="23" s="1"/>
  <c r="W56" i="23"/>
  <c r="W69" i="23" s="1"/>
  <c r="W77" i="23" s="1"/>
  <c r="AP75" i="23"/>
  <c r="V71" i="23"/>
  <c r="V78" i="23" s="1"/>
  <c r="V83" i="23" s="1"/>
  <c r="W70" i="23" l="1"/>
  <c r="X56" i="23"/>
  <c r="X69" i="23" s="1"/>
  <c r="X77" i="23" s="1"/>
  <c r="V86" i="23"/>
  <c r="V87" i="23" s="1"/>
  <c r="V90" i="23" s="1"/>
  <c r="V88" i="23"/>
  <c r="V84" i="23"/>
  <c r="V89" i="23" s="1"/>
  <c r="W71" i="23"/>
  <c r="W78" i="23" s="1"/>
  <c r="W83" i="23" s="1"/>
  <c r="X70" i="23"/>
  <c r="V72" i="23"/>
  <c r="Y53" i="23"/>
  <c r="W86" i="23" l="1"/>
  <c r="W87" i="23" s="1"/>
  <c r="W90" i="23" s="1"/>
  <c r="W88" i="23"/>
  <c r="W84" i="23"/>
  <c r="W89" i="23" s="1"/>
  <c r="X71" i="23"/>
  <c r="X78" i="23" s="1"/>
  <c r="X83" i="23" s="1"/>
  <c r="Y55" i="23"/>
  <c r="Y82" i="23" s="1"/>
  <c r="Z53" i="23"/>
  <c r="W72" i="23"/>
  <c r="Y56" i="23" l="1"/>
  <c r="Y69" i="23" s="1"/>
  <c r="Y77" i="23" s="1"/>
  <c r="Z55" i="23"/>
  <c r="Z82" i="23" s="1"/>
  <c r="AA53" i="23"/>
  <c r="Z56" i="23"/>
  <c r="Z69" i="23" s="1"/>
  <c r="X86" i="23"/>
  <c r="X87" i="23" s="1"/>
  <c r="X90" i="23" s="1"/>
  <c r="X88" i="23"/>
  <c r="X84" i="23"/>
  <c r="X89" i="23" s="1"/>
  <c r="Y70" i="23"/>
  <c r="X72" i="23"/>
  <c r="Y71" i="23" l="1"/>
  <c r="Y78" i="23" s="1"/>
  <c r="Y83" i="23" s="1"/>
  <c r="Z77" i="23"/>
  <c r="Z70" i="23"/>
  <c r="AA55" i="23"/>
  <c r="AA82" i="23" s="1"/>
  <c r="Y72" i="23" l="1"/>
  <c r="AA56" i="23"/>
  <c r="AA69" i="23" s="1"/>
  <c r="AA70" i="23" s="1"/>
  <c r="Z71" i="23"/>
  <c r="Z78" i="23" s="1"/>
  <c r="Z83" i="23" s="1"/>
  <c r="AA77" i="23"/>
  <c r="AB53" i="23"/>
  <c r="Y86" i="23"/>
  <c r="Y87" i="23" s="1"/>
  <c r="Y90" i="23" s="1"/>
  <c r="Y88" i="23"/>
  <c r="Y84" i="23"/>
  <c r="Y89" i="23" s="1"/>
  <c r="Z72" i="23" l="1"/>
  <c r="AA71" i="23"/>
  <c r="AA78" i="23" s="1"/>
  <c r="AA83" i="23" s="1"/>
  <c r="AB55" i="23"/>
  <c r="AB56" i="23" s="1"/>
  <c r="AB69" i="23" s="1"/>
  <c r="Z86" i="23"/>
  <c r="Z87" i="23" s="1"/>
  <c r="Z90" i="23" s="1"/>
  <c r="Z84" i="23"/>
  <c r="Z89" i="23" s="1"/>
  <c r="Z88" i="23"/>
  <c r="AA72" i="23" l="1"/>
  <c r="AB77" i="23"/>
  <c r="AB70" i="23"/>
  <c r="AC53" i="23"/>
  <c r="AB82" i="23"/>
  <c r="AA86" i="23"/>
  <c r="AA87" i="23" s="1"/>
  <c r="AA90" i="23" s="1"/>
  <c r="AA84" i="23"/>
  <c r="AA89" i="23" s="1"/>
  <c r="AA88" i="23"/>
  <c r="AC55" i="23" l="1"/>
  <c r="AC82" i="23" s="1"/>
  <c r="AB71" i="23"/>
  <c r="AB78" i="23" s="1"/>
  <c r="AB83" i="23" s="1"/>
  <c r="AD53" i="23" l="1"/>
  <c r="AC56" i="23"/>
  <c r="AC69" i="23" s="1"/>
  <c r="AC77" i="23" s="1"/>
  <c r="AB86" i="23"/>
  <c r="AB87" i="23" s="1"/>
  <c r="AB90" i="23" s="1"/>
  <c r="AB88" i="23"/>
  <c r="AB84" i="23"/>
  <c r="AB89" i="23" s="1"/>
  <c r="AD55" i="23"/>
  <c r="AD82" i="23" s="1"/>
  <c r="AB72" i="23"/>
  <c r="AC70" i="23" l="1"/>
  <c r="AD56" i="23"/>
  <c r="AD69" i="23" s="1"/>
  <c r="AD70" i="23" s="1"/>
  <c r="AE53" i="23"/>
  <c r="AE55" i="23"/>
  <c r="AE82" i="23" s="1"/>
  <c r="AC71" i="23"/>
  <c r="AC78" i="23" s="1"/>
  <c r="AC83" i="23" s="1"/>
  <c r="AD77" i="23" l="1"/>
  <c r="AF53" i="23"/>
  <c r="AE56" i="23"/>
  <c r="AE69" i="23" s="1"/>
  <c r="AE70" i="23" s="1"/>
  <c r="AC72" i="23"/>
  <c r="AC86" i="23"/>
  <c r="AC87" i="23" s="1"/>
  <c r="AC90" i="23" s="1"/>
  <c r="AC88" i="23"/>
  <c r="AC84" i="23"/>
  <c r="AC89" i="23" s="1"/>
  <c r="AF55" i="23"/>
  <c r="AD71" i="23"/>
  <c r="AD78" i="23" s="1"/>
  <c r="AD83" i="23" s="1"/>
  <c r="AE77" i="23" l="1"/>
  <c r="AD86" i="23"/>
  <c r="AD87" i="23" s="1"/>
  <c r="AD90" i="23" s="1"/>
  <c r="AD88" i="23"/>
  <c r="AD84" i="23"/>
  <c r="AD89" i="23" s="1"/>
  <c r="AG53" i="23"/>
  <c r="AF82" i="23"/>
  <c r="AE71" i="23"/>
  <c r="AE78" i="23" s="1"/>
  <c r="AE83" i="23" s="1"/>
  <c r="AD72" i="23"/>
  <c r="AF56" i="23"/>
  <c r="AF69" i="23" s="1"/>
  <c r="AE72" i="23" l="1"/>
  <c r="AG55" i="23"/>
  <c r="AG56" i="23" s="1"/>
  <c r="AG69" i="23" s="1"/>
  <c r="AE86" i="23"/>
  <c r="AE87" i="23" s="1"/>
  <c r="AE90" i="23" s="1"/>
  <c r="AE88" i="23"/>
  <c r="AE84" i="23"/>
  <c r="AE89" i="23" s="1"/>
  <c r="AF77" i="23"/>
  <c r="AF70" i="23"/>
  <c r="AF71" i="23" l="1"/>
  <c r="AF78" i="23" s="1"/>
  <c r="AF83" i="23" s="1"/>
  <c r="AG77" i="23"/>
  <c r="AG70" i="23"/>
  <c r="AH53" i="23"/>
  <c r="AG82" i="23"/>
  <c r="AF72" i="23" l="1"/>
  <c r="AG71" i="23"/>
  <c r="AG78" i="23" s="1"/>
  <c r="AG83" i="23" s="1"/>
  <c r="AH55" i="23"/>
  <c r="AH82" i="23" s="1"/>
  <c r="AF86" i="23"/>
  <c r="AF87" i="23" s="1"/>
  <c r="AF90" i="23" s="1"/>
  <c r="AF88" i="23"/>
  <c r="AF84" i="23"/>
  <c r="AF89" i="23" s="1"/>
  <c r="AG72" i="23" l="1"/>
  <c r="AI53" i="23"/>
  <c r="AI55" i="23" s="1"/>
  <c r="AH56" i="23"/>
  <c r="AH69" i="23" s="1"/>
  <c r="AG86" i="23"/>
  <c r="AG87" i="23" s="1"/>
  <c r="AG90" i="23" s="1"/>
  <c r="AG88" i="23"/>
  <c r="AG84" i="23"/>
  <c r="AG89" i="23" s="1"/>
  <c r="AI82" i="23" l="1"/>
  <c r="AJ53" i="23"/>
  <c r="AI56" i="23"/>
  <c r="AI69" i="23" s="1"/>
  <c r="AI77" i="23" s="1"/>
  <c r="AH77" i="23"/>
  <c r="AH70" i="23"/>
  <c r="AJ55" i="23"/>
  <c r="AJ82" i="23" s="1"/>
  <c r="AI70" i="23" l="1"/>
  <c r="AJ56" i="23"/>
  <c r="AJ69" i="23" s="1"/>
  <c r="AJ77" i="23"/>
  <c r="AJ70" i="23"/>
  <c r="AI71" i="23"/>
  <c r="AH71" i="23"/>
  <c r="AH78" i="23" s="1"/>
  <c r="AH83" i="23" s="1"/>
  <c r="AK53" i="23"/>
  <c r="AI78" i="23" l="1"/>
  <c r="AI83" i="23" s="1"/>
  <c r="AI84" i="23" s="1"/>
  <c r="AH72" i="23"/>
  <c r="AK55" i="23"/>
  <c r="AK56" i="23" s="1"/>
  <c r="AK69" i="23" s="1"/>
  <c r="AJ71" i="23"/>
  <c r="AH86" i="23"/>
  <c r="AH87" i="23" s="1"/>
  <c r="AH90" i="23" s="1"/>
  <c r="AH88" i="23"/>
  <c r="AH84" i="23"/>
  <c r="AH89" i="23" s="1"/>
  <c r="AI72" i="23"/>
  <c r="AJ78" i="23" l="1"/>
  <c r="AJ83" i="23" s="1"/>
  <c r="AJ84" i="23" s="1"/>
  <c r="AJ89" i="23" s="1"/>
  <c r="AI86" i="23"/>
  <c r="AI88" i="23"/>
  <c r="AL53" i="23"/>
  <c r="AK82" i="23"/>
  <c r="AI89" i="23"/>
  <c r="AJ72" i="23"/>
  <c r="AI87" i="23"/>
  <c r="AI90" i="23" s="1"/>
  <c r="AJ86" i="23"/>
  <c r="AJ87" i="23" s="1"/>
  <c r="AK77" i="23"/>
  <c r="AK70" i="23"/>
  <c r="AJ88" i="23" l="1"/>
  <c r="AJ90" i="23"/>
  <c r="AK71" i="23"/>
  <c r="AK78" i="23" s="1"/>
  <c r="AK83" i="23" s="1"/>
  <c r="AL55" i="23"/>
  <c r="AL56" i="23" s="1"/>
  <c r="AL69" i="23" s="1"/>
  <c r="AK72" i="23" l="1"/>
  <c r="AL77" i="23"/>
  <c r="AL70" i="23"/>
  <c r="AM53" i="23"/>
  <c r="AL82" i="23"/>
  <c r="AK86" i="23"/>
  <c r="AK87" i="23" s="1"/>
  <c r="AK90" i="23" s="1"/>
  <c r="AK88" i="23"/>
  <c r="AK84" i="23"/>
  <c r="AK89" i="23" s="1"/>
  <c r="AL71" i="23" l="1"/>
  <c r="AL78" i="23" s="1"/>
  <c r="AL83" i="23" s="1"/>
  <c r="AM55" i="23"/>
  <c r="AM82" i="23" s="1"/>
  <c r="AN53" i="23" l="1"/>
  <c r="AL72" i="23"/>
  <c r="AN55" i="23"/>
  <c r="AN56" i="23" s="1"/>
  <c r="AN69" i="23" s="1"/>
  <c r="AM56" i="23"/>
  <c r="AM69" i="23" s="1"/>
  <c r="AL86" i="23"/>
  <c r="AL87" i="23" s="1"/>
  <c r="AL90" i="23" s="1"/>
  <c r="AL84" i="23"/>
  <c r="AL89" i="23" s="1"/>
  <c r="AL88" i="23"/>
  <c r="AM77" i="23" l="1"/>
  <c r="AM70" i="23"/>
  <c r="AN77" i="23"/>
  <c r="AN70" i="23"/>
  <c r="AO53" i="23"/>
  <c r="AN82" i="23"/>
  <c r="AN71" i="23" l="1"/>
  <c r="AN72" i="23" s="1"/>
  <c r="AM71" i="23"/>
  <c r="AM78" i="23" s="1"/>
  <c r="AM83" i="23" s="1"/>
  <c r="AO55" i="23"/>
  <c r="AO82" i="23" s="1"/>
  <c r="AO56" i="23" l="1"/>
  <c r="AO69" i="23" s="1"/>
  <c r="AP53" i="23"/>
  <c r="AP55" i="23" s="1"/>
  <c r="AM72" i="23"/>
  <c r="AO77" i="23"/>
  <c r="AO70" i="23"/>
  <c r="AM86" i="23"/>
  <c r="AM87" i="23" s="1"/>
  <c r="AM90" i="23" s="1"/>
  <c r="AM88" i="23"/>
  <c r="AM84" i="23"/>
  <c r="AM89" i="23" s="1"/>
  <c r="AN78" i="23"/>
  <c r="AN83" i="23" s="1"/>
  <c r="AP82" i="23" l="1"/>
  <c r="AP56" i="23"/>
  <c r="AP69" i="23" s="1"/>
  <c r="AN86" i="23"/>
  <c r="AN87" i="23" s="1"/>
  <c r="AN90" i="23" s="1"/>
  <c r="AN84" i="23"/>
  <c r="AN89" i="23" s="1"/>
  <c r="AN88" i="23"/>
  <c r="AP77" i="23"/>
  <c r="AP70" i="23"/>
  <c r="AP71" i="23" s="1"/>
  <c r="AO71" i="23"/>
  <c r="AO78" i="23" s="1"/>
  <c r="AO83" i="23" s="1"/>
  <c r="AO72" i="23"/>
  <c r="AO86" i="23" l="1"/>
  <c r="AO87" i="23" s="1"/>
  <c r="AO90" i="23" s="1"/>
  <c r="AO88" i="23"/>
  <c r="AO84" i="23"/>
  <c r="AO89" i="23" s="1"/>
  <c r="AP72" i="23"/>
  <c r="AP78" i="23"/>
  <c r="AP83" i="23" s="1"/>
  <c r="AP86" i="23" l="1"/>
  <c r="AP87" i="23" s="1"/>
  <c r="AP84" i="23"/>
  <c r="AP89" i="23" s="1"/>
  <c r="AP88" i="23"/>
  <c r="A101" i="23" l="1"/>
  <c r="B102" i="23" s="1"/>
  <c r="AP90" i="23"/>
</calcChain>
</file>

<file path=xl/sharedStrings.xml><?xml version="1.0" encoding="utf-8"?>
<sst xmlns="http://schemas.openxmlformats.org/spreadsheetml/2006/main" count="1072" uniqueCount="643">
  <si>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</si>
  <si>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</si>
  <si>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</si>
  <si>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</si>
  <si>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</si>
  <si>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</si>
  <si>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</si>
  <si>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</si>
  <si>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</si>
  <si>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</si>
  <si>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</si>
  <si>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</si>
  <si>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</si>
  <si>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</si>
  <si>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</si>
  <si>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</si>
  <si>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</si>
  <si>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</si>
  <si>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</si>
  <si>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</si>
  <si>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</si>
  <si>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</si>
  <si>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</si>
  <si>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</si>
  <si>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</si>
  <si>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</si>
  <si>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</si>
  <si>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</si>
  <si>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</si>
  <si>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</si>
  <si>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</si>
  <si>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</si>
  <si>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</si>
  <si>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</si>
  <si>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</si>
  <si>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</si>
  <si>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</si>
  <si>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</si>
  <si>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</si>
  <si>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</si>
  <si>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</si>
  <si>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</si>
  <si>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</si>
  <si>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</si>
  <si>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</si>
  <si>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</si>
  <si>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</si>
  <si>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</si>
  <si>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</si>
  <si>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</si>
  <si>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</si>
  <si>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</si>
  <si>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</si>
  <si>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</si>
  <si>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</si>
  <si>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</si>
  <si>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</si>
  <si>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</si>
  <si>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</si>
  <si>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</si>
  <si>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</si>
  <si>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</si>
  <si>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</si>
  <si>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</si>
  <si>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</si>
  <si>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</si>
  <si>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</si>
  <si>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</si>
  <si>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</si>
  <si>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</si>
  <si>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</si>
  <si>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</si>
  <si>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</si>
  <si>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</si>
  <si>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</si>
  <si>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</si>
  <si>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</si>
  <si>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</si>
  <si>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</si>
  <si>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</si>
  <si>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</si>
  <si>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</si>
  <si>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</si>
  <si>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</si>
  <si>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</si>
  <si>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</si>
  <si>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</si>
  <si>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</si>
  <si>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</si>
  <si>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</si>
  <si>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</si>
  <si>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</si>
  <si>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</si>
  <si>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</si>
  <si>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</si>
  <si>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</si>
  <si>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</si>
  <si>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</si>
  <si>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</si>
  <si>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</si>
  <si>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</si>
  <si>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</si>
  <si>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</si>
  <si>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</si>
  <si>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</si>
  <si>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</si>
  <si>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</si>
  <si>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</si>
  <si>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</si>
  <si>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</si>
  <si>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</si>
  <si>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</si>
  <si>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</si>
  <si>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</si>
  <si>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</si>
  <si>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</si>
  <si>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</si>
  <si>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</si>
  <si>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</si>
  <si>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</si>
  <si>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</si>
  <si>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</si>
  <si>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</si>
  <si>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</si>
  <si>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</si>
  <si>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</si>
  <si>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</si>
  <si>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</si>
  <si>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</si>
  <si>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</si>
  <si>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</si>
  <si>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</si>
  <si>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</si>
  <si>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</si>
  <si>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</si>
  <si>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</si>
  <si>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</si>
  <si>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</si>
  <si>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</si>
  <si>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</si>
  <si>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</si>
  <si>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</si>
  <si>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</si>
  <si>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</si>
  <si>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</si>
  <si>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</si>
  <si>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</si>
  <si>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</si>
  <si>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</si>
  <si>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</si>
  <si>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</si>
  <si>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</si>
  <si>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</si>
  <si>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</si>
  <si>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</si>
  <si>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</si>
  <si>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</si>
  <si>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</si>
  <si>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</si>
  <si>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</si>
  <si>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</si>
  <si>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</si>
  <si>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</si>
  <si>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</si>
  <si>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</si>
  <si>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</si>
  <si>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</si>
  <si>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</si>
  <si>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</si>
  <si>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</si>
  <si>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</si>
  <si>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</si>
  <si>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</si>
  <si>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</si>
  <si>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</si>
  <si>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</si>
  <si>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</si>
  <si>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</si>
  <si>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</si>
  <si>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</si>
  <si>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</si>
  <si>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</si>
  <si>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</si>
  <si>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</si>
  <si>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</si>
  <si>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</si>
  <si>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</si>
  <si>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</si>
  <si>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</si>
  <si>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</si>
  <si>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</si>
  <si>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</si>
  <si>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</si>
  <si>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</si>
  <si>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</si>
  <si>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</si>
  <si>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</si>
  <si>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</si>
  <si>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</si>
  <si>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</si>
  <si>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</si>
  <si>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</si>
  <si>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</si>
  <si>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</si>
  <si>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</si>
  <si>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</si>
  <si>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</si>
  <si>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</si>
  <si>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</si>
  <si>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</si>
  <si>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</si>
  <si>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</si>
  <si>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</si>
  <si>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</si>
  <si>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</si>
  <si>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</si>
  <si>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</si>
  <si>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</si>
  <si>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</si>
  <si>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</si>
  <si>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</si>
  <si>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</si>
  <si>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</si>
  <si>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</si>
  <si>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</si>
  <si>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</si>
  <si>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</si>
  <si>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</si>
  <si>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</si>
  <si>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</si>
  <si>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</si>
  <si>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</si>
  <si>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</si>
  <si>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</si>
  <si>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</si>
  <si>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</si>
  <si>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</si>
  <si>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</si>
  <si>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</si>
  <si>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</si>
  <si>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</si>
  <si>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</si>
  <si>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</si>
  <si>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</si>
  <si>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</si>
  <si>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</si>
  <si>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</si>
  <si>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</si>
  <si>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</si>
  <si>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</si>
  <si>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</si>
  <si>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</si>
  <si>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</si>
  <si>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</si>
  <si>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</si>
  <si>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</si>
  <si>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</si>
  <si>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</si>
  <si>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</si>
  <si>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</si>
  <si>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</si>
  <si>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</si>
  <si>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</si>
  <si>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</si>
  <si>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</si>
  <si>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</si>
  <si>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</si>
  <si>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</si>
  <si>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</si>
  <si>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</si>
  <si>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</si>
  <si>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</si>
  <si>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</si>
  <si>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</si>
  <si>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</si>
  <si>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</si>
  <si>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</si>
  <si>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</si>
  <si>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</si>
  <si>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</si>
  <si>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</si>
  <si>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</si>
  <si>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</si>
  <si>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</si>
  <si>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</si>
  <si>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</si>
  <si>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</si>
  <si>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</si>
  <si>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</si>
  <si>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</si>
  <si>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</si>
  <si>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</si>
  <si>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</si>
  <si>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</si>
  <si>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</si>
  <si>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</si>
  <si>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</si>
  <si>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</si>
  <si>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</si>
  <si>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</si>
  <si>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</si>
  <si>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</si>
  <si>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</si>
  <si>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</si>
  <si>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</si>
  <si>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</si>
  <si>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</si>
  <si>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</si>
  <si>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</si>
  <si>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</si>
  <si>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</si>
  <si>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</si>
  <si>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</si>
  <si>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</si>
  <si>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</si>
  <si>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</si>
  <si>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</si>
  <si>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</si>
  <si>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</si>
  <si>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</si>
  <si>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</si>
  <si>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</si>
  <si>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</si>
  <si>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</si>
  <si>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</si>
  <si>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</si>
  <si>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</si>
  <si>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</si>
  <si>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</si>
  <si>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</si>
  <si>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</si>
  <si>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</si>
  <si>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</si>
  <si>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</si>
  <si>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</si>
  <si>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</si>
  <si>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</si>
  <si>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</si>
  <si>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</si>
  <si>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</si>
  <si>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</si>
  <si>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</si>
  <si>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</si>
  <si>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</si>
  <si>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</si>
  <si>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</si>
  <si>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</si>
  <si>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</si>
  <si>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</si>
  <si>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</si>
  <si>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</si>
  <si>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</si>
  <si>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</si>
  <si>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</si>
  <si>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</si>
  <si>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</si>
  <si>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</si>
  <si>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</si>
  <si>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</si>
  <si>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</si>
  <si>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</si>
  <si>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</si>
  <si>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</si>
  <si>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</si>
  <si>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</si>
  <si>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</si>
  <si>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</si>
  <si>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</si>
  <si>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</si>
  <si>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</si>
  <si>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</si>
  <si>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</si>
  <si>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</si>
  <si>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</si>
  <si>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</si>
  <si>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</si>
  <si>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</si>
  <si>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</si>
  <si>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</si>
  <si>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</si>
  <si>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</si>
  <si>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</si>
  <si>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</si>
  <si>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</si>
  <si>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</si>
  <si>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</si>
  <si>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</si>
  <si>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</si>
  <si>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</si>
  <si>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</si>
  <si>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</si>
  <si>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</si>
  <si>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</si>
  <si>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</si>
  <si>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</si>
  <si>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</si>
  <si>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</si>
  <si>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</si>
  <si>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</si>
  <si>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</si>
  <si>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</si>
  <si>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</si>
  <si>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</si>
  <si>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</si>
  <si>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</si>
  <si>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</si>
  <si>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</si>
  <si>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</si>
  <si>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</si>
  <si>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</si>
  <si>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</si>
  <si>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</si>
  <si>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</si>
  <si>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</si>
  <si>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</si>
  <si>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</si>
  <si>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</si>
  <si>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</si>
  <si>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</si>
  <si>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</si>
  <si>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</si>
  <si>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</si>
  <si>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</si>
  <si>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</si>
  <si>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</si>
  <si>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</si>
  <si>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</si>
  <si>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</si>
  <si>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</si>
  <si>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</si>
  <si>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</si>
  <si>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</si>
  <si>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</si>
  <si>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</si>
  <si>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</si>
  <si>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</si>
  <si>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</si>
  <si>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</si>
  <si>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</si>
  <si>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</si>
  <si>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</si>
  <si>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</si>
  <si>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</si>
  <si>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</si>
  <si>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</si>
  <si>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</si>
  <si>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</si>
  <si>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</si>
  <si>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</si>
  <si>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</si>
  <si>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</si>
  <si>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</si>
  <si>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</si>
  <si>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</si>
  <si>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</si>
  <si>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</si>
  <si>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</si>
  <si>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</si>
  <si>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</si>
  <si>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</si>
  <si>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</si>
  <si>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</si>
  <si>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</si>
  <si>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</si>
  <si>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</si>
  <si>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</si>
  <si>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</si>
  <si>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</si>
  <si>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</si>
  <si>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</si>
  <si>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</si>
  <si>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</si>
  <si>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</si>
  <si>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</si>
  <si>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</si>
  <si>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</si>
  <si>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</si>
  <si>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</si>
  <si>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</si>
  <si>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</si>
  <si>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</si>
  <si>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</si>
  <si>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</si>
  <si>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</si>
  <si>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</si>
  <si>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</si>
  <si>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</si>
  <si>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</si>
  <si>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</si>
  <si>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</si>
  <si>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</si>
  <si>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</si>
  <si>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</si>
  <si>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</si>
  <si>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</si>
  <si>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</si>
  <si>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</si>
  <si>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</si>
  <si>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</si>
  <si>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</si>
  <si>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</si>
  <si>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</si>
  <si>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</si>
  <si>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</si>
  <si>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</si>
  <si>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</si>
  <si>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</si>
  <si>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</si>
  <si>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</si>
  <si>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</si>
  <si>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</si>
  <si>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</si>
  <si>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</si>
  <si>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</si>
  <si>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</si>
  <si>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</si>
  <si>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</si>
  <si>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</si>
  <si>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</si>
  <si>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</si>
  <si>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</si>
  <si>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</si>
  <si>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</si>
  <si>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</si>
  <si>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</si>
  <si>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</si>
  <si>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</si>
  <si>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</si>
  <si>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</si>
  <si>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</si>
  <si>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</si>
  <si>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</si>
  <si>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</si>
  <si>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</si>
  <si>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</si>
  <si>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</si>
  <si>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</si>
  <si>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</si>
  <si>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</si>
  <si>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</si>
  <si>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</si>
  <si>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</si>
  <si>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</si>
  <si>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</si>
  <si>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</si>
  <si>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</si>
  <si>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</si>
  <si>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</si>
  <si>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</si>
  <si>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</si>
  <si>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</si>
  <si>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</si>
  <si>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</si>
  <si>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</si>
  <si>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</si>
  <si>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</si>
  <si>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</si>
  <si>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</si>
  <si>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</si>
  <si>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</si>
  <si>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</si>
  <si>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</si>
  <si>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</si>
  <si>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</si>
  <si>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</si>
  <si>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</si>
  <si>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</si>
  <si>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</si>
  <si>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</si>
  <si>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</si>
  <si>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</si>
  <si>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</si>
  <si>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</si>
  <si>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</si>
  <si>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</si>
  <si>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</si>
  <si>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</si>
  <si>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</si>
  <si>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</si>
  <si>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</si>
  <si>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</si>
  <si>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</si>
  <si>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</si>
  <si>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</si>
  <si>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</si>
  <si>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</si>
  <si>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</si>
  <si>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</si>
  <si>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</si>
  <si>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</si>
  <si>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</si>
  <si>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</si>
  <si>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</si>
  <si>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 xml:space="preserve">https://rosseti.roseltorg.ru/ </t>
  </si>
  <si>
    <t>ГП</t>
  </si>
  <si>
    <r>
      <t>Другое</t>
    </r>
    <r>
      <rPr>
        <vertAlign val="superscript"/>
        <sz val="12"/>
        <rFont val="Times New Roman"/>
        <family val="1"/>
        <charset val="204"/>
      </rPr>
      <t>3)</t>
    </r>
    <r>
      <rPr>
        <sz val="12"/>
        <rFont val="Times New Roman"/>
        <family val="1"/>
        <charset val="204"/>
      </rPr>
      <t>, т.у.</t>
    </r>
  </si>
  <si>
    <t>0.4 кВ</t>
  </si>
  <si>
    <t>НДС не предусмотрен</t>
  </si>
  <si>
    <t>Акционерное общество "Россети Янтарь"</t>
  </si>
  <si>
    <t>АО "Россети Янтарь"</t>
  </si>
  <si>
    <t>Сметная стоимость проекта в ценах  2022 года с НДС, млн. руб.</t>
  </si>
  <si>
    <t>Строительство ТП 15/0,4 кВ, ЛЭП 15 кВ от ВЛ 15-141 (инв. № 5114675), организация системы учета электроэнергии в п. Кумачево, ул. Березовая Гурьевского района</t>
  </si>
  <si>
    <t>M_21-0733</t>
  </si>
  <si>
    <r>
      <t>Год раскрытия информации:</t>
    </r>
    <r>
      <rPr>
        <b/>
        <u/>
        <sz val="12"/>
        <rFont val="Times New Roman"/>
        <family val="1"/>
        <charset val="204"/>
      </rPr>
      <t xml:space="preserve"> 2023 </t>
    </r>
    <r>
      <rPr>
        <b/>
        <sz val="12"/>
        <rFont val="Times New Roman"/>
        <family val="1"/>
        <charset val="204"/>
      </rPr>
      <t>год</t>
    </r>
  </si>
  <si>
    <t>Гурьевский городской округ</t>
  </si>
  <si>
    <t>852/02/21 от 12.04.2021</t>
  </si>
  <si>
    <t>852/02/21 д/с №1 от 07.10.2021</t>
  </si>
  <si>
    <t>238300, Калининградская обл, Гурьевский городской округ, Кумачево п, Березовая ул</t>
  </si>
  <si>
    <t>Блокированные жилые дома</t>
  </si>
  <si>
    <t xml:space="preserve">Болтовые соединения на ТТ в РУ 0,4 кВ ТП новой (п.10.2) </t>
  </si>
  <si>
    <t>Выполнить реконструкцию ПС 110/15 кВ О-24 Гурьевск с заменой двух трансформаторов 2х25 МВА на 2х40 МВА (объем работ определить техзаданием)., В районе объекта, в доступном для эксплуатационно-технического обслуживания персоналом 
АО "Янтарьэнерго" "Западные электрические сети" месте, построить трансформаторную подстанцию с трансформатором 15/0,4 кВ потребной мощности (тип ТП и оборудования, мощность трансформатора определить на стадии проектирования). Работы выполнить в соответствии с разработанным проектом., Выполнить проектирование, монтаж ЛЭП 15 кВ (ориентировочно 0,1 км) от опоры (№ уточнить при проектировании) ВЛ 15 кВ № 15-141 до РУ 15 кВ ТП новой (п.10.1) с использованием провода СИП3 и (или) кабеля конструкцией 20 кВ с изоляцией из сшитого полиэтилена расчетного сечения. Работы выполнить в соответствии с разработанным проектом.
В РУ 0,4 кВ ТП новой (п. 10.2) смонтировать систему учета электроэнергии с трансформаторами тока (ТТ) на номинальный ток по расчету. Тип прибора учета определить техническим заданием.</t>
  </si>
  <si>
    <t>ТМГ 15/0,4 кВ 160 кВА</t>
  </si>
  <si>
    <t>Т-1</t>
  </si>
  <si>
    <t>ВЛ 15 кВ 15-141</t>
  </si>
  <si>
    <t>ж/б</t>
  </si>
  <si>
    <t>Строительство МТП (новой) 15/0,4 кВ с трансформатором 160 кВА, ВЛ 15 кВ от ВЛ 15-141 (инв. № 5114675) протяженностью 0,142 км, организация системы учета электроэнергии в п. Кумачево, ул. Березовая Гурьевского района</t>
  </si>
  <si>
    <t>ВЛ 15 кВ - 4,61 млн.руб./км;
ТП 15/0,4 кВ - 7,87 млн.руб./МВА</t>
  </si>
  <si>
    <t>Разработать рабочую документацию и выполнить строительно-монтажные работы с поставкой оборудования по объектам Приморского и Западного РЭС, согласно приложению Ключ 2.1н</t>
  </si>
  <si>
    <t>АО "Россети-Янтарь"</t>
  </si>
  <si>
    <t>Расчет предельной стоимости лота</t>
  </si>
  <si>
    <t>ОК ЕП</t>
  </si>
  <si>
    <t>ООО "ЭЛЕКТРОНАЛАДКА"</t>
  </si>
  <si>
    <t>2 793,21</t>
  </si>
  <si>
    <t>32110917040</t>
  </si>
  <si>
    <t>7.5.1 а (1)</t>
  </si>
  <si>
    <t>ЦКК</t>
  </si>
  <si>
    <t>03.02.2022</t>
  </si>
  <si>
    <t>22.02.2022</t>
  </si>
  <si>
    <t>23.05.2022</t>
  </si>
  <si>
    <t>ООО "ЭЛЕКТРОНАЛАДКА" договор под ключ № 211606 от 22.02.2022 в ценах 2022 года без НДС, млн. руб.</t>
  </si>
  <si>
    <t>ООО "ЭЛЕКТРОНАЛАДКА" договор под ключ № 211606 от 22.02.2022</t>
  </si>
  <si>
    <t>МТП 15/0,4 кВ 160 кВА</t>
  </si>
  <si>
    <t>МТП 15/0,4 кВ 141-29 новая</t>
  </si>
  <si>
    <t>оп.37 - МТП 141-29 новая</t>
  </si>
  <si>
    <t>З</t>
  </si>
  <si>
    <t xml:space="preserve">Принят к бухгалтерскому учету, оформлен акт приемки законченного строительством объекта </t>
  </si>
  <si>
    <t>ПСД, утв. приказом № 132 от 08.12.2022</t>
  </si>
  <si>
    <t>Закрыт договор</t>
  </si>
  <si>
    <t>1.2.1.</t>
  </si>
  <si>
    <t>3.7.</t>
  </si>
  <si>
    <t>4.1.</t>
  </si>
  <si>
    <t>Содержание дирекции заказчика-застройщика  в ценах 2022 года, млн рублей</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</si>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</sst>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53" fillId="0" borderId="48" xfId="2" applyFont="1" applyFill="1" applyBorder="1" applyAlignment="1">
      <alignment horizontal="center" vertical="center" wrapText="1"/>
    </xf>
    <xf numFmtId="0" fontId="58" fillId="0" borderId="49" xfId="2" applyFont="1" applyFill="1" applyBorder="1" applyAlignment="1">
      <alignment horizontal="center" vertical="center" textRotation="90"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173" fontId="29" fillId="0" borderId="49" xfId="0" applyNumberFormat="1" applyFont="1" applyFill="1" applyBorder="1" applyAlignment="1">
      <alignment horizontal="center" vertical="center"/>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5" xfId="62" applyFont="1" applyBorder="1" applyAlignment="1">
      <alignment horizontal="center" vertical="center" wrapText="1"/>
    </xf>
    <xf numFmtId="0" fontId="29" fillId="0" borderId="55"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6" xfId="67" applyFont="1" applyFill="1" applyBorder="1" applyAlignment="1">
      <alignment vertical="center" wrapText="1"/>
    </xf>
    <xf numFmtId="3" fontId="84" fillId="0" borderId="57" xfId="67" applyNumberFormat="1" applyFont="1" applyFill="1" applyBorder="1" applyAlignment="1">
      <alignment vertical="center"/>
    </xf>
    <xf numFmtId="3" fontId="85" fillId="0" borderId="57" xfId="67" applyNumberFormat="1" applyFont="1" applyFill="1" applyBorder="1" applyAlignment="1">
      <alignment vertical="center"/>
    </xf>
    <xf numFmtId="3" fontId="84" fillId="0" borderId="58" xfId="67" applyNumberFormat="1" applyFont="1" applyFill="1" applyBorder="1" applyAlignment="1">
      <alignment vertical="center"/>
    </xf>
    <xf numFmtId="0" fontId="65" fillId="0" borderId="56" xfId="62" applyFont="1" applyFill="1" applyBorder="1"/>
    <xf numFmtId="0" fontId="86" fillId="0" borderId="56"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9" xfId="62" applyFont="1" applyFill="1" applyBorder="1" applyAlignment="1">
      <alignment horizontal="center" vertical="center"/>
    </xf>
    <xf numFmtId="0" fontId="53" fillId="0" borderId="59"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0" fontId="3" fillId="0" borderId="59" xfId="62" applyFont="1" applyBorder="1" applyAlignment="1">
      <alignment horizontal="center" vertical="center" wrapText="1"/>
    </xf>
    <xf numFmtId="0" fontId="3" fillId="0" borderId="59" xfId="62" applyFont="1" applyBorder="1" applyAlignment="1">
      <alignment horizontal="center" vertical="center"/>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0" xfId="62" applyFont="1" applyBorder="1" applyAlignment="1">
      <alignment horizontal="center" vertical="center"/>
    </xf>
    <xf numFmtId="0" fontId="3" fillId="0" borderId="60" xfId="62" applyFont="1" applyBorder="1" applyAlignment="1">
      <alignment horizontal="center" vertical="center" wrapText="1"/>
    </xf>
    <xf numFmtId="0" fontId="36" fillId="0" borderId="0" xfId="1" applyFont="1" applyBorder="1" applyAlignment="1">
      <alignment wrapText="1"/>
    </xf>
    <xf numFmtId="49" fontId="3" fillId="26" borderId="60" xfId="0" applyNumberFormat="1" applyFont="1" applyFill="1" applyBorder="1" applyAlignment="1">
      <alignment horizontal="center" vertical="center"/>
    </xf>
    <xf numFmtId="49" fontId="31" fillId="26" borderId="60" xfId="0" applyNumberFormat="1" applyFont="1" applyFill="1" applyBorder="1" applyAlignment="1">
      <alignment horizontal="center" vertical="center"/>
    </xf>
    <xf numFmtId="14" fontId="89" fillId="0" borderId="60"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176" fontId="3" fillId="0" borderId="0" xfId="2" applyNumberFormat="1" applyFont="1"/>
    <xf numFmtId="3" fontId="59"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3" fillId="0" borderId="66" xfId="67" applyFont="1" applyFill="1" applyBorder="1" applyAlignment="1">
      <alignment vertical="center" wrapText="1"/>
    </xf>
    <xf numFmtId="9" fontId="59" fillId="0" borderId="67" xfId="67" applyNumberFormat="1" applyFont="1" applyFill="1" applyBorder="1" applyAlignment="1">
      <alignment vertical="center"/>
    </xf>
    <xf numFmtId="0" fontId="53" fillId="0" borderId="68" xfId="67" applyFont="1" applyFill="1" applyBorder="1" applyAlignment="1">
      <alignment vertical="center" wrapText="1"/>
    </xf>
    <xf numFmtId="175" fontId="59" fillId="0" borderId="66" xfId="67" applyNumberFormat="1" applyFont="1" applyFill="1" applyBorder="1" applyAlignment="1">
      <alignment vertical="center"/>
    </xf>
    <xf numFmtId="10" fontId="59"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4" fillId="0" borderId="61" xfId="67" applyNumberFormat="1" applyFont="1" applyFill="1" applyBorder="1" applyAlignment="1">
      <alignment vertical="center"/>
    </xf>
    <xf numFmtId="0" fontId="87" fillId="29" borderId="61" xfId="62" applyFont="1" applyFill="1" applyBorder="1" applyAlignment="1">
      <alignment horizontal="center" vertical="center" wrapText="1"/>
    </xf>
    <xf numFmtId="172" fontId="66" fillId="29" borderId="61" xfId="62" applyNumberFormat="1" applyFont="1" applyFill="1" applyBorder="1" applyAlignment="1">
      <alignment horizontal="center" vertical="center" wrapText="1"/>
    </xf>
    <xf numFmtId="9" fontId="66" fillId="29" borderId="61" xfId="62" applyNumberFormat="1" applyFont="1" applyFill="1" applyBorder="1" applyAlignment="1">
      <alignment horizontal="center" vertical="center" wrapText="1"/>
    </xf>
    <xf numFmtId="4" fontId="66" fillId="29"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30"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30"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30" borderId="61" xfId="68" applyFont="1" applyFill="1" applyBorder="1" applyAlignment="1">
      <alignment horizontal="center" vertical="center"/>
    </xf>
    <xf numFmtId="0" fontId="30" fillId="28"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6" fillId="0" borderId="61" xfId="62" applyFont="1" applyBorder="1" applyAlignment="1">
      <alignment wrapText="1"/>
    </xf>
    <xf numFmtId="4" fontId="66" fillId="28" borderId="61" xfId="62" applyNumberFormat="1" applyFont="1" applyFill="1" applyBorder="1" applyAlignment="1">
      <alignment horizontal="center"/>
    </xf>
    <xf numFmtId="3" fontId="66" fillId="28" borderId="61" xfId="62" applyNumberFormat="1" applyFont="1" applyFill="1" applyBorder="1" applyAlignment="1">
      <alignment horizontal="center"/>
    </xf>
    <xf numFmtId="0" fontId="66" fillId="0" borderId="64" xfId="62" applyFont="1" applyBorder="1" applyAlignment="1">
      <alignment wrapText="1"/>
    </xf>
    <xf numFmtId="3" fontId="66" fillId="0" borderId="64" xfId="62" applyNumberFormat="1" applyFont="1" applyFill="1" applyBorder="1"/>
    <xf numFmtId="4" fontId="66" fillId="0" borderId="61" xfId="62" applyNumberFormat="1" applyFont="1" applyFill="1" applyBorder="1" applyAlignment="1">
      <alignment horizontal="center"/>
    </xf>
    <xf numFmtId="4" fontId="66" fillId="30" borderId="61" xfId="62" applyNumberFormat="1" applyFont="1" applyFill="1" applyBorder="1" applyAlignment="1">
      <alignment horizontal="center"/>
    </xf>
    <xf numFmtId="10" fontId="66" fillId="30" borderId="61" xfId="62" applyNumberFormat="1" applyFont="1" applyFill="1" applyBorder="1" applyAlignment="1">
      <alignment horizontal="center"/>
    </xf>
    <xf numFmtId="0" fontId="53" fillId="0" borderId="64" xfId="67" applyFont="1" applyFill="1" applyBorder="1" applyAlignment="1">
      <alignment vertical="center" wrapText="1"/>
    </xf>
    <xf numFmtId="3" fontId="59" fillId="0" borderId="64" xfId="67" applyNumberFormat="1" applyFont="1" applyFill="1" applyBorder="1" applyAlignment="1">
      <alignment horizontal="center" vertical="center"/>
    </xf>
    <xf numFmtId="0" fontId="66" fillId="32" borderId="61" xfId="62" applyFont="1" applyFill="1" applyBorder="1" applyAlignment="1">
      <alignment horizontal="left" vertical="center" wrapText="1"/>
    </xf>
    <xf numFmtId="0" fontId="66" fillId="32" borderId="61" xfId="62" applyFont="1" applyFill="1" applyBorder="1" applyAlignment="1">
      <alignment horizontal="center" wrapText="1"/>
    </xf>
    <xf numFmtId="0" fontId="66" fillId="0" borderId="61" xfId="62" applyFont="1" applyBorder="1"/>
    <xf numFmtId="0" fontId="66" fillId="32" borderId="61" xfId="62" applyFont="1" applyFill="1" applyBorder="1"/>
    <xf numFmtId="10" fontId="66" fillId="32" borderId="61" xfId="62" applyNumberFormat="1" applyFont="1" applyFill="1" applyBorder="1"/>
    <xf numFmtId="0" fontId="66" fillId="32" borderId="64" xfId="62" applyFont="1" applyFill="1" applyBorder="1"/>
    <xf numFmtId="10" fontId="59" fillId="32" borderId="61" xfId="67" applyNumberFormat="1" applyFont="1" applyFill="1" applyBorder="1" applyAlignment="1">
      <alignment vertical="center"/>
    </xf>
    <xf numFmtId="0" fontId="66" fillId="0" borderId="64" xfId="62" applyFont="1" applyFill="1" applyBorder="1"/>
    <xf numFmtId="10" fontId="66" fillId="0" borderId="64" xfId="62" applyNumberFormat="1" applyFont="1" applyFill="1" applyBorder="1"/>
    <xf numFmtId="3" fontId="53" fillId="32" borderId="61" xfId="67" applyNumberFormat="1" applyFont="1" applyFill="1" applyBorder="1" applyAlignment="1">
      <alignment horizontal="right" vertical="center"/>
    </xf>
    <xf numFmtId="167" fontId="59" fillId="32" borderId="61" xfId="67" applyNumberFormat="1" applyFont="1" applyFill="1" applyBorder="1" applyAlignment="1">
      <alignment horizontal="right" vertical="center"/>
    </xf>
    <xf numFmtId="0" fontId="29" fillId="0" borderId="61" xfId="2" applyNumberFormat="1" applyFont="1" applyBorder="1" applyAlignment="1">
      <alignment horizontal="center" vertical="top" wrapText="1"/>
    </xf>
    <xf numFmtId="0" fontId="29" fillId="0" borderId="61" xfId="2" applyFont="1" applyBorder="1" applyAlignment="1">
      <alignment vertical="top" wrapText="1"/>
    </xf>
    <xf numFmtId="0" fontId="3" fillId="0" borderId="61" xfId="2" applyFont="1" applyBorder="1" applyAlignment="1">
      <alignment vertical="top" wrapText="1"/>
    </xf>
    <xf numFmtId="0" fontId="3" fillId="0" borderId="61" xfId="2" applyFont="1" applyBorder="1" applyAlignment="1">
      <alignment horizontal="justify" vertical="top" wrapText="1"/>
    </xf>
    <xf numFmtId="0" fontId="3" fillId="0" borderId="0" xfId="2" applyFont="1" applyFill="1" applyAlignment="1">
      <alignment vertical="top" wrapText="1"/>
    </xf>
    <xf numFmtId="0" fontId="3" fillId="25" borderId="0" xfId="2" applyFill="1"/>
    <xf numFmtId="0" fontId="3" fillId="0" borderId="0" xfId="2" applyFill="1"/>
    <xf numFmtId="2" fontId="27" fillId="27" borderId="30" xfId="2" applyNumberFormat="1" applyFont="1" applyFill="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5"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49"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Border="1" applyAlignment="1">
      <alignment horizontal="center" vertical="center"/>
    </xf>
    <xf numFmtId="0" fontId="58" fillId="0" borderId="48"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1" xfId="52" applyFont="1" applyFill="1" applyBorder="1" applyAlignment="1">
      <alignment horizontal="center" vertical="center"/>
    </xf>
    <xf numFmtId="0" fontId="58" fillId="0" borderId="52" xfId="52" applyFont="1" applyFill="1" applyBorder="1" applyAlignment="1">
      <alignment horizontal="center" vertical="center"/>
    </xf>
    <xf numFmtId="0" fontId="58" fillId="0" borderId="53" xfId="52" applyFont="1" applyFill="1" applyBorder="1" applyAlignment="1">
      <alignment horizontal="center" vertical="center" wrapText="1"/>
    </xf>
    <xf numFmtId="0" fontId="58" fillId="0" borderId="54"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4A9-4881-8400-1B1E5464848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4A9-4881-8400-1B1E5464848F}"/>
            </c:ext>
          </c:extLst>
        </c:ser>
        <c:dLbls>
          <c:showLegendKey val="0"/>
          <c:showVal val="0"/>
          <c:showCatName val="0"/>
          <c:showSerName val="0"/>
          <c:showPercent val="0"/>
          <c:showBubbleSize val="0"/>
        </c:dLbls>
        <c:smooth val="0"/>
        <c:axId val="749345944"/>
        <c:axId val="1488617632"/>
      </c:lineChart>
      <c:catAx>
        <c:axId val="749345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8617632"/>
        <c:crosses val="autoZero"/>
        <c:auto val="1"/>
        <c:lblAlgn val="ctr"/>
        <c:lblOffset val="100"/>
        <c:noMultiLvlLbl val="0"/>
      </c:catAx>
      <c:valAx>
        <c:axId val="1488617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345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B0EF-4CAE-9AA3-1AF908C095E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B0EF-4CAE-9AA3-1AF908C095E1}"/>
            </c:ext>
          </c:extLst>
        </c:ser>
        <c:dLbls>
          <c:showLegendKey val="0"/>
          <c:showVal val="0"/>
          <c:showCatName val="0"/>
          <c:showSerName val="0"/>
          <c:showPercent val="0"/>
          <c:showBubbleSize val="0"/>
        </c:dLbls>
        <c:smooth val="0"/>
        <c:axId val="1488611360"/>
        <c:axId val="1488618024"/>
      </c:lineChart>
      <c:catAx>
        <c:axId val="1488611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8618024"/>
        <c:crosses val="autoZero"/>
        <c:auto val="1"/>
        <c:lblAlgn val="ctr"/>
        <c:lblOffset val="100"/>
        <c:noMultiLvlLbl val="0"/>
      </c:catAx>
      <c:valAx>
        <c:axId val="1488618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86113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672-44EC-B9D0-EFD999265C52}"/>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672-44EC-B9D0-EFD999265C52}"/>
            </c:ext>
          </c:extLst>
        </c:ser>
        <c:dLbls>
          <c:showLegendKey val="0"/>
          <c:showVal val="0"/>
          <c:showCatName val="0"/>
          <c:showSerName val="0"/>
          <c:showPercent val="0"/>
          <c:showBubbleSize val="0"/>
        </c:dLbls>
        <c:smooth val="0"/>
        <c:axId val="1488615280"/>
        <c:axId val="1488612144"/>
      </c:lineChart>
      <c:catAx>
        <c:axId val="1488615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8612144"/>
        <c:crosses val="autoZero"/>
        <c:auto val="1"/>
        <c:lblAlgn val="ctr"/>
        <c:lblOffset val="100"/>
        <c:noMultiLvlLbl val="0"/>
      </c:catAx>
      <c:valAx>
        <c:axId val="1488612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8615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4"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67"/>
      <c r="F4" s="72"/>
      <c r="G4" s="72"/>
      <c r="H4" s="1"/>
    </row>
    <row r="5" spans="1:22" s="2" customFormat="1" ht="15.75" x14ac:dyDescent="0.25">
      <c r="A5" s="404" t="s">
        <v>603</v>
      </c>
      <c r="B5" s="404"/>
      <c r="C5" s="404"/>
      <c r="D5" s="48"/>
      <c r="E5" s="48"/>
      <c r="F5" s="48"/>
      <c r="G5" s="48"/>
      <c r="H5" s="48"/>
      <c r="I5" s="48"/>
      <c r="J5" s="48"/>
    </row>
    <row r="6" spans="1:22" s="2" customFormat="1" ht="18.75" x14ac:dyDescent="0.3">
      <c r="A6" s="73"/>
      <c r="C6" s="167"/>
      <c r="F6" s="72"/>
      <c r="G6" s="72"/>
      <c r="H6" s="1"/>
    </row>
    <row r="7" spans="1:22" s="2" customFormat="1" ht="18.75" x14ac:dyDescent="0.2">
      <c r="A7" s="411" t="s">
        <v>7</v>
      </c>
      <c r="B7" s="411"/>
      <c r="C7" s="411"/>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68"/>
      <c r="D8" s="75"/>
      <c r="E8" s="75"/>
      <c r="F8" s="75"/>
      <c r="G8" s="75"/>
      <c r="H8" s="75"/>
      <c r="I8" s="74"/>
      <c r="J8" s="74"/>
      <c r="K8" s="74"/>
      <c r="L8" s="74"/>
      <c r="M8" s="74"/>
      <c r="N8" s="74"/>
      <c r="O8" s="74"/>
      <c r="P8" s="74"/>
      <c r="Q8" s="74"/>
      <c r="R8" s="74"/>
      <c r="S8" s="74"/>
      <c r="T8" s="74"/>
      <c r="U8" s="74"/>
      <c r="V8" s="74"/>
    </row>
    <row r="9" spans="1:22" s="2" customFormat="1" ht="18.75" x14ac:dyDescent="0.2">
      <c r="A9" s="412" t="s">
        <v>598</v>
      </c>
      <c r="B9" s="412"/>
      <c r="C9" s="412"/>
      <c r="D9" s="76"/>
      <c r="E9" s="76"/>
      <c r="F9" s="76"/>
      <c r="G9" s="76"/>
      <c r="H9" s="76"/>
      <c r="I9" s="74"/>
      <c r="J9" s="74"/>
      <c r="K9" s="74"/>
      <c r="L9" s="74"/>
      <c r="M9" s="74"/>
      <c r="N9" s="74"/>
      <c r="O9" s="74"/>
      <c r="P9" s="74"/>
      <c r="Q9" s="74"/>
      <c r="R9" s="74"/>
      <c r="S9" s="74"/>
      <c r="T9" s="74"/>
      <c r="U9" s="74"/>
      <c r="V9" s="74"/>
    </row>
    <row r="10" spans="1:22" s="2" customFormat="1" ht="18.75" x14ac:dyDescent="0.2">
      <c r="A10" s="408" t="s">
        <v>6</v>
      </c>
      <c r="B10" s="408"/>
      <c r="C10" s="408"/>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68"/>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0" t="s">
        <v>602</v>
      </c>
      <c r="B12" s="410"/>
      <c r="C12" s="410"/>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08" t="s">
        <v>5</v>
      </c>
      <c r="B13" s="408"/>
      <c r="C13" s="408"/>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69"/>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09" t="s">
        <v>601</v>
      </c>
      <c r="B15" s="409"/>
      <c r="C15" s="409"/>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08" t="s">
        <v>4</v>
      </c>
      <c r="B16" s="408"/>
      <c r="C16" s="408"/>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0"/>
      <c r="D17" s="81"/>
      <c r="E17" s="81"/>
      <c r="F17" s="81"/>
      <c r="G17" s="81"/>
      <c r="H17" s="81"/>
      <c r="I17" s="81"/>
      <c r="J17" s="81"/>
      <c r="K17" s="81"/>
      <c r="L17" s="81"/>
      <c r="M17" s="81"/>
      <c r="N17" s="81"/>
      <c r="O17" s="81"/>
      <c r="P17" s="81"/>
      <c r="Q17" s="81"/>
      <c r="R17" s="81"/>
      <c r="S17" s="81"/>
    </row>
    <row r="18" spans="1:22" s="80" customFormat="1" ht="15" customHeight="1" x14ac:dyDescent="0.2">
      <c r="A18" s="409" t="s">
        <v>374</v>
      </c>
      <c r="B18" s="410"/>
      <c r="C18" s="410"/>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1"/>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75" t="s">
        <v>469</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467</v>
      </c>
      <c r="C23" s="175" t="s">
        <v>470</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5"/>
      <c r="B24" s="406"/>
      <c r="C24" s="407"/>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471</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2" t="s">
        <v>604</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535</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536</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535</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5"/>
      <c r="B39" s="406"/>
      <c r="C39" s="407"/>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76" t="str">
        <f>CONCATENATE("∆P15тп_тр=",'3.1. паспорт Техсостояние ПС'!P25," МВА; ∆L15тп_лэп=",(SUM('3.2 паспорт Техсостояние ЛЭП'!R25:R25))," км; 
SТПпотр=",'2. паспорт  ТП'!H23," МВт; Nсд_тпр=",'2. паспорт  ТП'!A22," договор; Фтз=",ROUND('5. анализ эконом эфф'!B122,2)," млн.руб.")</f>
        <v>∆P15тп_тр=0,16 МВА; ∆L15тп_лэп=0,142 км; 
SТПпотр=0,16 МВт; Nсд_тпр=1 договор; Фтз=2,18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76" t="s">
        <v>537</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76" t="s">
        <v>537</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471</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471</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534</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5"/>
      <c r="B47" s="406"/>
      <c r="C47" s="407"/>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2,18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2,16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3"/>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3"/>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3"/>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3"/>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3"/>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3"/>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3"/>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3"/>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3"/>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3"/>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3"/>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3"/>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3"/>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3"/>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3"/>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3"/>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3"/>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3"/>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3"/>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3"/>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3"/>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3"/>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3"/>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3"/>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3"/>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3"/>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3"/>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3"/>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3"/>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3"/>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3"/>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3"/>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3"/>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3"/>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3"/>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3"/>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3"/>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3"/>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3"/>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3"/>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3"/>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3"/>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3"/>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3"/>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3"/>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3"/>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3"/>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3"/>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3"/>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3"/>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3"/>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3"/>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3"/>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3"/>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3"/>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3"/>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3"/>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3"/>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3"/>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3"/>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3"/>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3"/>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3"/>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3"/>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3"/>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3"/>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3"/>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3"/>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3"/>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3"/>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3"/>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3"/>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3"/>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3"/>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3"/>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3"/>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3"/>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3"/>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3"/>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3"/>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3"/>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3"/>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3"/>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3"/>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3"/>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3"/>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3"/>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3"/>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3"/>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3"/>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3"/>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3"/>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3"/>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3"/>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3"/>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3"/>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3"/>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3"/>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3"/>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3"/>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3"/>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3"/>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3"/>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3"/>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3"/>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3"/>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3"/>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3"/>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3"/>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3"/>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3"/>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3"/>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3"/>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3"/>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3"/>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3"/>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3"/>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3"/>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3"/>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3"/>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3"/>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3"/>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3"/>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3"/>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3"/>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3"/>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3"/>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3"/>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3"/>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3"/>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3"/>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3"/>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3"/>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3"/>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3"/>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3"/>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3"/>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3"/>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3"/>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3"/>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3"/>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3"/>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3"/>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3"/>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3"/>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3"/>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3"/>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3"/>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3"/>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3"/>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3"/>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3"/>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3"/>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3"/>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3"/>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3"/>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3"/>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3"/>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3"/>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3"/>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3"/>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3"/>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3"/>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3"/>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3"/>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3"/>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3"/>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3"/>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3"/>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3"/>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3"/>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3"/>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3"/>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3"/>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3"/>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3"/>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3"/>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3"/>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3"/>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3"/>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3"/>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3"/>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3"/>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3"/>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3"/>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3"/>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3"/>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3"/>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3"/>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3"/>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3"/>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3"/>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3"/>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3"/>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3"/>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3"/>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3"/>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3"/>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3"/>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3"/>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3"/>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3"/>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3"/>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3"/>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3"/>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3"/>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3"/>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3"/>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3"/>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3"/>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3"/>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3"/>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3"/>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3"/>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3"/>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3"/>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3"/>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3"/>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3"/>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3"/>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3"/>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3"/>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3"/>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3"/>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3"/>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3"/>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3"/>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3"/>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3"/>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3"/>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3"/>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3"/>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3"/>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3"/>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3"/>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3"/>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3"/>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3"/>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3"/>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3"/>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3"/>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3"/>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3"/>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3"/>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3"/>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3"/>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3"/>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3"/>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3"/>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3"/>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3"/>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3"/>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3"/>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3"/>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3"/>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3"/>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3"/>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3"/>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3"/>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3"/>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3"/>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3"/>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3"/>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3"/>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3"/>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3"/>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3"/>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3"/>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3"/>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3"/>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3"/>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3"/>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3"/>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3"/>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3"/>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3"/>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3"/>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3"/>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3"/>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3"/>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3"/>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3"/>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3"/>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3"/>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3"/>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3"/>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3"/>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3"/>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3"/>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R28" sqref="R28:S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row>
    <row r="5" spans="1:21" ht="18.75" x14ac:dyDescent="0.3">
      <c r="A5" s="16"/>
      <c r="B5" s="16"/>
      <c r="C5" s="16"/>
      <c r="D5" s="16"/>
      <c r="E5" s="16"/>
      <c r="F5" s="16"/>
      <c r="U5" s="1"/>
    </row>
    <row r="6" spans="1:21" ht="18.75" x14ac:dyDescent="0.25">
      <c r="A6" s="411" t="s">
        <v>7</v>
      </c>
      <c r="B6" s="411"/>
      <c r="C6" s="411"/>
      <c r="D6" s="411"/>
      <c r="E6" s="411"/>
      <c r="F6" s="411"/>
      <c r="G6" s="411"/>
      <c r="H6" s="411"/>
      <c r="I6" s="411"/>
      <c r="J6" s="411"/>
      <c r="K6" s="411"/>
      <c r="L6" s="411"/>
      <c r="M6" s="411"/>
      <c r="N6" s="411"/>
      <c r="O6" s="411"/>
      <c r="P6" s="411"/>
      <c r="Q6" s="411"/>
      <c r="R6" s="411"/>
      <c r="S6" s="411"/>
      <c r="T6" s="411"/>
      <c r="U6" s="411"/>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08" t="s">
        <v>6</v>
      </c>
      <c r="B9" s="408"/>
      <c r="C9" s="408"/>
      <c r="D9" s="408"/>
      <c r="E9" s="408"/>
      <c r="F9" s="408"/>
      <c r="G9" s="408"/>
      <c r="H9" s="408"/>
      <c r="I9" s="408"/>
      <c r="J9" s="408"/>
      <c r="K9" s="408"/>
      <c r="L9" s="408"/>
      <c r="M9" s="408"/>
      <c r="N9" s="408"/>
      <c r="O9" s="408"/>
      <c r="P9" s="408"/>
      <c r="Q9" s="408"/>
      <c r="R9" s="408"/>
      <c r="S9" s="408"/>
      <c r="T9" s="408"/>
      <c r="U9" s="408"/>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6" t="str">
        <f>'1. паспорт местоположение'!A12:C12</f>
        <v>M_21-0733</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13" t="str">
        <f>'1. паспорт местоположение'!A15:C15</f>
        <v>Строительство ТП 15/0,4 кВ, ЛЭП 15 кВ от ВЛ 15-141 (инв. № 5114675), организация системы учета электроэнергии в п. Кумачево, ул. Березовая Гурьевского района</v>
      </c>
      <c r="B14" s="413"/>
      <c r="C14" s="413"/>
      <c r="D14" s="413"/>
      <c r="E14" s="413"/>
      <c r="F14" s="413"/>
      <c r="G14" s="413"/>
      <c r="H14" s="413"/>
      <c r="I14" s="413"/>
      <c r="J14" s="413"/>
      <c r="K14" s="413"/>
      <c r="L14" s="413"/>
      <c r="M14" s="413"/>
      <c r="N14" s="413"/>
      <c r="O14" s="413"/>
      <c r="P14" s="413"/>
      <c r="Q14" s="413"/>
      <c r="R14" s="413"/>
      <c r="S14" s="413"/>
      <c r="T14" s="413"/>
      <c r="U14" s="413"/>
    </row>
    <row r="15" spans="1:21" ht="15.75" customHeight="1"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16"/>
      <c r="T17" s="16"/>
    </row>
    <row r="18" spans="1:24" x14ac:dyDescent="0.25">
      <c r="A18" s="493" t="s">
        <v>359</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16"/>
      <c r="B19" s="16"/>
      <c r="C19" s="16"/>
      <c r="D19" s="16"/>
      <c r="E19" s="16"/>
      <c r="F19" s="16"/>
      <c r="T19" s="16"/>
    </row>
    <row r="20" spans="1:24" ht="33" customHeight="1" x14ac:dyDescent="0.25">
      <c r="A20" s="494" t="s">
        <v>181</v>
      </c>
      <c r="B20" s="494" t="s">
        <v>180</v>
      </c>
      <c r="C20" s="491" t="s">
        <v>179</v>
      </c>
      <c r="D20" s="491"/>
      <c r="E20" s="497" t="s">
        <v>178</v>
      </c>
      <c r="F20" s="497"/>
      <c r="G20" s="498" t="s">
        <v>528</v>
      </c>
      <c r="H20" s="501" t="s">
        <v>468</v>
      </c>
      <c r="I20" s="502"/>
      <c r="J20" s="502"/>
      <c r="K20" s="502"/>
      <c r="L20" s="501" t="s">
        <v>529</v>
      </c>
      <c r="M20" s="502"/>
      <c r="N20" s="502"/>
      <c r="O20" s="502"/>
      <c r="P20" s="501" t="s">
        <v>530</v>
      </c>
      <c r="Q20" s="502"/>
      <c r="R20" s="502"/>
      <c r="S20" s="502"/>
      <c r="T20" s="503" t="s">
        <v>177</v>
      </c>
      <c r="U20" s="504"/>
      <c r="V20" s="23"/>
      <c r="W20" s="23"/>
      <c r="X20" s="23"/>
    </row>
    <row r="21" spans="1:24" ht="99.75" customHeight="1" x14ac:dyDescent="0.25">
      <c r="A21" s="495"/>
      <c r="B21" s="495"/>
      <c r="C21" s="491"/>
      <c r="D21" s="491"/>
      <c r="E21" s="497"/>
      <c r="F21" s="497"/>
      <c r="G21" s="499"/>
      <c r="H21" s="491" t="s">
        <v>2</v>
      </c>
      <c r="I21" s="491"/>
      <c r="J21" s="491" t="s">
        <v>531</v>
      </c>
      <c r="K21" s="491"/>
      <c r="L21" s="491" t="s">
        <v>2</v>
      </c>
      <c r="M21" s="491"/>
      <c r="N21" s="491" t="s">
        <v>531</v>
      </c>
      <c r="O21" s="491"/>
      <c r="P21" s="491" t="s">
        <v>2</v>
      </c>
      <c r="Q21" s="491"/>
      <c r="R21" s="491" t="s">
        <v>531</v>
      </c>
      <c r="S21" s="491"/>
      <c r="T21" s="505"/>
      <c r="U21" s="506"/>
    </row>
    <row r="22" spans="1:24" ht="89.25" customHeight="1" x14ac:dyDescent="0.25">
      <c r="A22" s="496"/>
      <c r="B22" s="496"/>
      <c r="C22" s="185" t="s">
        <v>2</v>
      </c>
      <c r="D22" s="185" t="s">
        <v>176</v>
      </c>
      <c r="E22" s="186" t="s">
        <v>532</v>
      </c>
      <c r="F22" s="186" t="s">
        <v>642</v>
      </c>
      <c r="G22" s="500"/>
      <c r="H22" s="187" t="s">
        <v>340</v>
      </c>
      <c r="I22" s="187" t="s">
        <v>341</v>
      </c>
      <c r="J22" s="187" t="s">
        <v>340</v>
      </c>
      <c r="K22" s="187" t="s">
        <v>341</v>
      </c>
      <c r="L22" s="187" t="s">
        <v>340</v>
      </c>
      <c r="M22" s="187" t="s">
        <v>341</v>
      </c>
      <c r="N22" s="187" t="s">
        <v>340</v>
      </c>
      <c r="O22" s="187" t="s">
        <v>341</v>
      </c>
      <c r="P22" s="187" t="s">
        <v>340</v>
      </c>
      <c r="Q22" s="187" t="s">
        <v>341</v>
      </c>
      <c r="R22" s="187" t="s">
        <v>340</v>
      </c>
      <c r="S22" s="187" t="s">
        <v>341</v>
      </c>
      <c r="T22" s="185" t="s">
        <v>2</v>
      </c>
      <c r="U22" s="185" t="s">
        <v>9</v>
      </c>
    </row>
    <row r="23" spans="1:24" ht="19.5" customHeight="1" x14ac:dyDescent="0.25">
      <c r="A23" s="188">
        <v>1</v>
      </c>
      <c r="B23" s="188">
        <v>2</v>
      </c>
      <c r="C23" s="189">
        <f t="shared" ref="C23:U23" si="0">B23+1</f>
        <v>3</v>
      </c>
      <c r="D23" s="189">
        <f t="shared" si="0"/>
        <v>4</v>
      </c>
      <c r="E23" s="189">
        <f t="shared" si="0"/>
        <v>5</v>
      </c>
      <c r="F23" s="189">
        <f t="shared" si="0"/>
        <v>6</v>
      </c>
      <c r="G23" s="189">
        <f t="shared" si="0"/>
        <v>7</v>
      </c>
      <c r="H23" s="189">
        <f t="shared" si="0"/>
        <v>8</v>
      </c>
      <c r="I23" s="189">
        <f t="shared" si="0"/>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row>
    <row r="24" spans="1:24" ht="47.25" customHeight="1" x14ac:dyDescent="0.25">
      <c r="A24" s="190">
        <v>1</v>
      </c>
      <c r="B24" s="191" t="s">
        <v>175</v>
      </c>
      <c r="C24" s="192">
        <f t="shared" ref="C24:I24" si="1">SUM(C25:C29)</f>
        <v>0</v>
      </c>
      <c r="D24" s="192">
        <f t="shared" si="1"/>
        <v>0</v>
      </c>
      <c r="E24" s="192">
        <f t="shared" si="1"/>
        <v>0</v>
      </c>
      <c r="F24" s="192">
        <f t="shared" si="1"/>
        <v>0</v>
      </c>
      <c r="G24" s="192">
        <f t="shared" si="1"/>
        <v>0</v>
      </c>
      <c r="H24" s="192">
        <f t="shared" si="1"/>
        <v>0</v>
      </c>
      <c r="I24" s="192">
        <f t="shared" si="1"/>
        <v>0</v>
      </c>
      <c r="J24" s="192">
        <f t="shared" ref="J24:S24" si="2">SUM(J25:J29)</f>
        <v>0</v>
      </c>
      <c r="K24" s="192">
        <f t="shared" si="2"/>
        <v>0</v>
      </c>
      <c r="L24" s="192">
        <f t="shared" si="2"/>
        <v>0</v>
      </c>
      <c r="M24" s="192">
        <f t="shared" si="2"/>
        <v>0</v>
      </c>
      <c r="N24" s="192">
        <f t="shared" si="2"/>
        <v>0.2560846</v>
      </c>
      <c r="O24" s="192">
        <f>SUM(O25:O29)</f>
        <v>0</v>
      </c>
      <c r="P24" s="192">
        <f>SUM(P25:P29)</f>
        <v>0</v>
      </c>
      <c r="Q24" s="192">
        <f t="shared" si="2"/>
        <v>0</v>
      </c>
      <c r="R24" s="192">
        <f t="shared" si="2"/>
        <v>1.9262741499999998</v>
      </c>
      <c r="S24" s="192">
        <f t="shared" si="2"/>
        <v>1.9262741499999998</v>
      </c>
      <c r="T24" s="193">
        <f>H24+L24+P24</f>
        <v>0</v>
      </c>
      <c r="U24" s="192">
        <f>J24+N24+R24</f>
        <v>2.1823587499999997</v>
      </c>
    </row>
    <row r="25" spans="1:24" ht="24" customHeight="1" x14ac:dyDescent="0.25">
      <c r="A25" s="194" t="s">
        <v>174</v>
      </c>
      <c r="B25" s="195" t="s">
        <v>173</v>
      </c>
      <c r="C25" s="196">
        <v>0</v>
      </c>
      <c r="D25" s="196">
        <v>0</v>
      </c>
      <c r="E25" s="196">
        <v>0</v>
      </c>
      <c r="F25" s="196">
        <v>0</v>
      </c>
      <c r="G25" s="196">
        <v>0</v>
      </c>
      <c r="H25" s="196">
        <v>0</v>
      </c>
      <c r="I25" s="196">
        <v>0</v>
      </c>
      <c r="J25" s="196">
        <v>0</v>
      </c>
      <c r="K25" s="196">
        <v>0</v>
      </c>
      <c r="L25" s="196">
        <v>0</v>
      </c>
      <c r="M25" s="196">
        <v>0</v>
      </c>
      <c r="N25" s="196">
        <v>0</v>
      </c>
      <c r="O25" s="196">
        <v>0</v>
      </c>
      <c r="P25" s="196">
        <v>0</v>
      </c>
      <c r="Q25" s="196">
        <v>0</v>
      </c>
      <c r="R25" s="196">
        <v>0</v>
      </c>
      <c r="S25" s="196">
        <v>0</v>
      </c>
      <c r="T25" s="193">
        <f t="shared" ref="T25:T64" si="3">H25+L25+P25</f>
        <v>0</v>
      </c>
      <c r="U25" s="192">
        <f t="shared" ref="U25:U64" si="4">J25+N25+R25</f>
        <v>0</v>
      </c>
    </row>
    <row r="26" spans="1:24" x14ac:dyDescent="0.25">
      <c r="A26" s="194" t="s">
        <v>172</v>
      </c>
      <c r="B26" s="195" t="s">
        <v>171</v>
      </c>
      <c r="C26" s="196">
        <v>0</v>
      </c>
      <c r="D26" s="196">
        <v>0</v>
      </c>
      <c r="E26" s="196">
        <v>0</v>
      </c>
      <c r="F26" s="196">
        <v>0</v>
      </c>
      <c r="G26" s="196">
        <v>0</v>
      </c>
      <c r="H26" s="196">
        <v>0</v>
      </c>
      <c r="I26" s="196">
        <v>0</v>
      </c>
      <c r="J26" s="196">
        <v>0</v>
      </c>
      <c r="K26" s="196">
        <v>0</v>
      </c>
      <c r="L26" s="196">
        <v>0</v>
      </c>
      <c r="M26" s="196">
        <v>0</v>
      </c>
      <c r="N26" s="196">
        <v>0</v>
      </c>
      <c r="O26" s="196">
        <v>0</v>
      </c>
      <c r="P26" s="196">
        <v>0</v>
      </c>
      <c r="Q26" s="196">
        <v>0</v>
      </c>
      <c r="R26" s="196">
        <v>0</v>
      </c>
      <c r="S26" s="196">
        <v>0</v>
      </c>
      <c r="T26" s="193">
        <f t="shared" si="3"/>
        <v>0</v>
      </c>
      <c r="U26" s="192">
        <f t="shared" si="4"/>
        <v>0</v>
      </c>
    </row>
    <row r="27" spans="1:24" ht="31.5" x14ac:dyDescent="0.25">
      <c r="A27" s="194" t="s">
        <v>170</v>
      </c>
      <c r="B27" s="195" t="s">
        <v>321</v>
      </c>
      <c r="C27" s="196">
        <v>0</v>
      </c>
      <c r="D27" s="196">
        <v>0</v>
      </c>
      <c r="E27" s="196">
        <v>0</v>
      </c>
      <c r="F27" s="196">
        <v>0</v>
      </c>
      <c r="G27" s="196">
        <v>0</v>
      </c>
      <c r="H27" s="196">
        <v>0</v>
      </c>
      <c r="I27" s="196">
        <v>0</v>
      </c>
      <c r="J27" s="196">
        <v>0</v>
      </c>
      <c r="K27" s="196">
        <v>0</v>
      </c>
      <c r="L27" s="196">
        <v>0</v>
      </c>
      <c r="M27" s="196">
        <v>0</v>
      </c>
      <c r="N27" s="196">
        <v>0</v>
      </c>
      <c r="O27" s="196">
        <v>0</v>
      </c>
      <c r="P27" s="196">
        <v>0</v>
      </c>
      <c r="Q27" s="196">
        <v>0</v>
      </c>
      <c r="R27" s="196">
        <v>0</v>
      </c>
      <c r="S27" s="196">
        <v>0</v>
      </c>
      <c r="T27" s="193">
        <f t="shared" si="3"/>
        <v>0</v>
      </c>
      <c r="U27" s="192">
        <f t="shared" si="4"/>
        <v>0</v>
      </c>
    </row>
    <row r="28" spans="1:24" x14ac:dyDescent="0.25">
      <c r="A28" s="194" t="s">
        <v>169</v>
      </c>
      <c r="B28" s="195" t="s">
        <v>399</v>
      </c>
      <c r="C28" s="196">
        <v>0</v>
      </c>
      <c r="D28" s="196">
        <v>0</v>
      </c>
      <c r="E28" s="196">
        <v>0</v>
      </c>
      <c r="F28" s="196">
        <v>0</v>
      </c>
      <c r="G28" s="196">
        <v>0</v>
      </c>
      <c r="H28" s="196">
        <v>0</v>
      </c>
      <c r="I28" s="196">
        <v>0</v>
      </c>
      <c r="J28" s="196">
        <v>0</v>
      </c>
      <c r="K28" s="196">
        <v>0</v>
      </c>
      <c r="L28" s="196">
        <v>0</v>
      </c>
      <c r="M28" s="196">
        <v>0</v>
      </c>
      <c r="N28" s="196">
        <v>0.2560846</v>
      </c>
      <c r="O28" s="196">
        <v>0</v>
      </c>
      <c r="P28" s="196">
        <v>0</v>
      </c>
      <c r="Q28" s="196">
        <v>0</v>
      </c>
      <c r="R28" s="196">
        <v>1.9262741499999998</v>
      </c>
      <c r="S28" s="196">
        <v>1.9262741499999998</v>
      </c>
      <c r="T28" s="193">
        <f t="shared" si="3"/>
        <v>0</v>
      </c>
      <c r="U28" s="192">
        <f t="shared" si="4"/>
        <v>2.1823587499999997</v>
      </c>
    </row>
    <row r="29" spans="1:24" x14ac:dyDescent="0.25">
      <c r="A29" s="194" t="s">
        <v>168</v>
      </c>
      <c r="B29" s="22" t="s">
        <v>167</v>
      </c>
      <c r="C29" s="196">
        <v>0</v>
      </c>
      <c r="D29" s="196">
        <v>0</v>
      </c>
      <c r="E29" s="196">
        <v>0</v>
      </c>
      <c r="F29" s="196">
        <v>0</v>
      </c>
      <c r="G29" s="196">
        <v>0</v>
      </c>
      <c r="H29" s="196">
        <v>0</v>
      </c>
      <c r="I29" s="196">
        <v>0</v>
      </c>
      <c r="J29" s="196">
        <v>0</v>
      </c>
      <c r="K29" s="196">
        <v>0</v>
      </c>
      <c r="L29" s="196">
        <v>0</v>
      </c>
      <c r="M29" s="196">
        <v>0</v>
      </c>
      <c r="N29" s="196">
        <v>0</v>
      </c>
      <c r="O29" s="196">
        <v>0</v>
      </c>
      <c r="P29" s="196">
        <v>0</v>
      </c>
      <c r="Q29" s="196">
        <v>0</v>
      </c>
      <c r="R29" s="196">
        <v>0</v>
      </c>
      <c r="S29" s="196">
        <v>0</v>
      </c>
      <c r="T29" s="193">
        <f t="shared" si="3"/>
        <v>0</v>
      </c>
      <c r="U29" s="192">
        <f t="shared" si="4"/>
        <v>0</v>
      </c>
    </row>
    <row r="30" spans="1:24" s="53" customFormat="1" ht="47.25" x14ac:dyDescent="0.25">
      <c r="A30" s="190" t="s">
        <v>61</v>
      </c>
      <c r="B30" s="191" t="s">
        <v>166</v>
      </c>
      <c r="C30" s="193">
        <f t="shared" ref="C30:I30" si="5">SUM(C31:C34)</f>
        <v>0</v>
      </c>
      <c r="D30" s="193">
        <f t="shared" si="5"/>
        <v>0</v>
      </c>
      <c r="E30" s="193">
        <f t="shared" si="5"/>
        <v>0</v>
      </c>
      <c r="F30" s="193">
        <f t="shared" si="5"/>
        <v>0</v>
      </c>
      <c r="G30" s="193">
        <f t="shared" si="5"/>
        <v>0</v>
      </c>
      <c r="H30" s="193">
        <f t="shared" si="5"/>
        <v>0</v>
      </c>
      <c r="I30" s="193">
        <f t="shared" si="5"/>
        <v>0</v>
      </c>
      <c r="J30" s="193">
        <f t="shared" ref="J30:S30" si="6">SUM(J31:J34)</f>
        <v>0</v>
      </c>
      <c r="K30" s="193">
        <f t="shared" si="6"/>
        <v>0</v>
      </c>
      <c r="L30" s="193">
        <f t="shared" si="6"/>
        <v>0</v>
      </c>
      <c r="M30" s="193">
        <f t="shared" si="6"/>
        <v>0</v>
      </c>
      <c r="N30" s="193">
        <f t="shared" si="6"/>
        <v>2.1593787999999998</v>
      </c>
      <c r="O30" s="193">
        <f t="shared" ref="O30" si="7">SUM(O31:O34)</f>
        <v>0</v>
      </c>
      <c r="P30" s="193">
        <f t="shared" si="6"/>
        <v>0</v>
      </c>
      <c r="Q30" s="193">
        <f t="shared" si="6"/>
        <v>0</v>
      </c>
      <c r="R30" s="193">
        <f t="shared" si="6"/>
        <v>0</v>
      </c>
      <c r="S30" s="193">
        <f t="shared" si="6"/>
        <v>0</v>
      </c>
      <c r="T30" s="193">
        <f t="shared" si="3"/>
        <v>0</v>
      </c>
      <c r="U30" s="192">
        <f t="shared" si="4"/>
        <v>2.1593787999999998</v>
      </c>
    </row>
    <row r="31" spans="1:24" x14ac:dyDescent="0.25">
      <c r="A31" s="190" t="s">
        <v>165</v>
      </c>
      <c r="B31" s="195" t="s">
        <v>164</v>
      </c>
      <c r="C31" s="196">
        <v>0</v>
      </c>
      <c r="D31" s="196">
        <v>0</v>
      </c>
      <c r="E31" s="196">
        <v>0</v>
      </c>
      <c r="F31" s="196">
        <v>0</v>
      </c>
      <c r="G31" s="196">
        <v>0</v>
      </c>
      <c r="H31" s="196">
        <v>0</v>
      </c>
      <c r="I31" s="196">
        <v>0</v>
      </c>
      <c r="J31" s="196">
        <v>0</v>
      </c>
      <c r="K31" s="196">
        <v>0</v>
      </c>
      <c r="L31" s="196">
        <v>0</v>
      </c>
      <c r="M31" s="196">
        <v>0</v>
      </c>
      <c r="N31" s="196">
        <v>0.11820491</v>
      </c>
      <c r="O31" s="196">
        <v>0</v>
      </c>
      <c r="P31" s="196">
        <v>0</v>
      </c>
      <c r="Q31" s="196">
        <v>0</v>
      </c>
      <c r="R31" s="196">
        <v>0</v>
      </c>
      <c r="S31" s="196">
        <v>0</v>
      </c>
      <c r="T31" s="193">
        <f t="shared" si="3"/>
        <v>0</v>
      </c>
      <c r="U31" s="192">
        <f t="shared" si="4"/>
        <v>0.11820491</v>
      </c>
    </row>
    <row r="32" spans="1:24" ht="31.5" x14ac:dyDescent="0.25">
      <c r="A32" s="190" t="s">
        <v>163</v>
      </c>
      <c r="B32" s="195" t="s">
        <v>162</v>
      </c>
      <c r="C32" s="196">
        <v>0</v>
      </c>
      <c r="D32" s="196">
        <v>0</v>
      </c>
      <c r="E32" s="196">
        <v>0</v>
      </c>
      <c r="F32" s="196">
        <v>0</v>
      </c>
      <c r="G32" s="196">
        <v>0</v>
      </c>
      <c r="H32" s="196">
        <v>0</v>
      </c>
      <c r="I32" s="196">
        <v>0</v>
      </c>
      <c r="J32" s="196">
        <v>0</v>
      </c>
      <c r="K32" s="196">
        <v>0</v>
      </c>
      <c r="L32" s="196">
        <v>0</v>
      </c>
      <c r="M32" s="196">
        <v>0</v>
      </c>
      <c r="N32" s="196">
        <v>0.88521309000000004</v>
      </c>
      <c r="O32" s="196">
        <v>0</v>
      </c>
      <c r="P32" s="196">
        <v>0</v>
      </c>
      <c r="Q32" s="196">
        <v>0</v>
      </c>
      <c r="R32" s="196">
        <v>0</v>
      </c>
      <c r="S32" s="196">
        <v>0</v>
      </c>
      <c r="T32" s="193">
        <f t="shared" si="3"/>
        <v>0</v>
      </c>
      <c r="U32" s="192">
        <f t="shared" si="4"/>
        <v>0.88521309000000004</v>
      </c>
    </row>
    <row r="33" spans="1:21" x14ac:dyDescent="0.25">
      <c r="A33" s="190" t="s">
        <v>161</v>
      </c>
      <c r="B33" s="195" t="s">
        <v>160</v>
      </c>
      <c r="C33" s="196">
        <v>0</v>
      </c>
      <c r="D33" s="196">
        <v>0</v>
      </c>
      <c r="E33" s="196">
        <v>0</v>
      </c>
      <c r="F33" s="196">
        <v>0</v>
      </c>
      <c r="G33" s="196">
        <v>0</v>
      </c>
      <c r="H33" s="196">
        <v>0</v>
      </c>
      <c r="I33" s="196">
        <v>0</v>
      </c>
      <c r="J33" s="196">
        <v>0</v>
      </c>
      <c r="K33" s="196">
        <v>0</v>
      </c>
      <c r="L33" s="196">
        <v>0</v>
      </c>
      <c r="M33" s="196">
        <v>0</v>
      </c>
      <c r="N33" s="196">
        <v>0.74836281000000004</v>
      </c>
      <c r="O33" s="196">
        <v>0</v>
      </c>
      <c r="P33" s="196">
        <v>0</v>
      </c>
      <c r="Q33" s="196">
        <v>0</v>
      </c>
      <c r="R33" s="196">
        <v>0</v>
      </c>
      <c r="S33" s="196">
        <v>0</v>
      </c>
      <c r="T33" s="193">
        <f t="shared" si="3"/>
        <v>0</v>
      </c>
      <c r="U33" s="192">
        <f t="shared" si="4"/>
        <v>0.74836281000000004</v>
      </c>
    </row>
    <row r="34" spans="1:21" x14ac:dyDescent="0.25">
      <c r="A34" s="190" t="s">
        <v>159</v>
      </c>
      <c r="B34" s="195" t="s">
        <v>158</v>
      </c>
      <c r="C34" s="196">
        <v>0</v>
      </c>
      <c r="D34" s="196">
        <v>0</v>
      </c>
      <c r="E34" s="196">
        <v>0</v>
      </c>
      <c r="F34" s="196">
        <v>0</v>
      </c>
      <c r="G34" s="196">
        <v>0</v>
      </c>
      <c r="H34" s="196">
        <v>0</v>
      </c>
      <c r="I34" s="196">
        <v>0</v>
      </c>
      <c r="J34" s="196">
        <v>0</v>
      </c>
      <c r="K34" s="196">
        <v>0</v>
      </c>
      <c r="L34" s="196">
        <v>0</v>
      </c>
      <c r="M34" s="196">
        <v>0</v>
      </c>
      <c r="N34" s="196">
        <f>0.29269825+0.11489974</f>
        <v>0.40759798999999997</v>
      </c>
      <c r="O34" s="196">
        <v>0</v>
      </c>
      <c r="P34" s="196">
        <v>0</v>
      </c>
      <c r="Q34" s="196">
        <v>0</v>
      </c>
      <c r="R34" s="196">
        <v>0</v>
      </c>
      <c r="S34" s="196">
        <v>0</v>
      </c>
      <c r="T34" s="193">
        <f t="shared" si="3"/>
        <v>0</v>
      </c>
      <c r="U34" s="192">
        <f t="shared" si="4"/>
        <v>0.40759798999999997</v>
      </c>
    </row>
    <row r="35" spans="1:21" s="53" customFormat="1" ht="31.5" x14ac:dyDescent="0.25">
      <c r="A35" s="190" t="s">
        <v>60</v>
      </c>
      <c r="B35" s="191" t="s">
        <v>157</v>
      </c>
      <c r="C35" s="193">
        <v>0</v>
      </c>
      <c r="D35" s="193">
        <v>0</v>
      </c>
      <c r="E35" s="193">
        <v>0</v>
      </c>
      <c r="F35" s="193">
        <v>0</v>
      </c>
      <c r="G35" s="193">
        <v>0</v>
      </c>
      <c r="H35" s="193">
        <v>0</v>
      </c>
      <c r="I35" s="193">
        <v>0</v>
      </c>
      <c r="J35" s="193">
        <v>0</v>
      </c>
      <c r="K35" s="193">
        <v>0</v>
      </c>
      <c r="L35" s="193">
        <v>0</v>
      </c>
      <c r="M35" s="193">
        <v>0</v>
      </c>
      <c r="N35" s="193">
        <v>0</v>
      </c>
      <c r="O35" s="193">
        <v>0</v>
      </c>
      <c r="P35" s="193">
        <v>0</v>
      </c>
      <c r="Q35" s="193">
        <v>0</v>
      </c>
      <c r="R35" s="193">
        <v>0</v>
      </c>
      <c r="S35" s="193">
        <v>0</v>
      </c>
      <c r="T35" s="193">
        <f t="shared" si="3"/>
        <v>0</v>
      </c>
      <c r="U35" s="192">
        <f t="shared" si="4"/>
        <v>0</v>
      </c>
    </row>
    <row r="36" spans="1:21" ht="31.5" x14ac:dyDescent="0.25">
      <c r="A36" s="194" t="s">
        <v>156</v>
      </c>
      <c r="B36" s="197" t="s">
        <v>155</v>
      </c>
      <c r="C36" s="196">
        <v>0</v>
      </c>
      <c r="D36" s="196">
        <v>0</v>
      </c>
      <c r="E36" s="196">
        <v>0</v>
      </c>
      <c r="F36" s="196">
        <v>0</v>
      </c>
      <c r="G36" s="196">
        <v>0</v>
      </c>
      <c r="H36" s="196">
        <v>0</v>
      </c>
      <c r="I36" s="196">
        <v>0</v>
      </c>
      <c r="J36" s="196">
        <v>0</v>
      </c>
      <c r="K36" s="196">
        <v>0</v>
      </c>
      <c r="L36" s="196">
        <v>0</v>
      </c>
      <c r="M36" s="196">
        <v>0</v>
      </c>
      <c r="N36" s="196">
        <v>0</v>
      </c>
      <c r="O36" s="196">
        <v>0</v>
      </c>
      <c r="P36" s="196">
        <v>0</v>
      </c>
      <c r="Q36" s="196">
        <v>0</v>
      </c>
      <c r="R36" s="196">
        <v>0</v>
      </c>
      <c r="S36" s="196">
        <v>0</v>
      </c>
      <c r="T36" s="193">
        <f t="shared" si="3"/>
        <v>0</v>
      </c>
      <c r="U36" s="192">
        <f t="shared" si="4"/>
        <v>0</v>
      </c>
    </row>
    <row r="37" spans="1:21" x14ac:dyDescent="0.25">
      <c r="A37" s="194" t="s">
        <v>154</v>
      </c>
      <c r="B37" s="197" t="s">
        <v>144</v>
      </c>
      <c r="C37" s="196">
        <v>0</v>
      </c>
      <c r="D37" s="196">
        <v>0</v>
      </c>
      <c r="E37" s="196">
        <v>0</v>
      </c>
      <c r="F37" s="196">
        <v>0</v>
      </c>
      <c r="G37" s="196">
        <v>0</v>
      </c>
      <c r="H37" s="196">
        <v>0</v>
      </c>
      <c r="I37" s="196">
        <v>0</v>
      </c>
      <c r="J37" s="196">
        <v>0</v>
      </c>
      <c r="K37" s="196">
        <v>0</v>
      </c>
      <c r="L37" s="196">
        <v>0</v>
      </c>
      <c r="M37" s="196">
        <v>0</v>
      </c>
      <c r="N37" s="196">
        <v>0.16</v>
      </c>
      <c r="O37" s="196">
        <v>0</v>
      </c>
      <c r="P37" s="196">
        <v>0</v>
      </c>
      <c r="Q37" s="196">
        <v>0</v>
      </c>
      <c r="R37" s="196">
        <v>0</v>
      </c>
      <c r="S37" s="196">
        <v>0</v>
      </c>
      <c r="T37" s="193">
        <f t="shared" si="3"/>
        <v>0</v>
      </c>
      <c r="U37" s="192">
        <f t="shared" si="4"/>
        <v>0.16</v>
      </c>
    </row>
    <row r="38" spans="1:21" x14ac:dyDescent="0.25">
      <c r="A38" s="194" t="s">
        <v>153</v>
      </c>
      <c r="B38" s="197" t="s">
        <v>142</v>
      </c>
      <c r="C38" s="196">
        <v>0</v>
      </c>
      <c r="D38" s="196">
        <v>0</v>
      </c>
      <c r="E38" s="196">
        <v>0</v>
      </c>
      <c r="F38" s="196">
        <v>0</v>
      </c>
      <c r="G38" s="196">
        <v>0</v>
      </c>
      <c r="H38" s="196">
        <v>0</v>
      </c>
      <c r="I38" s="196">
        <v>0</v>
      </c>
      <c r="J38" s="196">
        <v>0</v>
      </c>
      <c r="K38" s="196">
        <v>0</v>
      </c>
      <c r="L38" s="196">
        <v>0</v>
      </c>
      <c r="M38" s="196">
        <v>0</v>
      </c>
      <c r="N38" s="196">
        <v>0</v>
      </c>
      <c r="O38" s="196">
        <v>0</v>
      </c>
      <c r="P38" s="196">
        <v>0</v>
      </c>
      <c r="Q38" s="196">
        <v>0</v>
      </c>
      <c r="R38" s="196">
        <v>0</v>
      </c>
      <c r="S38" s="196">
        <v>0</v>
      </c>
      <c r="T38" s="193">
        <f t="shared" si="3"/>
        <v>0</v>
      </c>
      <c r="U38" s="192">
        <f t="shared" si="4"/>
        <v>0</v>
      </c>
    </row>
    <row r="39" spans="1:21" ht="31.5" x14ac:dyDescent="0.25">
      <c r="A39" s="194" t="s">
        <v>152</v>
      </c>
      <c r="B39" s="195" t="s">
        <v>140</v>
      </c>
      <c r="C39" s="196">
        <v>0</v>
      </c>
      <c r="D39" s="196">
        <v>0</v>
      </c>
      <c r="E39" s="196">
        <v>0</v>
      </c>
      <c r="F39" s="196">
        <v>0</v>
      </c>
      <c r="G39" s="196">
        <v>0</v>
      </c>
      <c r="H39" s="196">
        <v>0</v>
      </c>
      <c r="I39" s="196">
        <v>0</v>
      </c>
      <c r="J39" s="196">
        <v>0</v>
      </c>
      <c r="K39" s="196">
        <v>0</v>
      </c>
      <c r="L39" s="196">
        <v>0</v>
      </c>
      <c r="M39" s="196">
        <v>0</v>
      </c>
      <c r="N39" s="196">
        <v>0.14199999999999999</v>
      </c>
      <c r="O39" s="196">
        <v>0</v>
      </c>
      <c r="P39" s="196">
        <v>0</v>
      </c>
      <c r="Q39" s="196">
        <v>0</v>
      </c>
      <c r="R39" s="196">
        <v>0</v>
      </c>
      <c r="S39" s="196">
        <v>0</v>
      </c>
      <c r="T39" s="193">
        <f t="shared" si="3"/>
        <v>0</v>
      </c>
      <c r="U39" s="192">
        <f t="shared" si="4"/>
        <v>0.14199999999999999</v>
      </c>
    </row>
    <row r="40" spans="1:21" ht="31.5" x14ac:dyDescent="0.25">
      <c r="A40" s="194" t="s">
        <v>151</v>
      </c>
      <c r="B40" s="195" t="s">
        <v>138</v>
      </c>
      <c r="C40" s="196">
        <v>0</v>
      </c>
      <c r="D40" s="196">
        <v>0</v>
      </c>
      <c r="E40" s="196">
        <v>0</v>
      </c>
      <c r="F40" s="196">
        <v>0</v>
      </c>
      <c r="G40" s="196">
        <v>0</v>
      </c>
      <c r="H40" s="196">
        <v>0</v>
      </c>
      <c r="I40" s="196">
        <v>0</v>
      </c>
      <c r="J40" s="196">
        <v>0</v>
      </c>
      <c r="K40" s="196">
        <v>0</v>
      </c>
      <c r="L40" s="196">
        <v>0</v>
      </c>
      <c r="M40" s="196">
        <v>0</v>
      </c>
      <c r="N40" s="196">
        <v>0</v>
      </c>
      <c r="O40" s="196">
        <v>0</v>
      </c>
      <c r="P40" s="196">
        <v>0</v>
      </c>
      <c r="Q40" s="196">
        <v>0</v>
      </c>
      <c r="R40" s="196">
        <v>0</v>
      </c>
      <c r="S40" s="196">
        <v>0</v>
      </c>
      <c r="T40" s="193">
        <f t="shared" si="3"/>
        <v>0</v>
      </c>
      <c r="U40" s="192">
        <f t="shared" si="4"/>
        <v>0</v>
      </c>
    </row>
    <row r="41" spans="1:21" x14ac:dyDescent="0.25">
      <c r="A41" s="194" t="s">
        <v>150</v>
      </c>
      <c r="B41" s="195" t="s">
        <v>136</v>
      </c>
      <c r="C41" s="196">
        <v>0</v>
      </c>
      <c r="D41" s="196">
        <v>0</v>
      </c>
      <c r="E41" s="196">
        <v>0</v>
      </c>
      <c r="F41" s="196">
        <v>0</v>
      </c>
      <c r="G41" s="196">
        <v>0</v>
      </c>
      <c r="H41" s="196">
        <v>0</v>
      </c>
      <c r="I41" s="196">
        <v>0</v>
      </c>
      <c r="J41" s="196">
        <v>0</v>
      </c>
      <c r="K41" s="196">
        <v>0</v>
      </c>
      <c r="L41" s="196">
        <v>0</v>
      </c>
      <c r="M41" s="196">
        <v>0</v>
      </c>
      <c r="N41" s="196">
        <v>0</v>
      </c>
      <c r="O41" s="196">
        <v>0</v>
      </c>
      <c r="P41" s="196">
        <v>0</v>
      </c>
      <c r="Q41" s="196">
        <v>0</v>
      </c>
      <c r="R41" s="196">
        <v>0</v>
      </c>
      <c r="S41" s="196">
        <v>0</v>
      </c>
      <c r="T41" s="193">
        <f t="shared" si="3"/>
        <v>0</v>
      </c>
      <c r="U41" s="192">
        <f t="shared" si="4"/>
        <v>0</v>
      </c>
    </row>
    <row r="42" spans="1:21" ht="18.75" x14ac:dyDescent="0.25">
      <c r="A42" s="194" t="s">
        <v>149</v>
      </c>
      <c r="B42" s="197" t="s">
        <v>595</v>
      </c>
      <c r="C42" s="196">
        <v>0</v>
      </c>
      <c r="D42" s="196">
        <v>0</v>
      </c>
      <c r="E42" s="196">
        <v>0</v>
      </c>
      <c r="F42" s="196">
        <v>0</v>
      </c>
      <c r="G42" s="196">
        <v>0</v>
      </c>
      <c r="H42" s="196">
        <v>0</v>
      </c>
      <c r="I42" s="196">
        <v>0</v>
      </c>
      <c r="J42" s="196">
        <v>0</v>
      </c>
      <c r="K42" s="196">
        <v>0</v>
      </c>
      <c r="L42" s="196">
        <v>0</v>
      </c>
      <c r="M42" s="196">
        <v>0</v>
      </c>
      <c r="N42" s="196">
        <v>0</v>
      </c>
      <c r="O42" s="196">
        <v>0</v>
      </c>
      <c r="P42" s="196">
        <v>0</v>
      </c>
      <c r="Q42" s="196">
        <v>0</v>
      </c>
      <c r="R42" s="196">
        <v>0</v>
      </c>
      <c r="S42" s="196">
        <v>0</v>
      </c>
      <c r="T42" s="193">
        <f t="shared" si="3"/>
        <v>0</v>
      </c>
      <c r="U42" s="192">
        <f t="shared" si="4"/>
        <v>0</v>
      </c>
    </row>
    <row r="43" spans="1:21" s="53" customFormat="1" x14ac:dyDescent="0.25">
      <c r="A43" s="190" t="s">
        <v>59</v>
      </c>
      <c r="B43" s="191" t="s">
        <v>148</v>
      </c>
      <c r="C43" s="193">
        <v>0</v>
      </c>
      <c r="D43" s="193">
        <v>0</v>
      </c>
      <c r="E43" s="193">
        <v>0</v>
      </c>
      <c r="F43" s="193">
        <v>0</v>
      </c>
      <c r="G43" s="193">
        <v>0</v>
      </c>
      <c r="H43" s="193">
        <v>0</v>
      </c>
      <c r="I43" s="193">
        <v>0</v>
      </c>
      <c r="J43" s="193">
        <v>0</v>
      </c>
      <c r="K43" s="193">
        <v>0</v>
      </c>
      <c r="L43" s="193">
        <v>0</v>
      </c>
      <c r="M43" s="193">
        <v>0</v>
      </c>
      <c r="N43" s="198">
        <v>0</v>
      </c>
      <c r="O43" s="193">
        <v>0</v>
      </c>
      <c r="P43" s="193">
        <v>0</v>
      </c>
      <c r="Q43" s="193">
        <v>0</v>
      </c>
      <c r="R43" s="193">
        <v>0</v>
      </c>
      <c r="S43" s="193">
        <v>0</v>
      </c>
      <c r="T43" s="193">
        <f t="shared" si="3"/>
        <v>0</v>
      </c>
      <c r="U43" s="192">
        <f t="shared" si="4"/>
        <v>0</v>
      </c>
    </row>
    <row r="44" spans="1:21" x14ac:dyDescent="0.25">
      <c r="A44" s="194" t="s">
        <v>147</v>
      </c>
      <c r="B44" s="195" t="s">
        <v>146</v>
      </c>
      <c r="C44" s="196">
        <v>0</v>
      </c>
      <c r="D44" s="196">
        <v>0</v>
      </c>
      <c r="E44" s="196">
        <v>0</v>
      </c>
      <c r="F44" s="196">
        <v>0</v>
      </c>
      <c r="G44" s="196">
        <v>0</v>
      </c>
      <c r="H44" s="196">
        <v>0</v>
      </c>
      <c r="I44" s="196">
        <v>0</v>
      </c>
      <c r="J44" s="196">
        <v>0</v>
      </c>
      <c r="K44" s="196">
        <v>0</v>
      </c>
      <c r="L44" s="196">
        <v>0</v>
      </c>
      <c r="M44" s="196">
        <v>0</v>
      </c>
      <c r="N44" s="196">
        <f>N36</f>
        <v>0</v>
      </c>
      <c r="O44" s="196">
        <v>0</v>
      </c>
      <c r="P44" s="196">
        <v>0</v>
      </c>
      <c r="Q44" s="196">
        <v>0</v>
      </c>
      <c r="R44" s="196">
        <v>0</v>
      </c>
      <c r="S44" s="196">
        <v>0</v>
      </c>
      <c r="T44" s="193">
        <f t="shared" si="3"/>
        <v>0</v>
      </c>
      <c r="U44" s="192">
        <f t="shared" si="4"/>
        <v>0</v>
      </c>
    </row>
    <row r="45" spans="1:21" x14ac:dyDescent="0.25">
      <c r="A45" s="194" t="s">
        <v>145</v>
      </c>
      <c r="B45" s="195" t="s">
        <v>144</v>
      </c>
      <c r="C45" s="196">
        <v>0</v>
      </c>
      <c r="D45" s="196">
        <v>0</v>
      </c>
      <c r="E45" s="196">
        <v>0</v>
      </c>
      <c r="F45" s="196">
        <v>0</v>
      </c>
      <c r="G45" s="196">
        <v>0</v>
      </c>
      <c r="H45" s="196">
        <v>0</v>
      </c>
      <c r="I45" s="196">
        <v>0</v>
      </c>
      <c r="J45" s="196">
        <f>J37</f>
        <v>0</v>
      </c>
      <c r="K45" s="196">
        <f>K37</f>
        <v>0</v>
      </c>
      <c r="L45" s="196">
        <v>0</v>
      </c>
      <c r="M45" s="196">
        <v>0</v>
      </c>
      <c r="N45" s="196">
        <f t="shared" ref="N45:O45" si="8">N37</f>
        <v>0.16</v>
      </c>
      <c r="O45" s="196">
        <v>0</v>
      </c>
      <c r="P45" s="196">
        <v>0</v>
      </c>
      <c r="Q45" s="196">
        <v>0</v>
      </c>
      <c r="R45" s="196">
        <v>0</v>
      </c>
      <c r="S45" s="196">
        <v>0</v>
      </c>
      <c r="T45" s="193">
        <f t="shared" si="3"/>
        <v>0</v>
      </c>
      <c r="U45" s="192">
        <f t="shared" si="4"/>
        <v>0.16</v>
      </c>
    </row>
    <row r="46" spans="1:21" x14ac:dyDescent="0.25">
      <c r="A46" s="194" t="s">
        <v>143</v>
      </c>
      <c r="B46" s="195" t="s">
        <v>142</v>
      </c>
      <c r="C46" s="196">
        <v>0</v>
      </c>
      <c r="D46" s="196">
        <v>0</v>
      </c>
      <c r="E46" s="196">
        <v>0</v>
      </c>
      <c r="F46" s="196">
        <v>0</v>
      </c>
      <c r="G46" s="196">
        <v>0</v>
      </c>
      <c r="H46" s="196">
        <v>0</v>
      </c>
      <c r="I46" s="196">
        <v>0</v>
      </c>
      <c r="J46" s="196">
        <f t="shared" ref="J46:K50" si="9">J38</f>
        <v>0</v>
      </c>
      <c r="K46" s="196">
        <f t="shared" si="9"/>
        <v>0</v>
      </c>
      <c r="L46" s="196">
        <v>0</v>
      </c>
      <c r="M46" s="196">
        <v>0</v>
      </c>
      <c r="N46" s="196">
        <f t="shared" ref="N46:O46" si="10">N38</f>
        <v>0</v>
      </c>
      <c r="O46" s="196">
        <v>0</v>
      </c>
      <c r="P46" s="196">
        <v>0</v>
      </c>
      <c r="Q46" s="196">
        <v>0</v>
      </c>
      <c r="R46" s="196">
        <v>0</v>
      </c>
      <c r="S46" s="196">
        <v>0</v>
      </c>
      <c r="T46" s="193">
        <f t="shared" si="3"/>
        <v>0</v>
      </c>
      <c r="U46" s="192">
        <f t="shared" si="4"/>
        <v>0</v>
      </c>
    </row>
    <row r="47" spans="1:21" ht="31.5" x14ac:dyDescent="0.25">
      <c r="A47" s="194" t="s">
        <v>141</v>
      </c>
      <c r="B47" s="195" t="s">
        <v>140</v>
      </c>
      <c r="C47" s="196">
        <v>0</v>
      </c>
      <c r="D47" s="196">
        <v>0</v>
      </c>
      <c r="E47" s="196">
        <v>0</v>
      </c>
      <c r="F47" s="196">
        <v>0</v>
      </c>
      <c r="G47" s="196">
        <v>0</v>
      </c>
      <c r="H47" s="196">
        <v>0</v>
      </c>
      <c r="I47" s="196">
        <v>0</v>
      </c>
      <c r="J47" s="196">
        <f t="shared" si="9"/>
        <v>0</v>
      </c>
      <c r="K47" s="196">
        <f t="shared" si="9"/>
        <v>0</v>
      </c>
      <c r="L47" s="196">
        <v>0</v>
      </c>
      <c r="M47" s="196">
        <v>0</v>
      </c>
      <c r="N47" s="196">
        <f t="shared" ref="N47:O47" si="11">N39</f>
        <v>0.14199999999999999</v>
      </c>
      <c r="O47" s="196">
        <v>0</v>
      </c>
      <c r="P47" s="196">
        <v>0</v>
      </c>
      <c r="Q47" s="196">
        <v>0</v>
      </c>
      <c r="R47" s="196">
        <v>0</v>
      </c>
      <c r="S47" s="196">
        <v>0</v>
      </c>
      <c r="T47" s="193">
        <f t="shared" si="3"/>
        <v>0</v>
      </c>
      <c r="U47" s="192">
        <f t="shared" si="4"/>
        <v>0.14199999999999999</v>
      </c>
    </row>
    <row r="48" spans="1:21" ht="31.5" x14ac:dyDescent="0.25">
      <c r="A48" s="194" t="s">
        <v>139</v>
      </c>
      <c r="B48" s="195" t="s">
        <v>138</v>
      </c>
      <c r="C48" s="196">
        <v>0</v>
      </c>
      <c r="D48" s="196">
        <v>0</v>
      </c>
      <c r="E48" s="196">
        <v>0</v>
      </c>
      <c r="F48" s="196">
        <v>0</v>
      </c>
      <c r="G48" s="196">
        <v>0</v>
      </c>
      <c r="H48" s="196">
        <v>0</v>
      </c>
      <c r="I48" s="196">
        <v>0</v>
      </c>
      <c r="J48" s="196">
        <f t="shared" si="9"/>
        <v>0</v>
      </c>
      <c r="K48" s="196">
        <f t="shared" si="9"/>
        <v>0</v>
      </c>
      <c r="L48" s="196">
        <v>0</v>
      </c>
      <c r="M48" s="196">
        <v>0</v>
      </c>
      <c r="N48" s="196">
        <f t="shared" ref="N48:O48" si="12">N40</f>
        <v>0</v>
      </c>
      <c r="O48" s="196">
        <v>0</v>
      </c>
      <c r="P48" s="196">
        <v>0</v>
      </c>
      <c r="Q48" s="196">
        <v>0</v>
      </c>
      <c r="R48" s="196">
        <v>0</v>
      </c>
      <c r="S48" s="196">
        <v>0</v>
      </c>
      <c r="T48" s="193">
        <f t="shared" si="3"/>
        <v>0</v>
      </c>
      <c r="U48" s="192">
        <f t="shared" si="4"/>
        <v>0</v>
      </c>
    </row>
    <row r="49" spans="1:23" x14ac:dyDescent="0.25">
      <c r="A49" s="194" t="s">
        <v>137</v>
      </c>
      <c r="B49" s="195" t="s">
        <v>136</v>
      </c>
      <c r="C49" s="196">
        <v>0</v>
      </c>
      <c r="D49" s="196">
        <v>0</v>
      </c>
      <c r="E49" s="196">
        <v>0</v>
      </c>
      <c r="F49" s="196">
        <v>0</v>
      </c>
      <c r="G49" s="196">
        <v>0</v>
      </c>
      <c r="H49" s="196">
        <v>0</v>
      </c>
      <c r="I49" s="196">
        <v>0</v>
      </c>
      <c r="J49" s="196">
        <f t="shared" si="9"/>
        <v>0</v>
      </c>
      <c r="K49" s="196">
        <f t="shared" si="9"/>
        <v>0</v>
      </c>
      <c r="L49" s="196">
        <v>0</v>
      </c>
      <c r="M49" s="196">
        <v>0</v>
      </c>
      <c r="N49" s="196">
        <f t="shared" ref="N49:O49" si="13">N41</f>
        <v>0</v>
      </c>
      <c r="O49" s="196">
        <v>0</v>
      </c>
      <c r="P49" s="196">
        <v>0</v>
      </c>
      <c r="Q49" s="196">
        <v>0</v>
      </c>
      <c r="R49" s="196">
        <v>0</v>
      </c>
      <c r="S49" s="196">
        <v>0</v>
      </c>
      <c r="T49" s="193">
        <f t="shared" si="3"/>
        <v>0</v>
      </c>
      <c r="U49" s="192">
        <f t="shared" si="4"/>
        <v>0</v>
      </c>
    </row>
    <row r="50" spans="1:23" ht="18.75" x14ac:dyDescent="0.25">
      <c r="A50" s="194" t="s">
        <v>135</v>
      </c>
      <c r="B50" s="197" t="s">
        <v>595</v>
      </c>
      <c r="C50" s="196">
        <v>0</v>
      </c>
      <c r="D50" s="196">
        <v>0</v>
      </c>
      <c r="E50" s="196">
        <v>0</v>
      </c>
      <c r="F50" s="196">
        <v>0</v>
      </c>
      <c r="G50" s="196">
        <v>0</v>
      </c>
      <c r="H50" s="196">
        <v>0</v>
      </c>
      <c r="I50" s="196">
        <v>0</v>
      </c>
      <c r="J50" s="196">
        <f t="shared" si="9"/>
        <v>0</v>
      </c>
      <c r="K50" s="196">
        <f t="shared" si="9"/>
        <v>0</v>
      </c>
      <c r="L50" s="196">
        <v>0</v>
      </c>
      <c r="M50" s="196">
        <v>0</v>
      </c>
      <c r="N50" s="196">
        <f t="shared" ref="N50:O50" si="14">N42</f>
        <v>0</v>
      </c>
      <c r="O50" s="196">
        <v>0</v>
      </c>
      <c r="P50" s="196">
        <v>0</v>
      </c>
      <c r="Q50" s="196">
        <v>0</v>
      </c>
      <c r="R50" s="196">
        <v>0</v>
      </c>
      <c r="S50" s="196">
        <v>0</v>
      </c>
      <c r="T50" s="193">
        <f t="shared" si="3"/>
        <v>0</v>
      </c>
      <c r="U50" s="192">
        <f t="shared" si="4"/>
        <v>0</v>
      </c>
    </row>
    <row r="51" spans="1:23" s="53" customFormat="1" ht="35.25" customHeight="1" x14ac:dyDescent="0.25">
      <c r="A51" s="190" t="s">
        <v>57</v>
      </c>
      <c r="B51" s="191" t="s">
        <v>134</v>
      </c>
      <c r="C51" s="193">
        <v>0</v>
      </c>
      <c r="D51" s="193">
        <v>0</v>
      </c>
      <c r="E51" s="193">
        <v>0</v>
      </c>
      <c r="F51" s="193">
        <v>0</v>
      </c>
      <c r="G51" s="193">
        <v>0</v>
      </c>
      <c r="H51" s="193">
        <v>0</v>
      </c>
      <c r="I51" s="193">
        <v>0</v>
      </c>
      <c r="J51" s="193">
        <v>0</v>
      </c>
      <c r="K51" s="193">
        <v>0</v>
      </c>
      <c r="L51" s="193">
        <v>0</v>
      </c>
      <c r="M51" s="193">
        <v>0</v>
      </c>
      <c r="N51" s="198">
        <v>0</v>
      </c>
      <c r="O51" s="193">
        <v>0</v>
      </c>
      <c r="P51" s="193">
        <v>0</v>
      </c>
      <c r="Q51" s="193">
        <v>0</v>
      </c>
      <c r="R51" s="193">
        <v>0</v>
      </c>
      <c r="S51" s="193">
        <v>0</v>
      </c>
      <c r="T51" s="193">
        <f t="shared" si="3"/>
        <v>0</v>
      </c>
      <c r="U51" s="192">
        <f t="shared" si="4"/>
        <v>0</v>
      </c>
    </row>
    <row r="52" spans="1:23" x14ac:dyDescent="0.25">
      <c r="A52" s="194" t="s">
        <v>133</v>
      </c>
      <c r="B52" s="195" t="s">
        <v>132</v>
      </c>
      <c r="C52" s="196">
        <v>0</v>
      </c>
      <c r="D52" s="196">
        <v>0</v>
      </c>
      <c r="E52" s="196">
        <v>0</v>
      </c>
      <c r="F52" s="196">
        <v>0</v>
      </c>
      <c r="G52" s="196">
        <v>0</v>
      </c>
      <c r="H52" s="196">
        <v>0</v>
      </c>
      <c r="I52" s="196">
        <v>0</v>
      </c>
      <c r="J52" s="196">
        <v>0</v>
      </c>
      <c r="K52" s="196">
        <v>0</v>
      </c>
      <c r="L52" s="196">
        <v>0</v>
      </c>
      <c r="M52" s="196">
        <v>0</v>
      </c>
      <c r="N52" s="196">
        <v>2.1593787999999998</v>
      </c>
      <c r="O52" s="196">
        <v>0</v>
      </c>
      <c r="P52" s="196">
        <v>0</v>
      </c>
      <c r="Q52" s="196">
        <v>0</v>
      </c>
      <c r="R52" s="196">
        <v>0</v>
      </c>
      <c r="S52" s="196">
        <v>0</v>
      </c>
      <c r="T52" s="193">
        <f t="shared" si="3"/>
        <v>0</v>
      </c>
      <c r="U52" s="192">
        <f t="shared" si="4"/>
        <v>2.1593787999999998</v>
      </c>
      <c r="W52" s="343"/>
    </row>
    <row r="53" spans="1:23" x14ac:dyDescent="0.25">
      <c r="A53" s="194" t="s">
        <v>131</v>
      </c>
      <c r="B53" s="195" t="s">
        <v>125</v>
      </c>
      <c r="C53" s="196">
        <v>0</v>
      </c>
      <c r="D53" s="196">
        <v>0</v>
      </c>
      <c r="E53" s="196">
        <v>0</v>
      </c>
      <c r="F53" s="196">
        <v>0</v>
      </c>
      <c r="G53" s="196">
        <v>0</v>
      </c>
      <c r="H53" s="196">
        <v>0</v>
      </c>
      <c r="I53" s="196">
        <v>0</v>
      </c>
      <c r="J53" s="196">
        <v>0</v>
      </c>
      <c r="K53" s="196">
        <v>0</v>
      </c>
      <c r="L53" s="196">
        <v>0</v>
      </c>
      <c r="M53" s="196">
        <v>0</v>
      </c>
      <c r="N53" s="196">
        <v>0</v>
      </c>
      <c r="O53" s="196">
        <v>0</v>
      </c>
      <c r="P53" s="196">
        <v>0</v>
      </c>
      <c r="Q53" s="196">
        <v>0</v>
      </c>
      <c r="R53" s="196">
        <v>0</v>
      </c>
      <c r="S53" s="196">
        <v>0</v>
      </c>
      <c r="T53" s="193">
        <f t="shared" si="3"/>
        <v>0</v>
      </c>
      <c r="U53" s="192">
        <f t="shared" si="4"/>
        <v>0</v>
      </c>
    </row>
    <row r="54" spans="1:23" x14ac:dyDescent="0.25">
      <c r="A54" s="194" t="s">
        <v>130</v>
      </c>
      <c r="B54" s="197" t="s">
        <v>124</v>
      </c>
      <c r="C54" s="196">
        <v>0</v>
      </c>
      <c r="D54" s="196">
        <v>0</v>
      </c>
      <c r="E54" s="196">
        <v>0</v>
      </c>
      <c r="F54" s="196">
        <v>0</v>
      </c>
      <c r="G54" s="196">
        <v>0</v>
      </c>
      <c r="H54" s="196">
        <v>0</v>
      </c>
      <c r="I54" s="196">
        <v>0</v>
      </c>
      <c r="J54" s="196">
        <f>J45</f>
        <v>0</v>
      </c>
      <c r="K54" s="196">
        <f>K45</f>
        <v>0</v>
      </c>
      <c r="L54" s="196">
        <v>0</v>
      </c>
      <c r="M54" s="196">
        <v>0</v>
      </c>
      <c r="N54" s="196">
        <f>N45</f>
        <v>0.16</v>
      </c>
      <c r="O54" s="196">
        <v>0</v>
      </c>
      <c r="P54" s="196">
        <v>0</v>
      </c>
      <c r="Q54" s="196">
        <v>0</v>
      </c>
      <c r="R54" s="196">
        <v>0</v>
      </c>
      <c r="S54" s="196">
        <v>0</v>
      </c>
      <c r="T54" s="193">
        <f t="shared" si="3"/>
        <v>0</v>
      </c>
      <c r="U54" s="192">
        <f t="shared" si="4"/>
        <v>0.16</v>
      </c>
    </row>
    <row r="55" spans="1:23" x14ac:dyDescent="0.25">
      <c r="A55" s="194" t="s">
        <v>129</v>
      </c>
      <c r="B55" s="197" t="s">
        <v>123</v>
      </c>
      <c r="C55" s="196">
        <v>0</v>
      </c>
      <c r="D55" s="196">
        <v>0</v>
      </c>
      <c r="E55" s="196">
        <v>0</v>
      </c>
      <c r="F55" s="196">
        <v>0</v>
      </c>
      <c r="G55" s="196">
        <v>0</v>
      </c>
      <c r="H55" s="196">
        <v>0</v>
      </c>
      <c r="I55" s="196">
        <v>0</v>
      </c>
      <c r="J55" s="196">
        <v>0</v>
      </c>
      <c r="K55" s="196">
        <v>0</v>
      </c>
      <c r="L55" s="196">
        <v>0</v>
      </c>
      <c r="M55" s="196">
        <v>0</v>
      </c>
      <c r="N55" s="196">
        <v>0</v>
      </c>
      <c r="O55" s="196">
        <v>0</v>
      </c>
      <c r="P55" s="196">
        <v>0</v>
      </c>
      <c r="Q55" s="196">
        <v>0</v>
      </c>
      <c r="R55" s="196">
        <v>0</v>
      </c>
      <c r="S55" s="196">
        <v>0</v>
      </c>
      <c r="T55" s="193">
        <f t="shared" si="3"/>
        <v>0</v>
      </c>
      <c r="U55" s="192">
        <f t="shared" si="4"/>
        <v>0</v>
      </c>
    </row>
    <row r="56" spans="1:23" x14ac:dyDescent="0.25">
      <c r="A56" s="194" t="s">
        <v>128</v>
      </c>
      <c r="B56" s="197" t="s">
        <v>122</v>
      </c>
      <c r="C56" s="196">
        <v>0</v>
      </c>
      <c r="D56" s="196">
        <v>0</v>
      </c>
      <c r="E56" s="196">
        <v>0</v>
      </c>
      <c r="F56" s="196">
        <v>0</v>
      </c>
      <c r="G56" s="196">
        <v>0</v>
      </c>
      <c r="H56" s="196">
        <v>0</v>
      </c>
      <c r="I56" s="196">
        <v>0</v>
      </c>
      <c r="J56" s="196">
        <f>J47+J48+J49</f>
        <v>0</v>
      </c>
      <c r="K56" s="196">
        <f>K47+K48+K49</f>
        <v>0</v>
      </c>
      <c r="L56" s="196">
        <v>0</v>
      </c>
      <c r="M56" s="196">
        <v>0</v>
      </c>
      <c r="N56" s="196">
        <f>N47+N48+N49</f>
        <v>0.14199999999999999</v>
      </c>
      <c r="O56" s="196">
        <v>0</v>
      </c>
      <c r="P56" s="196">
        <v>0</v>
      </c>
      <c r="Q56" s="196">
        <v>0</v>
      </c>
      <c r="R56" s="196">
        <v>0</v>
      </c>
      <c r="S56" s="196">
        <v>0</v>
      </c>
      <c r="T56" s="193">
        <f t="shared" si="3"/>
        <v>0</v>
      </c>
      <c r="U56" s="192">
        <f t="shared" si="4"/>
        <v>0.14199999999999999</v>
      </c>
    </row>
    <row r="57" spans="1:23" ht="18.75" x14ac:dyDescent="0.25">
      <c r="A57" s="194" t="s">
        <v>127</v>
      </c>
      <c r="B57" s="197" t="s">
        <v>595</v>
      </c>
      <c r="C57" s="196">
        <v>0</v>
      </c>
      <c r="D57" s="196">
        <v>0</v>
      </c>
      <c r="E57" s="196">
        <v>0</v>
      </c>
      <c r="F57" s="196">
        <v>0</v>
      </c>
      <c r="G57" s="196">
        <v>0</v>
      </c>
      <c r="H57" s="196">
        <v>0</v>
      </c>
      <c r="I57" s="196">
        <v>0</v>
      </c>
      <c r="J57" s="196">
        <f>J50</f>
        <v>0</v>
      </c>
      <c r="K57" s="196">
        <f>K50</f>
        <v>0</v>
      </c>
      <c r="L57" s="196">
        <v>0</v>
      </c>
      <c r="M57" s="196">
        <v>0</v>
      </c>
      <c r="N57" s="196">
        <v>0</v>
      </c>
      <c r="O57" s="196">
        <v>0</v>
      </c>
      <c r="P57" s="196">
        <v>0</v>
      </c>
      <c r="Q57" s="196">
        <v>0</v>
      </c>
      <c r="R57" s="196">
        <v>0</v>
      </c>
      <c r="S57" s="196">
        <v>0</v>
      </c>
      <c r="T57" s="193">
        <f t="shared" si="3"/>
        <v>0</v>
      </c>
      <c r="U57" s="192">
        <f t="shared" si="4"/>
        <v>0</v>
      </c>
    </row>
    <row r="58" spans="1:23" s="53" customFormat="1" ht="36.75" customHeight="1" x14ac:dyDescent="0.25">
      <c r="A58" s="190" t="s">
        <v>56</v>
      </c>
      <c r="B58" s="199" t="s">
        <v>201</v>
      </c>
      <c r="C58" s="193">
        <v>0</v>
      </c>
      <c r="D58" s="193">
        <v>0</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f t="shared" si="3"/>
        <v>0</v>
      </c>
      <c r="U58" s="192">
        <f t="shared" si="4"/>
        <v>0</v>
      </c>
    </row>
    <row r="59" spans="1:23" s="53" customFormat="1" x14ac:dyDescent="0.25">
      <c r="A59" s="190" t="s">
        <v>54</v>
      </c>
      <c r="B59" s="191" t="s">
        <v>126</v>
      </c>
      <c r="C59" s="193">
        <v>0</v>
      </c>
      <c r="D59" s="193">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f t="shared" si="3"/>
        <v>0</v>
      </c>
      <c r="U59" s="192">
        <f t="shared" si="4"/>
        <v>0</v>
      </c>
    </row>
    <row r="60" spans="1:23" x14ac:dyDescent="0.25">
      <c r="A60" s="194" t="s">
        <v>195</v>
      </c>
      <c r="B60" s="130" t="s">
        <v>146</v>
      </c>
      <c r="C60" s="196">
        <v>0</v>
      </c>
      <c r="D60" s="196">
        <v>0</v>
      </c>
      <c r="E60" s="196">
        <v>0</v>
      </c>
      <c r="F60" s="196">
        <v>0</v>
      </c>
      <c r="G60" s="196">
        <v>0</v>
      </c>
      <c r="H60" s="196">
        <v>0</v>
      </c>
      <c r="I60" s="196">
        <v>0</v>
      </c>
      <c r="J60" s="196">
        <v>0</v>
      </c>
      <c r="K60" s="196">
        <v>0</v>
      </c>
      <c r="L60" s="196">
        <v>0</v>
      </c>
      <c r="M60" s="196">
        <v>0</v>
      </c>
      <c r="N60" s="196">
        <v>0</v>
      </c>
      <c r="O60" s="196">
        <v>0</v>
      </c>
      <c r="P60" s="196">
        <v>0</v>
      </c>
      <c r="Q60" s="196">
        <v>0</v>
      </c>
      <c r="R60" s="196">
        <v>0</v>
      </c>
      <c r="S60" s="196">
        <v>0</v>
      </c>
      <c r="T60" s="193">
        <f t="shared" si="3"/>
        <v>0</v>
      </c>
      <c r="U60" s="192">
        <f t="shared" si="4"/>
        <v>0</v>
      </c>
    </row>
    <row r="61" spans="1:23" x14ac:dyDescent="0.25">
      <c r="A61" s="194" t="s">
        <v>196</v>
      </c>
      <c r="B61" s="130" t="s">
        <v>144</v>
      </c>
      <c r="C61" s="196">
        <v>0</v>
      </c>
      <c r="D61" s="196">
        <v>0</v>
      </c>
      <c r="E61" s="196">
        <v>0</v>
      </c>
      <c r="F61" s="196">
        <v>0</v>
      </c>
      <c r="G61" s="196">
        <v>0</v>
      </c>
      <c r="H61" s="196">
        <v>0</v>
      </c>
      <c r="I61" s="196">
        <v>0</v>
      </c>
      <c r="J61" s="196">
        <v>0</v>
      </c>
      <c r="K61" s="196">
        <v>0</v>
      </c>
      <c r="L61" s="196">
        <v>0</v>
      </c>
      <c r="M61" s="196">
        <v>0</v>
      </c>
      <c r="N61" s="196">
        <v>0</v>
      </c>
      <c r="O61" s="196">
        <v>0</v>
      </c>
      <c r="P61" s="196">
        <v>0</v>
      </c>
      <c r="Q61" s="196">
        <v>0</v>
      </c>
      <c r="R61" s="196">
        <v>0</v>
      </c>
      <c r="S61" s="196">
        <v>0</v>
      </c>
      <c r="T61" s="193">
        <f t="shared" si="3"/>
        <v>0</v>
      </c>
      <c r="U61" s="192">
        <f t="shared" si="4"/>
        <v>0</v>
      </c>
    </row>
    <row r="62" spans="1:23" x14ac:dyDescent="0.25">
      <c r="A62" s="194" t="s">
        <v>197</v>
      </c>
      <c r="B62" s="130" t="s">
        <v>142</v>
      </c>
      <c r="C62" s="196">
        <v>0</v>
      </c>
      <c r="D62" s="196">
        <v>0</v>
      </c>
      <c r="E62" s="196">
        <v>0</v>
      </c>
      <c r="F62" s="196">
        <v>0</v>
      </c>
      <c r="G62" s="196">
        <v>0</v>
      </c>
      <c r="H62" s="196">
        <v>0</v>
      </c>
      <c r="I62" s="196">
        <v>0</v>
      </c>
      <c r="J62" s="196">
        <v>0</v>
      </c>
      <c r="K62" s="196">
        <v>0</v>
      </c>
      <c r="L62" s="196">
        <v>0</v>
      </c>
      <c r="M62" s="196">
        <v>0</v>
      </c>
      <c r="N62" s="196">
        <v>0</v>
      </c>
      <c r="O62" s="196">
        <v>0</v>
      </c>
      <c r="P62" s="196">
        <v>0</v>
      </c>
      <c r="Q62" s="196">
        <v>0</v>
      </c>
      <c r="R62" s="196">
        <v>0</v>
      </c>
      <c r="S62" s="196">
        <v>0</v>
      </c>
      <c r="T62" s="193">
        <f t="shared" si="3"/>
        <v>0</v>
      </c>
      <c r="U62" s="192">
        <f t="shared" si="4"/>
        <v>0</v>
      </c>
    </row>
    <row r="63" spans="1:23" x14ac:dyDescent="0.25">
      <c r="A63" s="194" t="s">
        <v>198</v>
      </c>
      <c r="B63" s="130" t="s">
        <v>200</v>
      </c>
      <c r="C63" s="196">
        <v>0</v>
      </c>
      <c r="D63" s="196">
        <v>0</v>
      </c>
      <c r="E63" s="196">
        <v>0</v>
      </c>
      <c r="F63" s="196">
        <v>0</v>
      </c>
      <c r="G63" s="196">
        <v>0</v>
      </c>
      <c r="H63" s="196">
        <v>0</v>
      </c>
      <c r="I63" s="196">
        <v>0</v>
      </c>
      <c r="J63" s="196">
        <v>0</v>
      </c>
      <c r="K63" s="196">
        <v>0</v>
      </c>
      <c r="L63" s="196">
        <v>0</v>
      </c>
      <c r="M63" s="196">
        <v>0</v>
      </c>
      <c r="N63" s="196">
        <v>0</v>
      </c>
      <c r="O63" s="196">
        <v>0</v>
      </c>
      <c r="P63" s="196">
        <v>0</v>
      </c>
      <c r="Q63" s="196">
        <v>0</v>
      </c>
      <c r="R63" s="196">
        <v>0</v>
      </c>
      <c r="S63" s="196">
        <v>0</v>
      </c>
      <c r="T63" s="193">
        <f t="shared" si="3"/>
        <v>0</v>
      </c>
      <c r="U63" s="192">
        <f t="shared" si="4"/>
        <v>0</v>
      </c>
    </row>
    <row r="64" spans="1:23" ht="18.75" x14ac:dyDescent="0.25">
      <c r="A64" s="194" t="s">
        <v>199</v>
      </c>
      <c r="B64" s="197" t="s">
        <v>533</v>
      </c>
      <c r="C64" s="196">
        <v>0</v>
      </c>
      <c r="D64" s="196">
        <v>0</v>
      </c>
      <c r="E64" s="196">
        <v>0</v>
      </c>
      <c r="F64" s="196">
        <v>0</v>
      </c>
      <c r="G64" s="196">
        <v>0</v>
      </c>
      <c r="H64" s="196">
        <v>0</v>
      </c>
      <c r="I64" s="196">
        <v>0</v>
      </c>
      <c r="J64" s="196">
        <v>0</v>
      </c>
      <c r="K64" s="196">
        <v>0</v>
      </c>
      <c r="L64" s="196">
        <v>0</v>
      </c>
      <c r="M64" s="196">
        <v>0</v>
      </c>
      <c r="N64" s="196">
        <v>0</v>
      </c>
      <c r="O64" s="196">
        <v>0</v>
      </c>
      <c r="P64" s="196">
        <v>0</v>
      </c>
      <c r="Q64" s="196">
        <v>0</v>
      </c>
      <c r="R64" s="196">
        <v>0</v>
      </c>
      <c r="S64" s="196">
        <v>0</v>
      </c>
      <c r="T64" s="193">
        <f t="shared" si="3"/>
        <v>0</v>
      </c>
      <c r="U64" s="192">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89"/>
      <c r="C66" s="489"/>
      <c r="D66" s="489"/>
      <c r="E66" s="489"/>
      <c r="F66" s="489"/>
      <c r="G66" s="489"/>
      <c r="H66" s="489"/>
      <c r="I66" s="489"/>
      <c r="J66" s="164"/>
      <c r="K66" s="164"/>
      <c r="L66" s="164"/>
      <c r="M66" s="164"/>
      <c r="N66" s="164"/>
      <c r="O66" s="164"/>
      <c r="P66" s="164"/>
      <c r="Q66" s="164"/>
      <c r="R66" s="164"/>
      <c r="S66" s="164"/>
      <c r="T66" s="19"/>
    </row>
    <row r="67" spans="1:20" x14ac:dyDescent="0.25">
      <c r="A67" s="16"/>
      <c r="B67" s="16"/>
      <c r="C67" s="16"/>
      <c r="D67" s="16"/>
      <c r="E67" s="16"/>
      <c r="F67" s="16"/>
      <c r="T67" s="16"/>
    </row>
    <row r="68" spans="1:20" ht="50.25" customHeight="1" x14ac:dyDescent="0.25">
      <c r="A68" s="16"/>
      <c r="B68" s="488"/>
      <c r="C68" s="488"/>
      <c r="D68" s="488"/>
      <c r="E68" s="488"/>
      <c r="F68" s="488"/>
      <c r="G68" s="488"/>
      <c r="H68" s="488"/>
      <c r="I68" s="488"/>
      <c r="J68" s="165"/>
      <c r="K68" s="165"/>
      <c r="L68" s="165"/>
      <c r="M68" s="165"/>
      <c r="N68" s="165"/>
      <c r="O68" s="165"/>
      <c r="P68" s="165"/>
      <c r="Q68" s="165"/>
      <c r="R68" s="165"/>
      <c r="S68" s="165"/>
      <c r="T68" s="16"/>
    </row>
    <row r="69" spans="1:20" x14ac:dyDescent="0.25">
      <c r="A69" s="16"/>
      <c r="B69" s="16"/>
      <c r="C69" s="16"/>
      <c r="D69" s="16"/>
      <c r="E69" s="16"/>
      <c r="F69" s="16"/>
      <c r="T69" s="16"/>
    </row>
    <row r="70" spans="1:20" ht="36.75" customHeight="1" x14ac:dyDescent="0.25">
      <c r="A70" s="16"/>
      <c r="B70" s="489"/>
      <c r="C70" s="489"/>
      <c r="D70" s="489"/>
      <c r="E70" s="489"/>
      <c r="F70" s="489"/>
      <c r="G70" s="489"/>
      <c r="H70" s="489"/>
      <c r="I70" s="489"/>
      <c r="J70" s="164"/>
      <c r="K70" s="164"/>
      <c r="L70" s="164"/>
      <c r="M70" s="164"/>
      <c r="N70" s="164"/>
      <c r="O70" s="164"/>
      <c r="P70" s="164"/>
      <c r="Q70" s="164"/>
      <c r="R70" s="164"/>
      <c r="S70" s="164"/>
      <c r="T70" s="16"/>
    </row>
    <row r="71" spans="1:20" x14ac:dyDescent="0.25">
      <c r="A71" s="16"/>
      <c r="B71" s="18"/>
      <c r="C71" s="18"/>
      <c r="D71" s="18"/>
      <c r="E71" s="18"/>
      <c r="F71" s="18"/>
      <c r="T71" s="16"/>
    </row>
    <row r="72" spans="1:20" ht="51" customHeight="1" x14ac:dyDescent="0.25">
      <c r="A72" s="16"/>
      <c r="B72" s="489"/>
      <c r="C72" s="489"/>
      <c r="D72" s="489"/>
      <c r="E72" s="489"/>
      <c r="F72" s="489"/>
      <c r="G72" s="489"/>
      <c r="H72" s="489"/>
      <c r="I72" s="489"/>
      <c r="J72" s="164"/>
      <c r="K72" s="164"/>
      <c r="L72" s="164"/>
      <c r="M72" s="164"/>
      <c r="N72" s="164"/>
      <c r="O72" s="164"/>
      <c r="P72" s="164"/>
      <c r="Q72" s="164"/>
      <c r="R72" s="164"/>
      <c r="S72" s="164"/>
      <c r="T72" s="16"/>
    </row>
    <row r="73" spans="1:20" ht="32.25" customHeight="1" x14ac:dyDescent="0.25">
      <c r="A73" s="16"/>
      <c r="B73" s="488"/>
      <c r="C73" s="488"/>
      <c r="D73" s="488"/>
      <c r="E73" s="488"/>
      <c r="F73" s="488"/>
      <c r="G73" s="488"/>
      <c r="H73" s="488"/>
      <c r="I73" s="488"/>
      <c r="J73" s="165"/>
      <c r="K73" s="165"/>
      <c r="L73" s="165"/>
      <c r="M73" s="165"/>
      <c r="N73" s="165"/>
      <c r="O73" s="165"/>
      <c r="P73" s="165"/>
      <c r="Q73" s="165"/>
      <c r="R73" s="165"/>
      <c r="S73" s="165"/>
      <c r="T73" s="16"/>
    </row>
    <row r="74" spans="1:20" ht="51.75" customHeight="1" x14ac:dyDescent="0.25">
      <c r="A74" s="16"/>
      <c r="B74" s="489"/>
      <c r="C74" s="489"/>
      <c r="D74" s="489"/>
      <c r="E74" s="489"/>
      <c r="F74" s="489"/>
      <c r="G74" s="489"/>
      <c r="H74" s="489"/>
      <c r="I74" s="489"/>
      <c r="J74" s="164"/>
      <c r="K74" s="164"/>
      <c r="L74" s="164"/>
      <c r="M74" s="164"/>
      <c r="N74" s="164"/>
      <c r="O74" s="164"/>
      <c r="P74" s="164"/>
      <c r="Q74" s="164"/>
      <c r="R74" s="164"/>
      <c r="S74" s="164"/>
      <c r="T74" s="16"/>
    </row>
    <row r="75" spans="1:20" ht="21.75" customHeight="1" x14ac:dyDescent="0.25">
      <c r="A75" s="16"/>
      <c r="B75" s="490"/>
      <c r="C75" s="490"/>
      <c r="D75" s="490"/>
      <c r="E75" s="490"/>
      <c r="F75" s="490"/>
      <c r="G75" s="490"/>
      <c r="H75" s="490"/>
      <c r="I75" s="490"/>
      <c r="J75" s="162"/>
      <c r="K75" s="162"/>
      <c r="L75" s="162"/>
      <c r="M75" s="162"/>
      <c r="N75" s="162"/>
      <c r="O75" s="162"/>
      <c r="P75" s="162"/>
      <c r="Q75" s="162"/>
      <c r="R75" s="162"/>
      <c r="S75" s="162"/>
      <c r="T75" s="16"/>
    </row>
    <row r="76" spans="1:20" ht="23.25" customHeight="1" x14ac:dyDescent="0.25">
      <c r="A76" s="16"/>
      <c r="B76" s="17"/>
      <c r="C76" s="17"/>
      <c r="D76" s="17"/>
      <c r="E76" s="17"/>
      <c r="F76" s="17"/>
      <c r="T76" s="16"/>
    </row>
    <row r="77" spans="1:20" ht="18.75" customHeight="1" x14ac:dyDescent="0.25">
      <c r="A77" s="16"/>
      <c r="B77" s="487"/>
      <c r="C77" s="487"/>
      <c r="D77" s="487"/>
      <c r="E77" s="487"/>
      <c r="F77" s="487"/>
      <c r="G77" s="487"/>
      <c r="H77" s="487"/>
      <c r="I77" s="487"/>
      <c r="J77" s="163"/>
      <c r="K77" s="163"/>
      <c r="L77" s="163"/>
      <c r="M77" s="163"/>
      <c r="N77" s="163"/>
      <c r="O77" s="163"/>
      <c r="P77" s="163"/>
      <c r="Q77" s="163"/>
      <c r="R77" s="163"/>
      <c r="S77" s="163"/>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9" priority="31" operator="notEqual">
      <formula>0</formula>
    </cfRule>
  </conditionalFormatting>
  <conditionalFormatting sqref="S52 L52:N52">
    <cfRule type="cellIs" dxfId="48" priority="41" operator="notEqual">
      <formula>0</formula>
    </cfRule>
  </conditionalFormatting>
  <conditionalFormatting sqref="Q31:R34 L31:N34">
    <cfRule type="cellIs" dxfId="47" priority="39" operator="notEqual">
      <formula>0</formula>
    </cfRule>
  </conditionalFormatting>
  <conditionalFormatting sqref="J58:N64 J51:M51 J43:M43 J35:N35 S31:S34 Q25:S30 Q35:S35 Q51:S51 Q43:S43 Q58:S64 J25:N30 J31:K34">
    <cfRule type="cellIs" dxfId="46" priority="59" operator="notEqual">
      <formula>0</formula>
    </cfRule>
  </conditionalFormatting>
  <conditionalFormatting sqref="U24:U64">
    <cfRule type="cellIs" dxfId="45" priority="58" operator="notEqual">
      <formula>0</formula>
    </cfRule>
  </conditionalFormatting>
  <conditionalFormatting sqref="J24:N24 Q24:S24">
    <cfRule type="cellIs" dxfId="44" priority="57" operator="notEqual">
      <formula>0</formula>
    </cfRule>
  </conditionalFormatting>
  <conditionalFormatting sqref="T24:T64">
    <cfRule type="cellIs" dxfId="43" priority="56" operator="notEqual">
      <formula>0</formula>
    </cfRule>
  </conditionalFormatting>
  <conditionalFormatting sqref="S53:S57 J52:K57">
    <cfRule type="cellIs" dxfId="42" priority="44" operator="notEqual">
      <formula>0</formula>
    </cfRule>
  </conditionalFormatting>
  <conditionalFormatting sqref="N43 N51">
    <cfRule type="cellIs" dxfId="41" priority="55" operator="notEqual">
      <formula>0</formula>
    </cfRule>
  </conditionalFormatting>
  <conditionalFormatting sqref="J24:N24 Q24:S24">
    <cfRule type="cellIs" dxfId="40" priority="53" operator="notEqual">
      <formula>0</formula>
    </cfRule>
  </conditionalFormatting>
  <conditionalFormatting sqref="J36:K42">
    <cfRule type="cellIs" dxfId="39" priority="52" operator="notEqual">
      <formula>0</formula>
    </cfRule>
  </conditionalFormatting>
  <conditionalFormatting sqref="J44:K50">
    <cfRule type="cellIs" dxfId="38" priority="51" operator="notEqual">
      <formula>0</formula>
    </cfRule>
  </conditionalFormatting>
  <conditionalFormatting sqref="L53:N57">
    <cfRule type="cellIs" dxfId="37" priority="42" operator="notEqual">
      <formula>0</formula>
    </cfRule>
  </conditionalFormatting>
  <conditionalFormatting sqref="Q52:R57">
    <cfRule type="cellIs" dxfId="36" priority="38" operator="notEqual">
      <formula>0</formula>
    </cfRule>
  </conditionalFormatting>
  <conditionalFormatting sqref="S44:S50">
    <cfRule type="cellIs" dxfId="35" priority="37" operator="notEqual">
      <formula>0</formula>
    </cfRule>
  </conditionalFormatting>
  <conditionalFormatting sqref="L44:N50">
    <cfRule type="cellIs" dxfId="34" priority="36" operator="notEqual">
      <formula>0</formula>
    </cfRule>
  </conditionalFormatting>
  <conditionalFormatting sqref="Q44:R50">
    <cfRule type="cellIs" dxfId="33" priority="35" operator="notEqual">
      <formula>0</formula>
    </cfRule>
  </conditionalFormatting>
  <conditionalFormatting sqref="S36:S42">
    <cfRule type="cellIs" dxfId="32" priority="34" operator="notEqual">
      <formula>0</formula>
    </cfRule>
  </conditionalFormatting>
  <conditionalFormatting sqref="L36:N42">
    <cfRule type="cellIs" dxfId="31" priority="33" operator="notEqual">
      <formula>0</formula>
    </cfRule>
  </conditionalFormatting>
  <conditionalFormatting sqref="Q36:R42">
    <cfRule type="cellIs" dxfId="30" priority="32" operator="notEqual">
      <formula>0</formula>
    </cfRule>
  </conditionalFormatting>
  <conditionalFormatting sqref="P31:P34">
    <cfRule type="cellIs" dxfId="29" priority="28" operator="notEqual">
      <formula>0</formula>
    </cfRule>
  </conditionalFormatting>
  <conditionalFormatting sqref="P24">
    <cfRule type="cellIs" dxfId="28" priority="30" operator="notEqual">
      <formula>0</formula>
    </cfRule>
  </conditionalFormatting>
  <conditionalFormatting sqref="P24">
    <cfRule type="cellIs" dxfId="27" priority="29" operator="notEqual">
      <formula>0</formula>
    </cfRule>
  </conditionalFormatting>
  <conditionalFormatting sqref="P52:P57">
    <cfRule type="cellIs" dxfId="26" priority="27" operator="notEqual">
      <formula>0</formula>
    </cfRule>
  </conditionalFormatting>
  <conditionalFormatting sqref="P44:P50">
    <cfRule type="cellIs" dxfId="25" priority="26" operator="notEqual">
      <formula>0</formula>
    </cfRule>
  </conditionalFormatting>
  <conditionalFormatting sqref="P36:P42">
    <cfRule type="cellIs" dxfId="24" priority="25" operator="notEqual">
      <formula>0</formula>
    </cfRule>
  </conditionalFormatting>
  <conditionalFormatting sqref="C52:H52">
    <cfRule type="cellIs" dxfId="23" priority="20" operator="notEqual">
      <formula>0</formula>
    </cfRule>
  </conditionalFormatting>
  <conditionalFormatting sqref="C31:H34">
    <cfRule type="cellIs" dxfId="22" priority="19" operator="notEqual">
      <formula>0</formula>
    </cfRule>
  </conditionalFormatting>
  <conditionalFormatting sqref="C58:H64 C51:H51 C43:H43 C35:H35 C25:H30">
    <cfRule type="cellIs" dxfId="21" priority="24" operator="notEqual">
      <formula>0</formula>
    </cfRule>
  </conditionalFormatting>
  <conditionalFormatting sqref="C24:H24">
    <cfRule type="cellIs" dxfId="20" priority="23" operator="notEqual">
      <formula>0</formula>
    </cfRule>
  </conditionalFormatting>
  <conditionalFormatting sqref="C24:H24">
    <cfRule type="cellIs" dxfId="19" priority="22" operator="notEqual">
      <formula>0</formula>
    </cfRule>
  </conditionalFormatting>
  <conditionalFormatting sqref="C53:H57">
    <cfRule type="cellIs" dxfId="18" priority="21" operator="notEqual">
      <formula>0</formula>
    </cfRule>
  </conditionalFormatting>
  <conditionalFormatting sqref="C44:H50">
    <cfRule type="cellIs" dxfId="17" priority="18" operator="notEqual">
      <formula>0</formula>
    </cfRule>
  </conditionalFormatting>
  <conditionalFormatting sqref="C36:H42">
    <cfRule type="cellIs" dxfId="16" priority="17" operator="notEqual">
      <formula>0</formula>
    </cfRule>
  </conditionalFormatting>
  <conditionalFormatting sqref="I52">
    <cfRule type="cellIs" dxfId="15" priority="12" operator="notEqual">
      <formula>0</formula>
    </cfRule>
  </conditionalFormatting>
  <conditionalFormatting sqref="I31:I34">
    <cfRule type="cellIs" dxfId="14" priority="11" operator="notEqual">
      <formula>0</formula>
    </cfRule>
  </conditionalFormatting>
  <conditionalFormatting sqref="I58:I64 I51 I43 I35 I25:I30">
    <cfRule type="cellIs" dxfId="13" priority="16" operator="notEqual">
      <formula>0</formula>
    </cfRule>
  </conditionalFormatting>
  <conditionalFormatting sqref="I24">
    <cfRule type="cellIs" dxfId="12" priority="15" operator="notEqual">
      <formula>0</formula>
    </cfRule>
  </conditionalFormatting>
  <conditionalFormatting sqref="I24">
    <cfRule type="cellIs" dxfId="11" priority="14" operator="notEqual">
      <formula>0</formula>
    </cfRule>
  </conditionalFormatting>
  <conditionalFormatting sqref="I53:I57">
    <cfRule type="cellIs" dxfId="10" priority="13" operator="notEqual">
      <formula>0</formula>
    </cfRule>
  </conditionalFormatting>
  <conditionalFormatting sqref="I44:I50">
    <cfRule type="cellIs" dxfId="9" priority="10" operator="notEqual">
      <formula>0</formula>
    </cfRule>
  </conditionalFormatting>
  <conditionalFormatting sqref="I36:I42">
    <cfRule type="cellIs" dxfId="8" priority="9" operator="notEqual">
      <formula>0</formula>
    </cfRule>
  </conditionalFormatting>
  <conditionalFormatting sqref="O25:O30 O35 O51 O43 O58:O64">
    <cfRule type="cellIs" dxfId="6" priority="7" operator="notEqual">
      <formula>0</formula>
    </cfRule>
  </conditionalFormatting>
  <conditionalFormatting sqref="O31:O34">
    <cfRule type="cellIs" dxfId="5" priority="4" operator="notEqual">
      <formula>0</formula>
    </cfRule>
  </conditionalFormatting>
  <conditionalFormatting sqref="O24">
    <cfRule type="cellIs" dxfId="4" priority="6" operator="notEqual">
      <formula>0</formula>
    </cfRule>
  </conditionalFormatting>
  <conditionalFormatting sqref="O24">
    <cfRule type="cellIs" dxfId="3" priority="5" operator="notEqual">
      <formula>0</formula>
    </cfRule>
  </conditionalFormatting>
  <conditionalFormatting sqref="O52:O57">
    <cfRule type="cellIs" dxfId="2" priority="3" operator="notEqual">
      <formula>0</formula>
    </cfRule>
  </conditionalFormatting>
  <conditionalFormatting sqref="O44:O50">
    <cfRule type="cellIs" dxfId="1" priority="2" operator="notEqual">
      <formula>0</formula>
    </cfRule>
  </conditionalFormatting>
  <conditionalFormatting sqref="O36:O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4.140625"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0.28515625" style="131" customWidth="1"/>
    <col min="24" max="24" width="10.7109375" style="131" customWidth="1"/>
    <col min="25" max="25" width="22.7109375" style="131" customWidth="1"/>
    <col min="26" max="26" width="7.7109375" style="131" customWidth="1"/>
    <col min="27"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21.140625" style="131" customWidth="1"/>
    <col min="49" max="16384" width="9.140625" style="131"/>
  </cols>
  <sheetData>
    <row r="1" spans="1:48" s="200" customFormat="1" ht="18.75" x14ac:dyDescent="0.25">
      <c r="AV1" s="4" t="s">
        <v>66</v>
      </c>
    </row>
    <row r="2" spans="1:48" s="200" customFormat="1" ht="18.75" x14ac:dyDescent="0.3">
      <c r="AV2" s="1" t="s">
        <v>8</v>
      </c>
    </row>
    <row r="3" spans="1:48" s="200" customFormat="1" ht="18.75" x14ac:dyDescent="0.3">
      <c r="AV3" s="1" t="s">
        <v>65</v>
      </c>
    </row>
    <row r="4" spans="1:48" s="200" customFormat="1" ht="18.75" x14ac:dyDescent="0.3">
      <c r="AV4" s="1"/>
    </row>
    <row r="5" spans="1:48" s="200" customFormat="1"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s="200" customFormat="1" ht="18.75" x14ac:dyDescent="0.3">
      <c r="AV6" s="1"/>
    </row>
    <row r="7" spans="1:48" s="200" customFormat="1" ht="18.75" x14ac:dyDescent="0.25">
      <c r="A7" s="451" t="s">
        <v>7</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row>
    <row r="8" spans="1:48" s="200" customFormat="1" ht="18.75" x14ac:dyDescent="0.25">
      <c r="A8" s="451"/>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row>
    <row r="9" spans="1:48" s="200" customFormat="1" x14ac:dyDescent="0.25">
      <c r="A9" s="509" t="str">
        <f>'1. паспорт местоположение'!A9:C9</f>
        <v>Акционерное общество "Россети Янтарь"</v>
      </c>
      <c r="B9" s="509"/>
      <c r="C9" s="509"/>
      <c r="D9" s="509"/>
      <c r="E9" s="509"/>
      <c r="F9" s="509"/>
      <c r="G9" s="509"/>
      <c r="H9" s="509"/>
      <c r="I9" s="509"/>
      <c r="J9" s="509"/>
      <c r="K9" s="509"/>
      <c r="L9" s="509"/>
      <c r="M9" s="509"/>
      <c r="N9" s="509"/>
      <c r="O9" s="509"/>
      <c r="P9" s="509"/>
      <c r="Q9" s="509"/>
      <c r="R9" s="509"/>
      <c r="S9" s="509"/>
      <c r="T9" s="509"/>
      <c r="U9" s="509"/>
      <c r="V9" s="509"/>
      <c r="W9" s="509"/>
      <c r="X9" s="509"/>
      <c r="Y9" s="509"/>
      <c r="Z9" s="509"/>
      <c r="AA9" s="509"/>
      <c r="AB9" s="509"/>
      <c r="AC9" s="509"/>
      <c r="AD9" s="509"/>
      <c r="AE9" s="509"/>
      <c r="AF9" s="509"/>
      <c r="AG9" s="509"/>
      <c r="AH9" s="509"/>
      <c r="AI9" s="509"/>
      <c r="AJ9" s="509"/>
      <c r="AK9" s="509"/>
      <c r="AL9" s="509"/>
      <c r="AM9" s="509"/>
      <c r="AN9" s="509"/>
      <c r="AO9" s="509"/>
      <c r="AP9" s="509"/>
      <c r="AQ9" s="509"/>
      <c r="AR9" s="509"/>
      <c r="AS9" s="509"/>
      <c r="AT9" s="509"/>
      <c r="AU9" s="509"/>
      <c r="AV9" s="509"/>
    </row>
    <row r="10" spans="1:48" s="200" customFormat="1" ht="15.75" x14ac:dyDescent="0.25">
      <c r="A10" s="453" t="s">
        <v>6</v>
      </c>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3"/>
      <c r="AI10" s="453"/>
      <c r="AJ10" s="453"/>
      <c r="AK10" s="453"/>
      <c r="AL10" s="453"/>
      <c r="AM10" s="453"/>
      <c r="AN10" s="453"/>
      <c r="AO10" s="453"/>
      <c r="AP10" s="453"/>
      <c r="AQ10" s="453"/>
      <c r="AR10" s="453"/>
      <c r="AS10" s="453"/>
      <c r="AT10" s="453"/>
      <c r="AU10" s="453"/>
      <c r="AV10" s="453"/>
    </row>
    <row r="11" spans="1:48" s="200" customFormat="1" ht="18.75" x14ac:dyDescent="0.25">
      <c r="A11" s="451"/>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c r="AU11" s="451"/>
      <c r="AV11" s="451"/>
    </row>
    <row r="12" spans="1:48" s="200" customFormat="1" x14ac:dyDescent="0.25">
      <c r="A12" s="509" t="str">
        <f>'1. паспорт местоположение'!A12:C12</f>
        <v>M_21-0733</v>
      </c>
      <c r="B12" s="509"/>
      <c r="C12" s="509"/>
      <c r="D12" s="509"/>
      <c r="E12" s="509"/>
      <c r="F12" s="509"/>
      <c r="G12" s="509"/>
      <c r="H12" s="509"/>
      <c r="I12" s="509"/>
      <c r="J12" s="509"/>
      <c r="K12" s="509"/>
      <c r="L12" s="509"/>
      <c r="M12" s="509"/>
      <c r="N12" s="509"/>
      <c r="O12" s="509"/>
      <c r="P12" s="509"/>
      <c r="Q12" s="509"/>
      <c r="R12" s="509"/>
      <c r="S12" s="509"/>
      <c r="T12" s="509"/>
      <c r="U12" s="509"/>
      <c r="V12" s="509"/>
      <c r="W12" s="509"/>
      <c r="X12" s="509"/>
      <c r="Y12" s="509"/>
      <c r="Z12" s="509"/>
      <c r="AA12" s="509"/>
      <c r="AB12" s="509"/>
      <c r="AC12" s="509"/>
      <c r="AD12" s="509"/>
      <c r="AE12" s="509"/>
      <c r="AF12" s="509"/>
      <c r="AG12" s="509"/>
      <c r="AH12" s="509"/>
      <c r="AI12" s="509"/>
      <c r="AJ12" s="509"/>
      <c r="AK12" s="509"/>
      <c r="AL12" s="509"/>
      <c r="AM12" s="509"/>
      <c r="AN12" s="509"/>
      <c r="AO12" s="509"/>
      <c r="AP12" s="509"/>
      <c r="AQ12" s="509"/>
      <c r="AR12" s="509"/>
      <c r="AS12" s="509"/>
      <c r="AT12" s="509"/>
      <c r="AU12" s="509"/>
      <c r="AV12" s="509"/>
    </row>
    <row r="13" spans="1:48" s="200" customFormat="1" ht="15.75" x14ac:dyDescent="0.25">
      <c r="A13" s="453" t="s">
        <v>5</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c r="AS13" s="453"/>
      <c r="AT13" s="453"/>
      <c r="AU13" s="453"/>
      <c r="AV13" s="453"/>
    </row>
    <row r="14" spans="1:48" s="200" customFormat="1" ht="18.75" x14ac:dyDescent="0.25">
      <c r="A14" s="510"/>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c r="AD14" s="510"/>
      <c r="AE14" s="510"/>
      <c r="AF14" s="510"/>
      <c r="AG14" s="510"/>
      <c r="AH14" s="510"/>
      <c r="AI14" s="510"/>
      <c r="AJ14" s="510"/>
      <c r="AK14" s="510"/>
      <c r="AL14" s="510"/>
      <c r="AM14" s="510"/>
      <c r="AN14" s="510"/>
      <c r="AO14" s="510"/>
      <c r="AP14" s="510"/>
      <c r="AQ14" s="510"/>
      <c r="AR14" s="510"/>
      <c r="AS14" s="510"/>
      <c r="AT14" s="510"/>
      <c r="AU14" s="510"/>
      <c r="AV14" s="510"/>
    </row>
    <row r="15" spans="1:48" s="200" customFormat="1" x14ac:dyDescent="0.25">
      <c r="A15" s="509" t="str">
        <f>'1. паспорт местоположение'!A15</f>
        <v>Строительство ТП 15/0,4 кВ, ЛЭП 15 кВ от ВЛ 15-141 (инв. № 5114675), организация системы учета электроэнергии в п. Кумачево, ул. Березовая Гурьевского района</v>
      </c>
      <c r="B15" s="509"/>
      <c r="C15" s="509"/>
      <c r="D15" s="509"/>
      <c r="E15" s="509"/>
      <c r="F15" s="509"/>
      <c r="G15" s="509"/>
      <c r="H15" s="509"/>
      <c r="I15" s="509"/>
      <c r="J15" s="509"/>
      <c r="K15" s="509"/>
      <c r="L15" s="509"/>
      <c r="M15" s="509"/>
      <c r="N15" s="509"/>
      <c r="O15" s="509"/>
      <c r="P15" s="509"/>
      <c r="Q15" s="509"/>
      <c r="R15" s="509"/>
      <c r="S15" s="509"/>
      <c r="T15" s="509"/>
      <c r="U15" s="509"/>
      <c r="V15" s="509"/>
      <c r="W15" s="509"/>
      <c r="X15" s="509"/>
      <c r="Y15" s="509"/>
      <c r="Z15" s="509"/>
      <c r="AA15" s="509"/>
      <c r="AB15" s="509"/>
      <c r="AC15" s="509"/>
      <c r="AD15" s="509"/>
      <c r="AE15" s="509"/>
      <c r="AF15" s="509"/>
      <c r="AG15" s="509"/>
      <c r="AH15" s="509"/>
      <c r="AI15" s="509"/>
      <c r="AJ15" s="509"/>
      <c r="AK15" s="509"/>
      <c r="AL15" s="509"/>
      <c r="AM15" s="509"/>
      <c r="AN15" s="509"/>
      <c r="AO15" s="509"/>
      <c r="AP15" s="509"/>
      <c r="AQ15" s="509"/>
      <c r="AR15" s="509"/>
      <c r="AS15" s="509"/>
      <c r="AT15" s="509"/>
      <c r="AU15" s="509"/>
      <c r="AV15" s="509"/>
    </row>
    <row r="16" spans="1:48" s="200" customFormat="1" ht="15.75" x14ac:dyDescent="0.25">
      <c r="A16" s="453" t="s">
        <v>4</v>
      </c>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c r="AH16" s="453"/>
      <c r="AI16" s="453"/>
      <c r="AJ16" s="453"/>
      <c r="AK16" s="453"/>
      <c r="AL16" s="453"/>
      <c r="AM16" s="453"/>
      <c r="AN16" s="453"/>
      <c r="AO16" s="453"/>
      <c r="AP16" s="453"/>
      <c r="AQ16" s="453"/>
      <c r="AR16" s="453"/>
      <c r="AS16" s="453"/>
      <c r="AT16" s="453"/>
      <c r="AU16" s="453"/>
      <c r="AV16" s="453"/>
    </row>
    <row r="17" spans="1:48" s="200" customFormat="1" x14ac:dyDescent="0.25">
      <c r="A17" s="507"/>
      <c r="B17" s="507"/>
      <c r="C17" s="507"/>
      <c r="D17" s="507"/>
      <c r="E17" s="507"/>
      <c r="F17" s="507"/>
      <c r="G17" s="507"/>
      <c r="H17" s="507"/>
      <c r="I17" s="507"/>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row>
    <row r="18" spans="1:48" s="200" customFormat="1" ht="14.25" customHeight="1" x14ac:dyDescent="0.25">
      <c r="A18" s="507"/>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7"/>
      <c r="AL18" s="507"/>
      <c r="AM18" s="507"/>
      <c r="AN18" s="507"/>
      <c r="AO18" s="507"/>
      <c r="AP18" s="507"/>
      <c r="AQ18" s="507"/>
      <c r="AR18" s="507"/>
      <c r="AS18" s="507"/>
      <c r="AT18" s="507"/>
      <c r="AU18" s="507"/>
      <c r="AV18" s="507"/>
    </row>
    <row r="19" spans="1:48" s="200" customFormat="1" x14ac:dyDescent="0.25">
      <c r="A19" s="507"/>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507"/>
      <c r="AB19" s="507"/>
      <c r="AC19" s="507"/>
      <c r="AD19" s="507"/>
      <c r="AE19" s="507"/>
      <c r="AF19" s="507"/>
      <c r="AG19" s="507"/>
      <c r="AH19" s="507"/>
      <c r="AI19" s="507"/>
      <c r="AJ19" s="507"/>
      <c r="AK19" s="507"/>
      <c r="AL19" s="507"/>
      <c r="AM19" s="507"/>
      <c r="AN19" s="507"/>
      <c r="AO19" s="507"/>
      <c r="AP19" s="507"/>
      <c r="AQ19" s="507"/>
      <c r="AR19" s="507"/>
      <c r="AS19" s="507"/>
      <c r="AT19" s="507"/>
      <c r="AU19" s="507"/>
      <c r="AV19" s="507"/>
    </row>
    <row r="20" spans="1:48" s="201" customFormat="1" x14ac:dyDescent="0.25">
      <c r="A20" s="508"/>
      <c r="B20" s="508"/>
      <c r="C20" s="508"/>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8"/>
      <c r="AM20" s="508"/>
      <c r="AN20" s="508"/>
      <c r="AO20" s="508"/>
      <c r="AP20" s="508"/>
      <c r="AQ20" s="508"/>
      <c r="AR20" s="508"/>
      <c r="AS20" s="508"/>
      <c r="AT20" s="508"/>
      <c r="AU20" s="508"/>
      <c r="AV20" s="508"/>
    </row>
    <row r="21" spans="1:48" s="201" customFormat="1" x14ac:dyDescent="0.25">
      <c r="A21" s="511" t="s">
        <v>372</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132" customFormat="1" ht="58.5" customHeight="1" x14ac:dyDescent="0.25">
      <c r="A22" s="512" t="s">
        <v>50</v>
      </c>
      <c r="B22" s="515" t="s">
        <v>22</v>
      </c>
      <c r="C22" s="512" t="s">
        <v>49</v>
      </c>
      <c r="D22" s="512" t="s">
        <v>48</v>
      </c>
      <c r="E22" s="518" t="s">
        <v>381</v>
      </c>
      <c r="F22" s="519"/>
      <c r="G22" s="519"/>
      <c r="H22" s="519"/>
      <c r="I22" s="519"/>
      <c r="J22" s="519"/>
      <c r="K22" s="519"/>
      <c r="L22" s="520"/>
      <c r="M22" s="512" t="s">
        <v>47</v>
      </c>
      <c r="N22" s="512" t="s">
        <v>46</v>
      </c>
      <c r="O22" s="512" t="s">
        <v>45</v>
      </c>
      <c r="P22" s="521" t="s">
        <v>208</v>
      </c>
      <c r="Q22" s="521" t="s">
        <v>44</v>
      </c>
      <c r="R22" s="521" t="s">
        <v>43</v>
      </c>
      <c r="S22" s="521" t="s">
        <v>42</v>
      </c>
      <c r="T22" s="521"/>
      <c r="U22" s="522" t="s">
        <v>41</v>
      </c>
      <c r="V22" s="522" t="s">
        <v>40</v>
      </c>
      <c r="W22" s="521" t="s">
        <v>39</v>
      </c>
      <c r="X22" s="521" t="s">
        <v>38</v>
      </c>
      <c r="Y22" s="521" t="s">
        <v>37</v>
      </c>
      <c r="Z22" s="533"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1" t="s">
        <v>23</v>
      </c>
    </row>
    <row r="23" spans="1:48" s="132" customFormat="1" ht="64.5" customHeight="1" x14ac:dyDescent="0.25">
      <c r="A23" s="513"/>
      <c r="B23" s="516"/>
      <c r="C23" s="513"/>
      <c r="D23" s="513"/>
      <c r="E23" s="525" t="s">
        <v>21</v>
      </c>
      <c r="F23" s="527" t="s">
        <v>125</v>
      </c>
      <c r="G23" s="527" t="s">
        <v>124</v>
      </c>
      <c r="H23" s="527" t="s">
        <v>123</v>
      </c>
      <c r="I23" s="531" t="s">
        <v>318</v>
      </c>
      <c r="J23" s="531" t="s">
        <v>319</v>
      </c>
      <c r="K23" s="531" t="s">
        <v>320</v>
      </c>
      <c r="L23" s="527" t="s">
        <v>74</v>
      </c>
      <c r="M23" s="513"/>
      <c r="N23" s="513"/>
      <c r="O23" s="513"/>
      <c r="P23" s="521"/>
      <c r="Q23" s="521"/>
      <c r="R23" s="521"/>
      <c r="S23" s="529" t="s">
        <v>2</v>
      </c>
      <c r="T23" s="529"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1"/>
    </row>
    <row r="24" spans="1:48" s="132" customFormat="1" ht="96.75" customHeight="1" x14ac:dyDescent="0.25">
      <c r="A24" s="514"/>
      <c r="B24" s="517"/>
      <c r="C24" s="514"/>
      <c r="D24" s="514"/>
      <c r="E24" s="526"/>
      <c r="F24" s="528"/>
      <c r="G24" s="528"/>
      <c r="H24" s="528"/>
      <c r="I24" s="532"/>
      <c r="J24" s="532"/>
      <c r="K24" s="532"/>
      <c r="L24" s="528"/>
      <c r="M24" s="514"/>
      <c r="N24" s="514"/>
      <c r="O24" s="514"/>
      <c r="P24" s="521"/>
      <c r="Q24" s="521"/>
      <c r="R24" s="521"/>
      <c r="S24" s="530"/>
      <c r="T24" s="530"/>
      <c r="U24" s="522"/>
      <c r="V24" s="522"/>
      <c r="W24" s="521"/>
      <c r="X24" s="521"/>
      <c r="Y24" s="521"/>
      <c r="Z24" s="521"/>
      <c r="AA24" s="521"/>
      <c r="AB24" s="521"/>
      <c r="AC24" s="521"/>
      <c r="AD24" s="521"/>
      <c r="AE24" s="521"/>
      <c r="AF24" s="133" t="s">
        <v>11</v>
      </c>
      <c r="AG24" s="133" t="s">
        <v>10</v>
      </c>
      <c r="AH24" s="134" t="s">
        <v>2</v>
      </c>
      <c r="AI24" s="134" t="s">
        <v>9</v>
      </c>
      <c r="AJ24" s="514"/>
      <c r="AK24" s="514"/>
      <c r="AL24" s="514"/>
      <c r="AM24" s="514"/>
      <c r="AN24" s="514"/>
      <c r="AO24" s="514"/>
      <c r="AP24" s="514"/>
      <c r="AQ24" s="524"/>
      <c r="AR24" s="521"/>
      <c r="AS24" s="521"/>
      <c r="AT24" s="521"/>
      <c r="AU24" s="521"/>
      <c r="AV24" s="521"/>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4" customFormat="1" ht="51" x14ac:dyDescent="0.25">
      <c r="A26" s="205">
        <v>1</v>
      </c>
      <c r="B26" s="206" t="s">
        <v>388</v>
      </c>
      <c r="C26" s="206">
        <v>1</v>
      </c>
      <c r="D26" s="207">
        <f>'6.1. Паспорт сетевой график'!F53</f>
        <v>44926</v>
      </c>
      <c r="E26" s="206"/>
      <c r="F26" s="206"/>
      <c r="G26" s="206">
        <f>'3.1. паспорт Техсостояние ПС'!O24</f>
        <v>0.16</v>
      </c>
      <c r="H26" s="206"/>
      <c r="I26" s="208"/>
      <c r="J26" s="208"/>
      <c r="K26" s="206">
        <f>'3.2 паспорт Техсостояние ЛЭП'!R26</f>
        <v>0.14199999999999999</v>
      </c>
      <c r="L26" s="206"/>
      <c r="M26" s="209" t="s">
        <v>594</v>
      </c>
      <c r="N26" s="210" t="s">
        <v>617</v>
      </c>
      <c r="O26" s="206" t="s">
        <v>618</v>
      </c>
      <c r="P26" s="212">
        <v>2793.21</v>
      </c>
      <c r="Q26" s="211" t="s">
        <v>619</v>
      </c>
      <c r="R26" s="212">
        <v>2793.21</v>
      </c>
      <c r="S26" s="335" t="s">
        <v>592</v>
      </c>
      <c r="T26" s="335" t="s">
        <v>620</v>
      </c>
      <c r="U26" s="209" t="s">
        <v>62</v>
      </c>
      <c r="V26" s="209" t="s">
        <v>62</v>
      </c>
      <c r="W26" s="211" t="s">
        <v>621</v>
      </c>
      <c r="X26" s="329" t="s">
        <v>622</v>
      </c>
      <c r="Y26" s="211"/>
      <c r="Z26" s="209"/>
      <c r="AA26" s="212"/>
      <c r="AB26" s="212">
        <v>2793.21</v>
      </c>
      <c r="AC26" s="211" t="s">
        <v>621</v>
      </c>
      <c r="AD26" s="212">
        <f>'8. Общие сведения'!B33*1000</f>
        <v>2044.4790600000001</v>
      </c>
      <c r="AE26" s="212">
        <f>AD26</f>
        <v>2044.4790600000001</v>
      </c>
      <c r="AF26" s="336" t="s">
        <v>623</v>
      </c>
      <c r="AG26" s="337" t="s">
        <v>593</v>
      </c>
      <c r="AH26" s="213">
        <v>44538</v>
      </c>
      <c r="AI26" s="213">
        <v>44538</v>
      </c>
      <c r="AJ26" s="213">
        <v>44554</v>
      </c>
      <c r="AK26" s="213">
        <v>44596</v>
      </c>
      <c r="AL26" s="209" t="s">
        <v>624</v>
      </c>
      <c r="AM26" s="209" t="s">
        <v>625</v>
      </c>
      <c r="AN26" s="209" t="s">
        <v>626</v>
      </c>
      <c r="AO26" s="209" t="s">
        <v>59</v>
      </c>
      <c r="AP26" s="213" t="s">
        <v>627</v>
      </c>
      <c r="AQ26" s="213" t="s">
        <v>627</v>
      </c>
      <c r="AR26" s="213" t="s">
        <v>627</v>
      </c>
      <c r="AS26" s="213" t="s">
        <v>627</v>
      </c>
      <c r="AT26" s="213" t="s">
        <v>628</v>
      </c>
      <c r="AU26" s="211"/>
      <c r="AV26" s="211" t="s">
        <v>597</v>
      </c>
    </row>
    <row r="27" spans="1:48" s="219" customFormat="1" ht="12.75" x14ac:dyDescent="0.25">
      <c r="A27" s="215"/>
      <c r="B27" s="216"/>
      <c r="C27" s="216"/>
      <c r="D27" s="217"/>
      <c r="E27" s="216"/>
      <c r="F27" s="216"/>
      <c r="G27" s="216"/>
      <c r="H27" s="216"/>
      <c r="I27" s="218"/>
      <c r="J27" s="218"/>
      <c r="K27" s="216"/>
      <c r="L27" s="216"/>
      <c r="M27" s="209"/>
      <c r="N27" s="211"/>
      <c r="O27" s="209"/>
      <c r="P27" s="212"/>
      <c r="Q27" s="211"/>
      <c r="R27" s="212"/>
      <c r="S27" s="211"/>
      <c r="T27" s="211"/>
      <c r="U27" s="209"/>
      <c r="V27" s="209"/>
      <c r="W27" s="211"/>
      <c r="X27" s="329"/>
      <c r="Y27" s="211"/>
      <c r="Z27" s="209"/>
      <c r="AA27" s="212"/>
      <c r="AB27" s="212"/>
      <c r="AC27" s="209"/>
      <c r="AD27" s="212"/>
      <c r="AE27" s="212"/>
      <c r="AF27" s="209"/>
      <c r="AG27" s="209"/>
      <c r="AH27" s="213"/>
      <c r="AI27" s="213"/>
      <c r="AJ27" s="213"/>
      <c r="AK27" s="213"/>
      <c r="AL27" s="209"/>
      <c r="AM27" s="209"/>
      <c r="AN27" s="209"/>
      <c r="AO27" s="209"/>
      <c r="AP27" s="209"/>
      <c r="AQ27" s="209"/>
      <c r="AR27" s="209"/>
      <c r="AS27" s="209"/>
      <c r="AT27" s="209"/>
      <c r="AU27" s="209"/>
      <c r="AV27" s="209"/>
    </row>
    <row r="28" spans="1:48" s="219" customFormat="1" ht="12.75" x14ac:dyDescent="0.25">
      <c r="A28" s="215"/>
      <c r="B28" s="206"/>
      <c r="C28" s="206"/>
      <c r="D28" s="207"/>
      <c r="E28" s="206"/>
      <c r="F28" s="206"/>
      <c r="G28" s="206"/>
      <c r="H28" s="206"/>
      <c r="I28" s="208"/>
      <c r="J28" s="208"/>
      <c r="K28" s="206"/>
      <c r="L28" s="206"/>
      <c r="M28" s="216"/>
      <c r="N28" s="216"/>
      <c r="O28" s="216"/>
      <c r="P28" s="212"/>
      <c r="Q28" s="216"/>
      <c r="R28" s="216"/>
      <c r="S28" s="216"/>
      <c r="T28" s="216"/>
      <c r="U28" s="216"/>
      <c r="V28" s="216"/>
      <c r="W28" s="216"/>
      <c r="X28" s="212"/>
      <c r="Y28" s="216"/>
      <c r="Z28" s="216"/>
      <c r="AA28" s="212"/>
      <c r="AB28" s="212"/>
      <c r="AC28" s="216"/>
      <c r="AD28" s="212"/>
      <c r="AE28" s="212"/>
      <c r="AF28" s="217"/>
      <c r="AG28" s="216"/>
      <c r="AH28" s="217"/>
      <c r="AI28" s="217"/>
      <c r="AJ28" s="217"/>
      <c r="AK28" s="217"/>
      <c r="AL28" s="216"/>
      <c r="AM28" s="216"/>
      <c r="AN28" s="216"/>
      <c r="AO28" s="216"/>
      <c r="AP28" s="216"/>
      <c r="AQ28" s="216"/>
      <c r="AR28" s="216"/>
      <c r="AS28" s="216"/>
      <c r="AT28" s="216"/>
      <c r="AU28" s="216"/>
      <c r="AV28" s="216"/>
    </row>
    <row r="29" spans="1:48" s="219" customFormat="1" ht="12.75" x14ac:dyDescent="0.25">
      <c r="A29" s="215"/>
      <c r="B29" s="206"/>
      <c r="C29" s="206"/>
      <c r="D29" s="207"/>
      <c r="E29" s="206"/>
      <c r="F29" s="206"/>
      <c r="G29" s="206"/>
      <c r="H29" s="206"/>
      <c r="I29" s="208"/>
      <c r="J29" s="208"/>
      <c r="K29" s="206"/>
      <c r="L29" s="206"/>
      <c r="M29" s="216"/>
      <c r="N29" s="216"/>
      <c r="O29" s="216"/>
      <c r="P29" s="212"/>
      <c r="Q29" s="216"/>
      <c r="R29" s="216"/>
      <c r="S29" s="216"/>
      <c r="T29" s="216"/>
      <c r="U29" s="216"/>
      <c r="V29" s="216"/>
      <c r="W29" s="216"/>
      <c r="X29" s="212"/>
      <c r="Y29" s="216"/>
      <c r="Z29" s="216"/>
      <c r="AA29" s="212"/>
      <c r="AB29" s="212"/>
      <c r="AC29" s="216"/>
      <c r="AD29" s="212"/>
      <c r="AE29" s="212"/>
      <c r="AF29" s="217"/>
      <c r="AG29" s="216"/>
      <c r="AH29" s="217"/>
      <c r="AI29" s="217"/>
      <c r="AJ29" s="217"/>
      <c r="AK29" s="217"/>
      <c r="AL29" s="216"/>
      <c r="AM29" s="216"/>
      <c r="AN29" s="216"/>
      <c r="AO29" s="216"/>
      <c r="AP29" s="216"/>
      <c r="AQ29" s="216"/>
      <c r="AR29" s="216"/>
      <c r="AS29" s="216"/>
      <c r="AT29" s="216"/>
      <c r="AU29" s="216"/>
      <c r="AV29" s="216"/>
    </row>
    <row r="30" spans="1:48" s="219" customFormat="1" ht="12.75" x14ac:dyDescent="0.25">
      <c r="A30" s="215"/>
      <c r="B30" s="206"/>
      <c r="C30" s="206"/>
      <c r="D30" s="207"/>
      <c r="E30" s="206"/>
      <c r="F30" s="206"/>
      <c r="G30" s="206"/>
      <c r="H30" s="206"/>
      <c r="I30" s="208"/>
      <c r="J30" s="208"/>
      <c r="K30" s="206"/>
      <c r="L30" s="206"/>
      <c r="M30" s="216"/>
      <c r="N30" s="216"/>
      <c r="O30" s="216"/>
      <c r="P30" s="212"/>
      <c r="Q30" s="216"/>
      <c r="R30" s="216"/>
      <c r="S30" s="216"/>
      <c r="T30" s="216"/>
      <c r="U30" s="216"/>
      <c r="V30" s="216"/>
      <c r="W30" s="216"/>
      <c r="X30" s="212"/>
      <c r="Y30" s="216"/>
      <c r="Z30" s="216"/>
      <c r="AA30" s="212"/>
      <c r="AB30" s="212"/>
      <c r="AC30" s="216"/>
      <c r="AD30" s="212"/>
      <c r="AE30" s="212"/>
      <c r="AF30" s="217"/>
      <c r="AG30" s="216"/>
      <c r="AH30" s="217"/>
      <c r="AI30" s="217"/>
      <c r="AJ30" s="217"/>
      <c r="AK30" s="217"/>
      <c r="AL30" s="216"/>
      <c r="AM30" s="216"/>
      <c r="AN30" s="216"/>
      <c r="AO30" s="216"/>
      <c r="AP30" s="216"/>
      <c r="AQ30" s="216"/>
      <c r="AR30" s="216"/>
      <c r="AS30" s="216"/>
      <c r="AT30" s="216"/>
      <c r="AU30" s="216"/>
      <c r="AV30" s="216"/>
    </row>
    <row r="31" spans="1:48" s="219" customFormat="1" ht="12.75" x14ac:dyDescent="0.25">
      <c r="A31" s="215"/>
      <c r="B31" s="206"/>
      <c r="C31" s="206"/>
      <c r="D31" s="207"/>
      <c r="E31" s="206"/>
      <c r="F31" s="206"/>
      <c r="G31" s="206"/>
      <c r="H31" s="206"/>
      <c r="I31" s="208"/>
      <c r="J31" s="208"/>
      <c r="K31" s="206"/>
      <c r="L31" s="206"/>
      <c r="M31" s="216"/>
      <c r="N31" s="216"/>
      <c r="O31" s="216"/>
      <c r="P31" s="212"/>
      <c r="Q31" s="216"/>
      <c r="R31" s="216"/>
      <c r="S31" s="216"/>
      <c r="T31" s="216"/>
      <c r="U31" s="216"/>
      <c r="V31" s="216"/>
      <c r="W31" s="216"/>
      <c r="X31" s="212"/>
      <c r="Y31" s="216"/>
      <c r="Z31" s="216"/>
      <c r="AA31" s="212"/>
      <c r="AB31" s="212"/>
      <c r="AC31" s="216"/>
      <c r="AD31" s="212"/>
      <c r="AE31" s="212"/>
      <c r="AF31" s="217"/>
      <c r="AG31" s="216"/>
      <c r="AH31" s="217"/>
      <c r="AI31" s="217"/>
      <c r="AJ31" s="217"/>
      <c r="AK31" s="217"/>
      <c r="AL31" s="216"/>
      <c r="AM31" s="216"/>
      <c r="AN31" s="216"/>
      <c r="AO31" s="216"/>
      <c r="AP31" s="216"/>
      <c r="AQ31" s="216"/>
      <c r="AR31" s="216"/>
      <c r="AS31" s="216"/>
      <c r="AT31" s="216"/>
      <c r="AU31" s="216"/>
      <c r="AV31" s="216"/>
    </row>
    <row r="32" spans="1:48" x14ac:dyDescent="0.25">
      <c r="AD32" s="220">
        <f>SUM(AD26:AD31)</f>
        <v>2044.4790600000001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23"/>
  <sheetViews>
    <sheetView view="pageBreakPreview"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4" t="str">
        <f>'2. паспорт  ТП'!A4:S4</f>
        <v>Год раскрытия информации: 2023 год</v>
      </c>
      <c r="B5" s="534"/>
      <c r="C5" s="25"/>
      <c r="D5" s="25"/>
      <c r="E5" s="25"/>
      <c r="F5" s="25"/>
      <c r="G5" s="25"/>
      <c r="H5" s="25"/>
    </row>
    <row r="6" spans="1:8" ht="18.75" x14ac:dyDescent="0.3">
      <c r="A6" s="166"/>
      <c r="B6" s="166"/>
      <c r="C6" s="166"/>
      <c r="D6" s="166"/>
      <c r="E6" s="166"/>
      <c r="F6" s="166"/>
      <c r="G6" s="166"/>
      <c r="H6" s="166"/>
    </row>
    <row r="7" spans="1:8" ht="18.75" x14ac:dyDescent="0.25">
      <c r="A7" s="485" t="s">
        <v>7</v>
      </c>
      <c r="B7" s="485"/>
      <c r="C7" s="202"/>
      <c r="D7" s="202"/>
      <c r="E7" s="202"/>
      <c r="F7" s="202"/>
      <c r="G7" s="202"/>
      <c r="H7" s="202"/>
    </row>
    <row r="8" spans="1:8" ht="18.75" x14ac:dyDescent="0.25">
      <c r="A8" s="202"/>
      <c r="B8" s="202"/>
      <c r="C8" s="202"/>
      <c r="D8" s="202"/>
      <c r="E8" s="202"/>
      <c r="F8" s="202"/>
      <c r="G8" s="202"/>
      <c r="H8" s="202"/>
    </row>
    <row r="9" spans="1:8" x14ac:dyDescent="0.25">
      <c r="A9" s="486" t="str">
        <f>'1. паспорт местоположение'!A9:C9</f>
        <v>Акционерное общество "Россети Янтарь"</v>
      </c>
      <c r="B9" s="486"/>
      <c r="C9" s="203"/>
      <c r="D9" s="203"/>
      <c r="E9" s="203"/>
      <c r="F9" s="203"/>
      <c r="G9" s="203"/>
      <c r="H9" s="203"/>
    </row>
    <row r="10" spans="1:8" x14ac:dyDescent="0.25">
      <c r="A10" s="472" t="s">
        <v>6</v>
      </c>
      <c r="B10" s="472"/>
      <c r="C10" s="204"/>
      <c r="D10" s="204"/>
      <c r="E10" s="204"/>
      <c r="F10" s="204"/>
      <c r="G10" s="204"/>
      <c r="H10" s="204"/>
    </row>
    <row r="11" spans="1:8" ht="18.75" x14ac:dyDescent="0.25">
      <c r="A11" s="202"/>
      <c r="B11" s="202"/>
      <c r="C11" s="202"/>
      <c r="D11" s="202"/>
      <c r="E11" s="202"/>
      <c r="F11" s="202"/>
      <c r="G11" s="202"/>
      <c r="H11" s="202"/>
    </row>
    <row r="12" spans="1:8" x14ac:dyDescent="0.25">
      <c r="A12" s="486" t="str">
        <f>'1. паспорт местоположение'!A12:C12</f>
        <v>M_21-0733</v>
      </c>
      <c r="B12" s="486"/>
      <c r="C12" s="203"/>
      <c r="D12" s="203"/>
      <c r="E12" s="203"/>
      <c r="F12" s="203"/>
      <c r="G12" s="203"/>
      <c r="H12" s="203"/>
    </row>
    <row r="13" spans="1:8" x14ac:dyDescent="0.25">
      <c r="A13" s="472" t="s">
        <v>5</v>
      </c>
      <c r="B13" s="472"/>
      <c r="C13" s="204"/>
      <c r="D13" s="204"/>
      <c r="E13" s="204"/>
      <c r="F13" s="204"/>
      <c r="G13" s="204"/>
      <c r="H13" s="204"/>
    </row>
    <row r="14" spans="1:8" ht="18.75" x14ac:dyDescent="0.25">
      <c r="A14" s="105"/>
      <c r="B14" s="105"/>
      <c r="C14" s="105"/>
      <c r="D14" s="105"/>
      <c r="E14" s="105"/>
      <c r="F14" s="105"/>
      <c r="G14" s="105"/>
      <c r="H14" s="105"/>
    </row>
    <row r="15" spans="1:8" ht="63.6" customHeight="1" x14ac:dyDescent="0.25">
      <c r="A15" s="473" t="str">
        <f>'1. паспорт местоположение'!A15:C15</f>
        <v>Строительство ТП 15/0,4 кВ, ЛЭП 15 кВ от ВЛ 15-141 (инв. № 5114675), организация системы учета электроэнергии в п. Кумачево, ул. Березовая Гурьевского района</v>
      </c>
      <c r="B15" s="473"/>
      <c r="C15" s="203"/>
      <c r="D15" s="203"/>
      <c r="E15" s="203"/>
      <c r="F15" s="203"/>
      <c r="G15" s="203"/>
      <c r="H15" s="203"/>
    </row>
    <row r="16" spans="1:8" x14ac:dyDescent="0.25">
      <c r="A16" s="472" t="s">
        <v>4</v>
      </c>
      <c r="B16" s="472"/>
      <c r="C16" s="204"/>
      <c r="D16" s="204"/>
      <c r="E16" s="204"/>
      <c r="F16" s="204"/>
      <c r="G16" s="204"/>
      <c r="H16" s="204"/>
    </row>
    <row r="17" spans="1:2" x14ac:dyDescent="0.25">
      <c r="B17" s="28"/>
    </row>
    <row r="18" spans="1:2" x14ac:dyDescent="0.25">
      <c r="A18" s="535" t="s">
        <v>373</v>
      </c>
      <c r="B18" s="536"/>
    </row>
    <row r="19" spans="1:2" x14ac:dyDescent="0.25">
      <c r="B19" s="5"/>
    </row>
    <row r="20" spans="1:2" ht="16.5" thickBot="1" x14ac:dyDescent="0.3">
      <c r="B20" s="29"/>
    </row>
    <row r="21" spans="1:2" ht="45.75" thickBot="1" x14ac:dyDescent="0.3">
      <c r="A21" s="30" t="s">
        <v>272</v>
      </c>
      <c r="B21" s="55" t="str">
        <f>A15</f>
        <v>Строительство ТП 15/0,4 кВ, ЛЭП 15 кВ от ВЛ 15-141 (инв. № 5114675), организация системы учета электроэнергии в п. Кумачево, ул. Березовая Гурьевского района</v>
      </c>
    </row>
    <row r="22" spans="1:2" ht="16.5" thickBot="1" x14ac:dyDescent="0.3">
      <c r="A22" s="30" t="s">
        <v>273</v>
      </c>
      <c r="B22" s="5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0" t="s">
        <v>257</v>
      </c>
      <c r="B23" s="57" t="s">
        <v>534</v>
      </c>
    </row>
    <row r="24" spans="1:2" ht="16.5" thickBot="1" x14ac:dyDescent="0.3">
      <c r="A24" s="30" t="s">
        <v>274</v>
      </c>
      <c r="B24" s="58" t="str">
        <f>CONCATENATE('3.1. паспорт Техсостояние ПС'!O24," (",'3.1. паспорт Техсостояние ПС'!O24,") МВА; ",'3.2 паспорт Техсостояние ЛЭП'!R26," (",'3.2 паспорт Техсостояние ЛЭП'!S26,") км")</f>
        <v>0,16 (0,16) МВА; 0,142 (0,142) км</v>
      </c>
    </row>
    <row r="25" spans="1:2" ht="16.5" thickBot="1" x14ac:dyDescent="0.3">
      <c r="A25" s="31" t="s">
        <v>275</v>
      </c>
      <c r="B25" s="59">
        <v>2022</v>
      </c>
    </row>
    <row r="26" spans="1:2" ht="16.5" thickBot="1" x14ac:dyDescent="0.3">
      <c r="A26" s="32" t="s">
        <v>276</v>
      </c>
      <c r="B26" s="60" t="s">
        <v>634</v>
      </c>
    </row>
    <row r="27" spans="1:2" ht="29.25" thickBot="1" x14ac:dyDescent="0.3">
      <c r="A27" s="38" t="s">
        <v>600</v>
      </c>
      <c r="B27" s="145">
        <f>'5. анализ эконом эфф'!B122</f>
        <v>2.1823587499999997</v>
      </c>
    </row>
    <row r="28" spans="1:2" ht="16.5" thickBot="1" x14ac:dyDescent="0.3">
      <c r="A28" s="34" t="s">
        <v>277</v>
      </c>
      <c r="B28" s="60" t="s">
        <v>636</v>
      </c>
    </row>
    <row r="29" spans="1:2" ht="29.25" thickBot="1" x14ac:dyDescent="0.3">
      <c r="A29" s="39" t="s">
        <v>278</v>
      </c>
      <c r="B29" s="145">
        <f>'7. Паспорт отчет о закупке'!AD32/1000</f>
        <v>2.04447906</v>
      </c>
    </row>
    <row r="30" spans="1:2" ht="29.25" thickBot="1" x14ac:dyDescent="0.3">
      <c r="A30" s="39" t="s">
        <v>279</v>
      </c>
      <c r="B30" s="145">
        <f>B32+B49+B66</f>
        <v>2.04447906</v>
      </c>
    </row>
    <row r="31" spans="1:2" ht="16.5" thickBot="1" x14ac:dyDescent="0.3">
      <c r="A31" s="34" t="s">
        <v>280</v>
      </c>
      <c r="B31" s="61"/>
    </row>
    <row r="32" spans="1:2" ht="29.25" thickBot="1" x14ac:dyDescent="0.3">
      <c r="A32" s="39" t="s">
        <v>281</v>
      </c>
      <c r="B32" s="145">
        <f>SUMIF(C33:C48,10,B33:B48)</f>
        <v>2.04447906</v>
      </c>
    </row>
    <row r="33" spans="1:3" ht="30.75" thickBot="1" x14ac:dyDescent="0.3">
      <c r="A33" s="147" t="s">
        <v>629</v>
      </c>
      <c r="B33" s="221">
        <f>2.06859987*0+B36</f>
        <v>2.04447906</v>
      </c>
      <c r="C33" s="16">
        <v>10</v>
      </c>
    </row>
    <row r="34" spans="1:3" ht="16.5" thickBot="1" x14ac:dyDescent="0.3">
      <c r="A34" s="34" t="s">
        <v>283</v>
      </c>
      <c r="B34" s="63">
        <f>B33/$B$27</f>
        <v>0.93682079538939245</v>
      </c>
    </row>
    <row r="35" spans="1:3" ht="16.5" thickBot="1" x14ac:dyDescent="0.3">
      <c r="A35" s="34" t="s">
        <v>284</v>
      </c>
      <c r="B35" s="145">
        <f>0.11820491+1.92627415</f>
        <v>2.04447906</v>
      </c>
      <c r="C35" s="16">
        <v>1</v>
      </c>
    </row>
    <row r="36" spans="1:3" ht="16.5" thickBot="1" x14ac:dyDescent="0.3">
      <c r="A36" s="34" t="s">
        <v>285</v>
      </c>
      <c r="B36" s="145">
        <f>0.11820491+1.92627415</f>
        <v>2.04447906</v>
      </c>
      <c r="C36" s="16">
        <v>2</v>
      </c>
    </row>
    <row r="37" spans="1:3" ht="16.5" thickBot="1" x14ac:dyDescent="0.3">
      <c r="A37" s="62" t="s">
        <v>282</v>
      </c>
      <c r="B37" s="222"/>
      <c r="C37" s="16">
        <v>10</v>
      </c>
    </row>
    <row r="38" spans="1:3" ht="16.5" thickBot="1" x14ac:dyDescent="0.3">
      <c r="A38" s="34" t="s">
        <v>283</v>
      </c>
      <c r="B38" s="63">
        <f>B37/$B$27</f>
        <v>0</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2"/>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2"/>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0</v>
      </c>
    </row>
    <row r="50" spans="1:3" ht="16.5" thickBot="1" x14ac:dyDescent="0.3">
      <c r="A50" s="62" t="s">
        <v>282</v>
      </c>
      <c r="B50" s="222"/>
      <c r="C50" s="16">
        <v>20</v>
      </c>
    </row>
    <row r="51" spans="1:3" ht="16.5" thickBot="1" x14ac:dyDescent="0.3">
      <c r="A51" s="34" t="s">
        <v>283</v>
      </c>
      <c r="B51" s="63">
        <f>B50/$B$27</f>
        <v>0</v>
      </c>
    </row>
    <row r="52" spans="1:3" ht="16.5" thickBot="1" x14ac:dyDescent="0.3">
      <c r="A52" s="34" t="s">
        <v>284</v>
      </c>
      <c r="B52" s="145"/>
      <c r="C52" s="16">
        <v>1</v>
      </c>
    </row>
    <row r="53" spans="1:3" ht="16.5" thickBot="1" x14ac:dyDescent="0.3">
      <c r="A53" s="34" t="s">
        <v>285</v>
      </c>
      <c r="B53" s="145"/>
      <c r="C53" s="16">
        <v>2</v>
      </c>
    </row>
    <row r="54" spans="1:3" ht="16.5" thickBot="1" x14ac:dyDescent="0.3">
      <c r="A54" s="62" t="s">
        <v>282</v>
      </c>
      <c r="B54" s="222"/>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2"/>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2"/>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SUMIF(C67:C82,30,B67:B82)</f>
        <v>0</v>
      </c>
    </row>
    <row r="67" spans="1:3" ht="16.5" thickBot="1" x14ac:dyDescent="0.3">
      <c r="A67" s="62" t="s">
        <v>282</v>
      </c>
      <c r="B67" s="222"/>
      <c r="C67" s="16">
        <v>30</v>
      </c>
    </row>
    <row r="68" spans="1:3" ht="16.5" thickBot="1" x14ac:dyDescent="0.3">
      <c r="A68" s="34" t="s">
        <v>283</v>
      </c>
      <c r="B68" s="63">
        <f>B67/$B$27</f>
        <v>0</v>
      </c>
    </row>
    <row r="69" spans="1:3" ht="16.5" thickBot="1" x14ac:dyDescent="0.3">
      <c r="A69" s="34" t="s">
        <v>284</v>
      </c>
      <c r="B69" s="145"/>
      <c r="C69" s="16">
        <v>1</v>
      </c>
    </row>
    <row r="70" spans="1:3" ht="16.5" thickBot="1" x14ac:dyDescent="0.3">
      <c r="A70" s="34" t="s">
        <v>285</v>
      </c>
      <c r="B70" s="145"/>
      <c r="C70" s="16">
        <v>2</v>
      </c>
    </row>
    <row r="71" spans="1:3" ht="16.5" thickBot="1" x14ac:dyDescent="0.3">
      <c r="A71" s="62" t="s">
        <v>282</v>
      </c>
      <c r="B71" s="222"/>
      <c r="C71" s="16">
        <v>30</v>
      </c>
    </row>
    <row r="72" spans="1:3" ht="16.5" thickBot="1" x14ac:dyDescent="0.3">
      <c r="A72" s="34" t="s">
        <v>283</v>
      </c>
      <c r="B72" s="63">
        <f t="shared" ref="B72" si="0">B71/$B$27</f>
        <v>0</v>
      </c>
    </row>
    <row r="73" spans="1:3" ht="16.5" thickBot="1" x14ac:dyDescent="0.3">
      <c r="A73" s="34" t="s">
        <v>284</v>
      </c>
      <c r="B73" s="145"/>
      <c r="C73" s="16">
        <v>1</v>
      </c>
    </row>
    <row r="74" spans="1:3" ht="16.5" thickBot="1" x14ac:dyDescent="0.3">
      <c r="A74" s="34" t="s">
        <v>285</v>
      </c>
      <c r="B74" s="145"/>
      <c r="C74" s="16">
        <v>2</v>
      </c>
    </row>
    <row r="75" spans="1:3" ht="16.5" thickBot="1" x14ac:dyDescent="0.3">
      <c r="A75" s="62" t="s">
        <v>282</v>
      </c>
      <c r="B75" s="222"/>
      <c r="C75" s="16">
        <v>30</v>
      </c>
    </row>
    <row r="76" spans="1:3" ht="16.5" thickBot="1" x14ac:dyDescent="0.3">
      <c r="A76" s="34" t="s">
        <v>283</v>
      </c>
      <c r="B76" s="63">
        <f t="shared" ref="B76" si="1">B75/$B$27</f>
        <v>0</v>
      </c>
    </row>
    <row r="77" spans="1:3" ht="16.5" thickBot="1" x14ac:dyDescent="0.3">
      <c r="A77" s="34" t="s">
        <v>284</v>
      </c>
      <c r="B77" s="145"/>
      <c r="C77" s="16">
        <v>1</v>
      </c>
    </row>
    <row r="78" spans="1:3" ht="16.5" thickBot="1" x14ac:dyDescent="0.3">
      <c r="A78" s="34" t="s">
        <v>285</v>
      </c>
      <c r="B78" s="145"/>
      <c r="C78" s="16">
        <v>2</v>
      </c>
    </row>
    <row r="79" spans="1:3" ht="16.5" thickBot="1" x14ac:dyDescent="0.3">
      <c r="A79" s="62" t="s">
        <v>282</v>
      </c>
      <c r="B79" s="222"/>
      <c r="C79" s="16">
        <v>30</v>
      </c>
    </row>
    <row r="80" spans="1:3" ht="16.5" thickBot="1" x14ac:dyDescent="0.3">
      <c r="A80" s="34" t="s">
        <v>283</v>
      </c>
      <c r="B80" s="63">
        <f>B79/$B$27</f>
        <v>0</v>
      </c>
    </row>
    <row r="81" spans="1:3" ht="16.5" thickBot="1" x14ac:dyDescent="0.3">
      <c r="A81" s="34" t="s">
        <v>284</v>
      </c>
      <c r="B81" s="145"/>
      <c r="C81" s="16">
        <v>1</v>
      </c>
    </row>
    <row r="82" spans="1:3" ht="16.5" thickBot="1" x14ac:dyDescent="0.3">
      <c r="A82" s="34" t="s">
        <v>285</v>
      </c>
      <c r="B82" s="145"/>
      <c r="C82" s="16">
        <v>2</v>
      </c>
    </row>
    <row r="83" spans="1:3" ht="29.25" thickBot="1" x14ac:dyDescent="0.3">
      <c r="A83" s="33" t="s">
        <v>288</v>
      </c>
      <c r="B83" s="224">
        <f>B30/B27</f>
        <v>0.93682079538939245</v>
      </c>
    </row>
    <row r="84" spans="1:3" ht="16.5" thickBot="1" x14ac:dyDescent="0.3">
      <c r="A84" s="35" t="s">
        <v>280</v>
      </c>
      <c r="B84" s="64"/>
    </row>
    <row r="85" spans="1:3" ht="16.5" thickBot="1" x14ac:dyDescent="0.3">
      <c r="A85" s="35" t="s">
        <v>289</v>
      </c>
      <c r="B85" s="224">
        <f>B34-B87</f>
        <v>0.88265558996659021</v>
      </c>
    </row>
    <row r="86" spans="1:3" ht="16.5" thickBot="1" x14ac:dyDescent="0.3">
      <c r="A86" s="35" t="s">
        <v>290</v>
      </c>
      <c r="B86" s="224"/>
    </row>
    <row r="87" spans="1:3" ht="16.5" thickBot="1" x14ac:dyDescent="0.3">
      <c r="A87" s="35" t="s">
        <v>291</v>
      </c>
      <c r="B87" s="224">
        <f>0.11820791/B27</f>
        <v>5.4165205422802287E-2</v>
      </c>
    </row>
    <row r="88" spans="1:3" s="402" customFormat="1" ht="30.75" thickBot="1" x14ac:dyDescent="0.3">
      <c r="A88" s="147" t="s">
        <v>641</v>
      </c>
      <c r="B88" s="403">
        <v>0.13787968800000003</v>
      </c>
      <c r="C88" s="401">
        <v>40</v>
      </c>
    </row>
    <row r="89" spans="1:3" s="402" customFormat="1" ht="16.5" thickBot="1" x14ac:dyDescent="0.3">
      <c r="A89" s="34" t="s">
        <v>283</v>
      </c>
      <c r="B89" s="63">
        <f t="shared" ref="B89" si="2">B88/$B$27</f>
        <v>6.3179203694168087E-2</v>
      </c>
    </row>
    <row r="90" spans="1:3" s="402" customFormat="1" ht="16.5" thickBot="1" x14ac:dyDescent="0.3">
      <c r="A90" s="34" t="s">
        <v>284</v>
      </c>
      <c r="B90" s="145">
        <v>0.13787968800000003</v>
      </c>
      <c r="C90" s="402">
        <v>1</v>
      </c>
    </row>
    <row r="91" spans="1:3" s="402" customFormat="1" ht="16.5" thickBot="1" x14ac:dyDescent="0.3">
      <c r="A91" s="34" t="s">
        <v>285</v>
      </c>
      <c r="B91" s="145">
        <v>0.13787968800000003</v>
      </c>
      <c r="C91" s="402">
        <v>2</v>
      </c>
    </row>
    <row r="92" spans="1:3" ht="16.5" thickBot="1" x14ac:dyDescent="0.3">
      <c r="A92" s="31" t="s">
        <v>292</v>
      </c>
      <c r="B92" s="65">
        <f>B93/$B$27</f>
        <v>0.99999999908356052</v>
      </c>
    </row>
    <row r="93" spans="1:3" ht="16.5" thickBot="1" x14ac:dyDescent="0.3">
      <c r="A93" s="31" t="s">
        <v>293</v>
      </c>
      <c r="B93" s="146">
        <f xml:space="preserve"> SUMIF(C24:C91, 1,B24:B91)</f>
        <v>2.182358748</v>
      </c>
    </row>
    <row r="94" spans="1:3" ht="16.5" thickBot="1" x14ac:dyDescent="0.3">
      <c r="A94" s="31" t="s">
        <v>294</v>
      </c>
      <c r="B94" s="65">
        <f>B95/$B$27</f>
        <v>0.99999999908356052</v>
      </c>
    </row>
    <row r="95" spans="1:3" ht="16.5" thickBot="1" x14ac:dyDescent="0.3">
      <c r="A95" s="32" t="s">
        <v>295</v>
      </c>
      <c r="B95" s="146">
        <f xml:space="preserve"> SUMIF(C24:C91, 2,B24:B91)</f>
        <v>2.182358748</v>
      </c>
    </row>
    <row r="96" spans="1:3" ht="15.75" customHeight="1" x14ac:dyDescent="0.25">
      <c r="A96" s="33" t="s">
        <v>296</v>
      </c>
      <c r="B96" s="35" t="s">
        <v>402</v>
      </c>
    </row>
    <row r="97" spans="1:2" x14ac:dyDescent="0.25">
      <c r="A97" s="36" t="s">
        <v>297</v>
      </c>
      <c r="B97" s="36" t="s">
        <v>599</v>
      </c>
    </row>
    <row r="98" spans="1:2" ht="30" x14ac:dyDescent="0.25">
      <c r="A98" s="36" t="s">
        <v>298</v>
      </c>
      <c r="B98" s="36" t="s">
        <v>630</v>
      </c>
    </row>
    <row r="99" spans="1:2" x14ac:dyDescent="0.25">
      <c r="A99" s="36" t="s">
        <v>299</v>
      </c>
      <c r="B99" s="36"/>
    </row>
    <row r="100" spans="1:2" ht="30" x14ac:dyDescent="0.25">
      <c r="A100" s="36" t="s">
        <v>300</v>
      </c>
      <c r="B100" s="36" t="s">
        <v>630</v>
      </c>
    </row>
    <row r="101" spans="1:2" ht="16.5" thickBot="1" x14ac:dyDescent="0.3">
      <c r="A101" s="37" t="s">
        <v>301</v>
      </c>
      <c r="B101" s="37"/>
    </row>
    <row r="102" spans="1:2" ht="30.75" thickBot="1" x14ac:dyDescent="0.3">
      <c r="A102" s="35" t="s">
        <v>302</v>
      </c>
      <c r="B102" s="66" t="s">
        <v>471</v>
      </c>
    </row>
    <row r="103" spans="1:2" ht="29.25" thickBot="1" x14ac:dyDescent="0.3">
      <c r="A103" s="31" t="s">
        <v>303</v>
      </c>
      <c r="B103" s="339">
        <v>7</v>
      </c>
    </row>
    <row r="104" spans="1:2" ht="16.5" thickBot="1" x14ac:dyDescent="0.3">
      <c r="A104" s="35" t="s">
        <v>280</v>
      </c>
      <c r="B104" s="340"/>
    </row>
    <row r="105" spans="1:2" ht="16.5" thickBot="1" x14ac:dyDescent="0.3">
      <c r="A105" s="35" t="s">
        <v>304</v>
      </c>
      <c r="B105" s="339">
        <v>4</v>
      </c>
    </row>
    <row r="106" spans="1:2" ht="16.5" thickBot="1" x14ac:dyDescent="0.3">
      <c r="A106" s="35" t="s">
        <v>305</v>
      </c>
      <c r="B106" s="339">
        <v>3</v>
      </c>
    </row>
    <row r="107" spans="1:2" ht="16.5" thickBot="1" x14ac:dyDescent="0.3">
      <c r="A107" s="40" t="s">
        <v>306</v>
      </c>
      <c r="B107" s="227" t="s">
        <v>631</v>
      </c>
    </row>
    <row r="108" spans="1:2" ht="16.5" thickBot="1" x14ac:dyDescent="0.3">
      <c r="A108" s="31" t="s">
        <v>307</v>
      </c>
      <c r="B108" s="68"/>
    </row>
    <row r="109" spans="1:2" ht="16.5" thickBot="1" x14ac:dyDescent="0.3">
      <c r="A109" s="36" t="s">
        <v>308</v>
      </c>
      <c r="B109" s="223" t="str">
        <f>'6.1. Паспорт сетевой график'!D43</f>
        <v>нд</v>
      </c>
    </row>
    <row r="110" spans="1:2" ht="16.5" thickBot="1" x14ac:dyDescent="0.3">
      <c r="A110" s="36" t="s">
        <v>309</v>
      </c>
      <c r="B110" s="69" t="s">
        <v>471</v>
      </c>
    </row>
    <row r="111" spans="1:2" ht="16.5" thickBot="1" x14ac:dyDescent="0.3">
      <c r="A111" s="36" t="s">
        <v>310</v>
      </c>
      <c r="B111" s="69" t="s">
        <v>471</v>
      </c>
    </row>
    <row r="112" spans="1:2" ht="30.75" thickBot="1" x14ac:dyDescent="0.3">
      <c r="A112" s="41" t="s">
        <v>311</v>
      </c>
      <c r="B112" s="67" t="s">
        <v>635</v>
      </c>
    </row>
    <row r="113" spans="1:2" ht="28.5" customHeight="1" x14ac:dyDescent="0.25">
      <c r="A113" s="33" t="s">
        <v>312</v>
      </c>
      <c r="B113" s="537" t="s">
        <v>471</v>
      </c>
    </row>
    <row r="114" spans="1:2" x14ac:dyDescent="0.25">
      <c r="A114" s="36" t="s">
        <v>313</v>
      </c>
      <c r="B114" s="538"/>
    </row>
    <row r="115" spans="1:2" x14ac:dyDescent="0.25">
      <c r="A115" s="36" t="s">
        <v>314</v>
      </c>
      <c r="B115" s="538"/>
    </row>
    <row r="116" spans="1:2" x14ac:dyDescent="0.25">
      <c r="A116" s="36" t="s">
        <v>315</v>
      </c>
      <c r="B116" s="538"/>
    </row>
    <row r="117" spans="1:2" x14ac:dyDescent="0.25">
      <c r="A117" s="36" t="s">
        <v>316</v>
      </c>
      <c r="B117" s="538"/>
    </row>
    <row r="118" spans="1:2" ht="16.5" thickBot="1" x14ac:dyDescent="0.3">
      <c r="A118" s="42" t="s">
        <v>317</v>
      </c>
      <c r="B118" s="539"/>
    </row>
    <row r="121" spans="1:2" x14ac:dyDescent="0.25">
      <c r="A121" s="43"/>
      <c r="B121" s="44"/>
    </row>
    <row r="122" spans="1:2" x14ac:dyDescent="0.25">
      <c r="B122" s="45"/>
    </row>
    <row r="123" spans="1:2" x14ac:dyDescent="0.25">
      <c r="B123" s="46"/>
    </row>
  </sheetData>
  <mergeCells count="10">
    <mergeCell ref="A15:B15"/>
    <mergeCell ref="A16:B16"/>
    <mergeCell ref="A18:B18"/>
    <mergeCell ref="B113:B1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4" t="str">
        <f>CONCATENATE('1. паспорт местоположение'!A5:B5,'1. паспорт местоположение'!C5)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2" customFormat="1" ht="15.75" x14ac:dyDescent="0.2">
      <c r="A5" s="73"/>
    </row>
    <row r="6" spans="1:28" s="2" customFormat="1" ht="18.75" x14ac:dyDescent="0.2">
      <c r="A6" s="411" t="s">
        <v>7</v>
      </c>
      <c r="B6" s="411"/>
      <c r="C6" s="411"/>
      <c r="D6" s="411"/>
      <c r="E6" s="411"/>
      <c r="F6" s="411"/>
      <c r="G6" s="411"/>
      <c r="H6" s="411"/>
      <c r="I6" s="411"/>
      <c r="J6" s="411"/>
      <c r="K6" s="411"/>
      <c r="L6" s="411"/>
      <c r="M6" s="411"/>
      <c r="N6" s="411"/>
      <c r="O6" s="411"/>
      <c r="P6" s="411"/>
      <c r="Q6" s="411"/>
      <c r="R6" s="411"/>
      <c r="S6" s="411"/>
      <c r="T6" s="74"/>
      <c r="U6" s="74"/>
      <c r="V6" s="74"/>
      <c r="W6" s="74"/>
      <c r="X6" s="74"/>
      <c r="Y6" s="74"/>
      <c r="Z6" s="74"/>
      <c r="AA6" s="74"/>
      <c r="AB6" s="74"/>
    </row>
    <row r="7" spans="1:28" s="2" customFormat="1" ht="18.75" x14ac:dyDescent="0.2">
      <c r="A7" s="411"/>
      <c r="B7" s="411"/>
      <c r="C7" s="411"/>
      <c r="D7" s="411"/>
      <c r="E7" s="411"/>
      <c r="F7" s="411"/>
      <c r="G7" s="411"/>
      <c r="H7" s="411"/>
      <c r="I7" s="411"/>
      <c r="J7" s="411"/>
      <c r="K7" s="411"/>
      <c r="L7" s="411"/>
      <c r="M7" s="411"/>
      <c r="N7" s="411"/>
      <c r="O7" s="411"/>
      <c r="P7" s="411"/>
      <c r="Q7" s="411"/>
      <c r="R7" s="411"/>
      <c r="S7" s="411"/>
      <c r="T7" s="74"/>
      <c r="U7" s="74"/>
      <c r="V7" s="74"/>
      <c r="W7" s="74"/>
      <c r="X7" s="74"/>
      <c r="Y7" s="74"/>
      <c r="Z7" s="74"/>
      <c r="AA7" s="74"/>
      <c r="AB7" s="74"/>
    </row>
    <row r="8" spans="1:28" s="2" customFormat="1" ht="18.75" x14ac:dyDescent="0.2">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74"/>
      <c r="U8" s="74"/>
      <c r="V8" s="74"/>
      <c r="W8" s="74"/>
      <c r="X8" s="74"/>
      <c r="Y8" s="74"/>
      <c r="Z8" s="74"/>
      <c r="AA8" s="74"/>
      <c r="AB8" s="74"/>
    </row>
    <row r="9" spans="1:28" s="2" customFormat="1" ht="18.75" x14ac:dyDescent="0.2">
      <c r="A9" s="408" t="s">
        <v>6</v>
      </c>
      <c r="B9" s="408"/>
      <c r="C9" s="408"/>
      <c r="D9" s="408"/>
      <c r="E9" s="408"/>
      <c r="F9" s="408"/>
      <c r="G9" s="408"/>
      <c r="H9" s="408"/>
      <c r="I9" s="408"/>
      <c r="J9" s="408"/>
      <c r="K9" s="408"/>
      <c r="L9" s="408"/>
      <c r="M9" s="408"/>
      <c r="N9" s="408"/>
      <c r="O9" s="408"/>
      <c r="P9" s="408"/>
      <c r="Q9" s="408"/>
      <c r="R9" s="408"/>
      <c r="S9" s="408"/>
      <c r="T9" s="74"/>
      <c r="U9" s="74"/>
      <c r="V9" s="74"/>
      <c r="W9" s="74"/>
      <c r="X9" s="74"/>
      <c r="Y9" s="74"/>
      <c r="Z9" s="74"/>
      <c r="AA9" s="74"/>
      <c r="AB9" s="74"/>
    </row>
    <row r="10" spans="1:28" s="2" customFormat="1" ht="18.75" x14ac:dyDescent="0.2">
      <c r="A10" s="411"/>
      <c r="B10" s="411"/>
      <c r="C10" s="411"/>
      <c r="D10" s="411"/>
      <c r="E10" s="411"/>
      <c r="F10" s="411"/>
      <c r="G10" s="411"/>
      <c r="H10" s="411"/>
      <c r="I10" s="411"/>
      <c r="J10" s="411"/>
      <c r="K10" s="411"/>
      <c r="L10" s="411"/>
      <c r="M10" s="411"/>
      <c r="N10" s="411"/>
      <c r="O10" s="411"/>
      <c r="P10" s="411"/>
      <c r="Q10" s="411"/>
      <c r="R10" s="411"/>
      <c r="S10" s="411"/>
      <c r="T10" s="74"/>
      <c r="U10" s="74"/>
      <c r="V10" s="74"/>
      <c r="W10" s="74"/>
      <c r="X10" s="74"/>
      <c r="Y10" s="74"/>
      <c r="Z10" s="74"/>
      <c r="AA10" s="74"/>
      <c r="AB10" s="74"/>
    </row>
    <row r="11" spans="1:28" s="2" customFormat="1" ht="18.75" x14ac:dyDescent="0.2">
      <c r="A11" s="416" t="str">
        <f>'1. паспорт местоположение'!A12:C12</f>
        <v>M_21-0733</v>
      </c>
      <c r="B11" s="416"/>
      <c r="C11" s="416"/>
      <c r="D11" s="416"/>
      <c r="E11" s="416"/>
      <c r="F11" s="416"/>
      <c r="G11" s="416"/>
      <c r="H11" s="416"/>
      <c r="I11" s="416"/>
      <c r="J11" s="416"/>
      <c r="K11" s="416"/>
      <c r="L11" s="416"/>
      <c r="M11" s="416"/>
      <c r="N11" s="416"/>
      <c r="O11" s="416"/>
      <c r="P11" s="416"/>
      <c r="Q11" s="416"/>
      <c r="R11" s="416"/>
      <c r="S11" s="416"/>
      <c r="T11" s="74"/>
      <c r="U11" s="74"/>
      <c r="V11" s="74"/>
      <c r="W11" s="74"/>
      <c r="X11" s="74"/>
      <c r="Y11" s="74"/>
      <c r="Z11" s="74"/>
      <c r="AA11" s="74"/>
      <c r="AB11" s="74"/>
    </row>
    <row r="12" spans="1:28" s="2" customFormat="1" ht="18.75" x14ac:dyDescent="0.2">
      <c r="A12" s="408" t="s">
        <v>5</v>
      </c>
      <c r="B12" s="408"/>
      <c r="C12" s="408"/>
      <c r="D12" s="408"/>
      <c r="E12" s="408"/>
      <c r="F12" s="408"/>
      <c r="G12" s="408"/>
      <c r="H12" s="408"/>
      <c r="I12" s="408"/>
      <c r="J12" s="408"/>
      <c r="K12" s="408"/>
      <c r="L12" s="408"/>
      <c r="M12" s="408"/>
      <c r="N12" s="408"/>
      <c r="O12" s="408"/>
      <c r="P12" s="408"/>
      <c r="Q12" s="408"/>
      <c r="R12" s="408"/>
      <c r="S12" s="408"/>
      <c r="T12" s="74"/>
      <c r="U12" s="74"/>
      <c r="V12" s="74"/>
      <c r="W12" s="74"/>
      <c r="X12" s="74"/>
      <c r="Y12" s="74"/>
      <c r="Z12" s="74"/>
      <c r="AA12" s="74"/>
      <c r="AB12" s="74"/>
    </row>
    <row r="13" spans="1:28" s="79"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78"/>
      <c r="U13" s="78"/>
      <c r="V13" s="78"/>
      <c r="W13" s="78"/>
      <c r="X13" s="78"/>
      <c r="Y13" s="78"/>
      <c r="Z13" s="78"/>
      <c r="AA13" s="78"/>
      <c r="AB13" s="78"/>
    </row>
    <row r="14" spans="1:28" s="80" customFormat="1" ht="15.75" x14ac:dyDescent="0.2">
      <c r="A14" s="413" t="str">
        <f>'1. паспорт местоположение'!A15:C15</f>
        <v>Строительство ТП 15/0,4 кВ, ЛЭП 15 кВ от ВЛ 15-141 (инв. № 5114675), организация системы учета электроэнергии в п. Кумачево, ул. Березовая Гурьевского района</v>
      </c>
      <c r="B14" s="413"/>
      <c r="C14" s="413"/>
      <c r="D14" s="413"/>
      <c r="E14" s="413"/>
      <c r="F14" s="413"/>
      <c r="G14" s="413"/>
      <c r="H14" s="413"/>
      <c r="I14" s="413"/>
      <c r="J14" s="413"/>
      <c r="K14" s="413"/>
      <c r="L14" s="413"/>
      <c r="M14" s="413"/>
      <c r="N14" s="413"/>
      <c r="O14" s="413"/>
      <c r="P14" s="413"/>
      <c r="Q14" s="413"/>
      <c r="R14" s="413"/>
      <c r="S14" s="413"/>
      <c r="T14" s="76"/>
      <c r="U14" s="76"/>
      <c r="V14" s="76"/>
      <c r="W14" s="76"/>
      <c r="X14" s="76"/>
      <c r="Y14" s="76"/>
      <c r="Z14" s="76"/>
      <c r="AA14" s="76"/>
      <c r="AB14" s="76"/>
    </row>
    <row r="15" spans="1:28" s="80" customFormat="1" ht="15" customHeight="1" x14ac:dyDescent="0.2">
      <c r="A15" s="408" t="s">
        <v>4</v>
      </c>
      <c r="B15" s="408"/>
      <c r="C15" s="408"/>
      <c r="D15" s="408"/>
      <c r="E15" s="408"/>
      <c r="F15" s="408"/>
      <c r="G15" s="408"/>
      <c r="H15" s="408"/>
      <c r="I15" s="408"/>
      <c r="J15" s="408"/>
      <c r="K15" s="408"/>
      <c r="L15" s="408"/>
      <c r="M15" s="408"/>
      <c r="N15" s="408"/>
      <c r="O15" s="408"/>
      <c r="P15" s="408"/>
      <c r="Q15" s="408"/>
      <c r="R15" s="408"/>
      <c r="S15" s="408"/>
      <c r="T15" s="77"/>
      <c r="U15" s="77"/>
      <c r="V15" s="77"/>
      <c r="W15" s="77"/>
      <c r="X15" s="77"/>
      <c r="Y15" s="77"/>
      <c r="Z15" s="77"/>
      <c r="AA15" s="77"/>
      <c r="AB15" s="77"/>
    </row>
    <row r="16" spans="1:28" s="80"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81"/>
      <c r="U16" s="81"/>
      <c r="V16" s="81"/>
      <c r="W16" s="81"/>
      <c r="X16" s="81"/>
      <c r="Y16" s="81"/>
    </row>
    <row r="17" spans="1:28" s="80" customFormat="1" ht="45.75" customHeight="1" x14ac:dyDescent="0.2">
      <c r="A17" s="409" t="s">
        <v>348</v>
      </c>
      <c r="B17" s="409"/>
      <c r="C17" s="409"/>
      <c r="D17" s="409"/>
      <c r="E17" s="409"/>
      <c r="F17" s="409"/>
      <c r="G17" s="409"/>
      <c r="H17" s="409"/>
      <c r="I17" s="409"/>
      <c r="J17" s="409"/>
      <c r="K17" s="409"/>
      <c r="L17" s="409"/>
      <c r="M17" s="409"/>
      <c r="N17" s="409"/>
      <c r="O17" s="409"/>
      <c r="P17" s="409"/>
      <c r="Q17" s="409"/>
      <c r="R17" s="409"/>
      <c r="S17" s="409"/>
      <c r="T17" s="82"/>
      <c r="U17" s="82"/>
      <c r="V17" s="82"/>
      <c r="W17" s="82"/>
      <c r="X17" s="82"/>
      <c r="Y17" s="82"/>
      <c r="Z17" s="82"/>
      <c r="AA17" s="82"/>
      <c r="AB17" s="82"/>
    </row>
    <row r="18" spans="1:28" s="80"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81"/>
      <c r="U18" s="81"/>
      <c r="V18" s="81"/>
      <c r="W18" s="81"/>
      <c r="X18" s="81"/>
      <c r="Y18" s="81"/>
    </row>
    <row r="19" spans="1:28" s="80" customFormat="1" ht="54" customHeight="1" x14ac:dyDescent="0.2">
      <c r="A19" s="418" t="s">
        <v>3</v>
      </c>
      <c r="B19" s="418" t="s">
        <v>94</v>
      </c>
      <c r="C19" s="419" t="s">
        <v>271</v>
      </c>
      <c r="D19" s="418" t="s">
        <v>270</v>
      </c>
      <c r="E19" s="418" t="s">
        <v>93</v>
      </c>
      <c r="F19" s="418" t="s">
        <v>92</v>
      </c>
      <c r="G19" s="418" t="s">
        <v>266</v>
      </c>
      <c r="H19" s="418" t="s">
        <v>91</v>
      </c>
      <c r="I19" s="418" t="s">
        <v>90</v>
      </c>
      <c r="J19" s="418" t="s">
        <v>89</v>
      </c>
      <c r="K19" s="418" t="s">
        <v>88</v>
      </c>
      <c r="L19" s="418" t="s">
        <v>87</v>
      </c>
      <c r="M19" s="418" t="s">
        <v>86</v>
      </c>
      <c r="N19" s="418" t="s">
        <v>85</v>
      </c>
      <c r="O19" s="418" t="s">
        <v>84</v>
      </c>
      <c r="P19" s="418" t="s">
        <v>83</v>
      </c>
      <c r="Q19" s="418" t="s">
        <v>269</v>
      </c>
      <c r="R19" s="418"/>
      <c r="S19" s="421" t="s">
        <v>342</v>
      </c>
      <c r="T19" s="81"/>
      <c r="U19" s="81"/>
      <c r="V19" s="81"/>
      <c r="W19" s="81"/>
      <c r="X19" s="81"/>
      <c r="Y19" s="81"/>
    </row>
    <row r="20" spans="1:28" s="80" customFormat="1" ht="180.75" customHeight="1" x14ac:dyDescent="0.2">
      <c r="A20" s="418"/>
      <c r="B20" s="418"/>
      <c r="C20" s="420"/>
      <c r="D20" s="418"/>
      <c r="E20" s="418"/>
      <c r="F20" s="418"/>
      <c r="G20" s="418"/>
      <c r="H20" s="418"/>
      <c r="I20" s="418"/>
      <c r="J20" s="418"/>
      <c r="K20" s="418"/>
      <c r="L20" s="418"/>
      <c r="M20" s="418"/>
      <c r="N20" s="418"/>
      <c r="O20" s="418"/>
      <c r="P20" s="418"/>
      <c r="Q20" s="99" t="s">
        <v>267</v>
      </c>
      <c r="R20" s="100" t="s">
        <v>268</v>
      </c>
      <c r="S20" s="421"/>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62.5" customHeight="1" x14ac:dyDescent="0.2">
      <c r="A22" s="85">
        <v>1</v>
      </c>
      <c r="B22" s="326" t="s">
        <v>605</v>
      </c>
      <c r="C22" s="85" t="s">
        <v>606</v>
      </c>
      <c r="D22" s="85" t="s">
        <v>637</v>
      </c>
      <c r="E22" s="326" t="s">
        <v>607</v>
      </c>
      <c r="F22" s="326" t="s">
        <v>608</v>
      </c>
      <c r="G22" s="330" t="s">
        <v>609</v>
      </c>
      <c r="H22" s="85">
        <v>0.16</v>
      </c>
      <c r="I22" s="85"/>
      <c r="J22" s="85">
        <v>0.16</v>
      </c>
      <c r="K22" s="85" t="s">
        <v>596</v>
      </c>
      <c r="L22" s="85">
        <v>1</v>
      </c>
      <c r="M22" s="85">
        <v>0.25</v>
      </c>
      <c r="N22" s="85">
        <v>1</v>
      </c>
      <c r="O22" s="85"/>
      <c r="P22" s="85"/>
      <c r="Q22" s="97" t="s">
        <v>610</v>
      </c>
      <c r="R22" s="85"/>
      <c r="S22" s="326">
        <v>1.0220928</v>
      </c>
      <c r="T22" s="87"/>
      <c r="U22" s="87"/>
      <c r="V22" s="87"/>
      <c r="W22" s="87"/>
      <c r="X22" s="87"/>
      <c r="Y22" s="87"/>
      <c r="Z22" s="88"/>
      <c r="AA22" s="88"/>
      <c r="AB22" s="88"/>
    </row>
    <row r="23" spans="1:28" s="80" customFormat="1" ht="18.75" x14ac:dyDescent="0.2">
      <c r="A23" s="99"/>
      <c r="B23" s="325" t="s">
        <v>472</v>
      </c>
      <c r="C23" s="101"/>
      <c r="D23" s="338"/>
      <c r="E23" s="101"/>
      <c r="F23" s="101"/>
      <c r="G23" s="101"/>
      <c r="H23" s="54">
        <f>SUM(H22:H22)</f>
        <v>0.16</v>
      </c>
      <c r="I23" s="3"/>
      <c r="J23" s="54">
        <f>SUM(J22:J22)</f>
        <v>0.16</v>
      </c>
      <c r="K23" s="3"/>
      <c r="L23" s="3"/>
      <c r="M23" s="3"/>
      <c r="N23" s="3"/>
      <c r="O23" s="3"/>
      <c r="P23" s="3"/>
      <c r="Q23" s="3"/>
      <c r="R23" s="102"/>
      <c r="S23" s="54">
        <f>SUM(S22:S22)</f>
        <v>1.0220928</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3" zoomScale="80" zoomScaleNormal="60" zoomScaleSheetLayoutView="80" workbookViewId="0">
      <selection activeCell="H29" sqref="H29"/>
    </sheetView>
  </sheetViews>
  <sheetFormatPr defaultColWidth="10.7109375" defaultRowHeight="15.75" x14ac:dyDescent="0.25"/>
  <cols>
    <col min="1" max="1" width="9.5703125" style="6" customWidth="1"/>
    <col min="2" max="2" width="16.7109375" style="6" customWidth="1"/>
    <col min="3" max="3" width="19.7109375" style="6" customWidth="1"/>
    <col min="4" max="4" width="19" style="6" customWidth="1"/>
    <col min="5" max="5" width="11.140625" style="6" customWidth="1"/>
    <col min="6" max="6" width="17.85546875" style="6" customWidth="1"/>
    <col min="7" max="7" width="8.7109375" style="6" customWidth="1"/>
    <col min="8" max="8" width="36" style="150"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1"/>
      <c r="T2" s="1" t="s">
        <v>8</v>
      </c>
    </row>
    <row r="3" spans="1:20" s="2" customFormat="1" ht="18.75" customHeight="1" x14ac:dyDescent="0.3">
      <c r="H3" s="151"/>
      <c r="T3" s="1" t="s">
        <v>65</v>
      </c>
    </row>
    <row r="4" spans="1:20" s="2" customFormat="1" ht="18.75" customHeight="1" x14ac:dyDescent="0.3">
      <c r="H4" s="151"/>
      <c r="T4" s="1"/>
    </row>
    <row r="5" spans="1:20" s="2" customFormat="1" x14ac:dyDescent="0.2">
      <c r="A5" s="404" t="str">
        <f>'2. паспорт  ТП'!A4</f>
        <v>Год раскрытия информации: 2023 год</v>
      </c>
      <c r="B5" s="404"/>
      <c r="C5" s="404"/>
      <c r="D5" s="404"/>
      <c r="E5" s="404"/>
      <c r="F5" s="404"/>
      <c r="G5" s="404"/>
      <c r="H5" s="404"/>
      <c r="I5" s="404"/>
      <c r="J5" s="404"/>
      <c r="K5" s="404"/>
      <c r="L5" s="404"/>
      <c r="M5" s="404"/>
      <c r="N5" s="404"/>
      <c r="O5" s="404"/>
      <c r="P5" s="404"/>
      <c r="Q5" s="404"/>
      <c r="R5" s="404"/>
      <c r="S5" s="404"/>
      <c r="T5" s="404"/>
    </row>
    <row r="6" spans="1:20" s="2" customFormat="1" x14ac:dyDescent="0.2">
      <c r="A6" s="73"/>
      <c r="H6" s="151"/>
    </row>
    <row r="7" spans="1:20" s="2" customFormat="1" ht="18.75" x14ac:dyDescent="0.2">
      <c r="A7" s="411" t="s">
        <v>7</v>
      </c>
      <c r="B7" s="411"/>
      <c r="C7" s="411"/>
      <c r="D7" s="411"/>
      <c r="E7" s="411"/>
      <c r="F7" s="411"/>
      <c r="G7" s="411"/>
      <c r="H7" s="411"/>
      <c r="I7" s="411"/>
      <c r="J7" s="411"/>
      <c r="K7" s="411"/>
      <c r="L7" s="411"/>
      <c r="M7" s="411"/>
      <c r="N7" s="411"/>
      <c r="O7" s="411"/>
      <c r="P7" s="411"/>
      <c r="Q7" s="411"/>
      <c r="R7" s="411"/>
      <c r="S7" s="411"/>
      <c r="T7" s="411"/>
    </row>
    <row r="8" spans="1:20" s="2" customFormat="1" ht="18.75" x14ac:dyDescent="0.2">
      <c r="A8" s="411"/>
      <c r="B8" s="411"/>
      <c r="C8" s="411"/>
      <c r="D8" s="411"/>
      <c r="E8" s="411"/>
      <c r="F8" s="411"/>
      <c r="G8" s="411"/>
      <c r="H8" s="411"/>
      <c r="I8" s="411"/>
      <c r="J8" s="411"/>
      <c r="K8" s="411"/>
      <c r="L8" s="411"/>
      <c r="M8" s="411"/>
      <c r="N8" s="411"/>
      <c r="O8" s="411"/>
      <c r="P8" s="411"/>
      <c r="Q8" s="411"/>
      <c r="R8" s="411"/>
      <c r="S8" s="411"/>
      <c r="T8" s="411"/>
    </row>
    <row r="9" spans="1:20" s="2" customFormat="1" ht="18.75" customHeight="1" x14ac:dyDescent="0.2">
      <c r="A9" s="416" t="str">
        <f>'2. паспорт  ТП'!A8</f>
        <v>Акционерное общество "Россети Янтарь"</v>
      </c>
      <c r="B9" s="416"/>
      <c r="C9" s="416"/>
      <c r="D9" s="416"/>
      <c r="E9" s="416"/>
      <c r="F9" s="416"/>
      <c r="G9" s="416"/>
      <c r="H9" s="416"/>
      <c r="I9" s="416"/>
      <c r="J9" s="416"/>
      <c r="K9" s="416"/>
      <c r="L9" s="416"/>
      <c r="M9" s="416"/>
      <c r="N9" s="416"/>
      <c r="O9" s="416"/>
      <c r="P9" s="416"/>
      <c r="Q9" s="416"/>
      <c r="R9" s="416"/>
      <c r="S9" s="416"/>
      <c r="T9" s="416"/>
    </row>
    <row r="10" spans="1:20" s="2" customFormat="1" ht="18.75" customHeight="1" x14ac:dyDescent="0.2">
      <c r="A10" s="408" t="s">
        <v>6</v>
      </c>
      <c r="B10" s="408"/>
      <c r="C10" s="408"/>
      <c r="D10" s="408"/>
      <c r="E10" s="408"/>
      <c r="F10" s="408"/>
      <c r="G10" s="408"/>
      <c r="H10" s="408"/>
      <c r="I10" s="408"/>
      <c r="J10" s="408"/>
      <c r="K10" s="408"/>
      <c r="L10" s="408"/>
      <c r="M10" s="408"/>
      <c r="N10" s="408"/>
      <c r="O10" s="408"/>
      <c r="P10" s="408"/>
      <c r="Q10" s="408"/>
      <c r="R10" s="408"/>
      <c r="S10" s="408"/>
      <c r="T10" s="408"/>
    </row>
    <row r="11" spans="1:20" s="2" customFormat="1" ht="18.75" x14ac:dyDescent="0.2">
      <c r="A11" s="411"/>
      <c r="B11" s="411"/>
      <c r="C11" s="411"/>
      <c r="D11" s="411"/>
      <c r="E11" s="411"/>
      <c r="F11" s="411"/>
      <c r="G11" s="411"/>
      <c r="H11" s="411"/>
      <c r="I11" s="411"/>
      <c r="J11" s="411"/>
      <c r="K11" s="411"/>
      <c r="L11" s="411"/>
      <c r="M11" s="411"/>
      <c r="N11" s="411"/>
      <c r="O11" s="411"/>
      <c r="P11" s="411"/>
      <c r="Q11" s="411"/>
      <c r="R11" s="411"/>
      <c r="S11" s="411"/>
      <c r="T11" s="411"/>
    </row>
    <row r="12" spans="1:20" s="2" customFormat="1" ht="18.75" customHeight="1" x14ac:dyDescent="0.2">
      <c r="A12" s="416" t="str">
        <f>'2. паспорт  ТП'!A11</f>
        <v>M_21-0733</v>
      </c>
      <c r="B12" s="416"/>
      <c r="C12" s="416"/>
      <c r="D12" s="416"/>
      <c r="E12" s="416"/>
      <c r="F12" s="416"/>
      <c r="G12" s="416"/>
      <c r="H12" s="416"/>
      <c r="I12" s="416"/>
      <c r="J12" s="416"/>
      <c r="K12" s="416"/>
      <c r="L12" s="416"/>
      <c r="M12" s="416"/>
      <c r="N12" s="416"/>
      <c r="O12" s="416"/>
      <c r="P12" s="416"/>
      <c r="Q12" s="416"/>
      <c r="R12" s="416"/>
      <c r="S12" s="416"/>
      <c r="T12" s="416"/>
    </row>
    <row r="13" spans="1:20" s="2" customFormat="1" ht="18.75" customHeight="1" x14ac:dyDescent="0.2">
      <c r="A13" s="408" t="s">
        <v>5</v>
      </c>
      <c r="B13" s="408"/>
      <c r="C13" s="408"/>
      <c r="D13" s="408"/>
      <c r="E13" s="408"/>
      <c r="F13" s="408"/>
      <c r="G13" s="408"/>
      <c r="H13" s="408"/>
      <c r="I13" s="408"/>
      <c r="J13" s="408"/>
      <c r="K13" s="408"/>
      <c r="L13" s="408"/>
      <c r="M13" s="408"/>
      <c r="N13" s="408"/>
      <c r="O13" s="408"/>
      <c r="P13" s="408"/>
      <c r="Q13" s="408"/>
      <c r="R13" s="408"/>
      <c r="S13" s="408"/>
      <c r="T13" s="408"/>
    </row>
    <row r="14" spans="1:20" s="79" customFormat="1" ht="15.75" customHeight="1" x14ac:dyDescent="0.2">
      <c r="A14" s="417"/>
      <c r="B14" s="417"/>
      <c r="C14" s="417"/>
      <c r="D14" s="417"/>
      <c r="E14" s="417"/>
      <c r="F14" s="417"/>
      <c r="G14" s="417"/>
      <c r="H14" s="417"/>
      <c r="I14" s="417"/>
      <c r="J14" s="417"/>
      <c r="K14" s="417"/>
      <c r="L14" s="417"/>
      <c r="M14" s="417"/>
      <c r="N14" s="417"/>
      <c r="O14" s="417"/>
      <c r="P14" s="417"/>
      <c r="Q14" s="417"/>
      <c r="R14" s="417"/>
      <c r="S14" s="417"/>
      <c r="T14" s="417"/>
    </row>
    <row r="15" spans="1:20" s="80" customFormat="1" ht="42.75" customHeight="1" x14ac:dyDescent="0.2">
      <c r="A15" s="413" t="str">
        <f>'2. паспорт  ТП'!A14</f>
        <v>Строительство ТП 15/0,4 кВ, ЛЭП 15 кВ от ВЛ 15-141 (инв. № 5114675), организация системы учета электроэнергии в п. Кумачево, ул. Березовая Гурьевского района</v>
      </c>
      <c r="B15" s="413"/>
      <c r="C15" s="413"/>
      <c r="D15" s="413"/>
      <c r="E15" s="413"/>
      <c r="F15" s="413"/>
      <c r="G15" s="413"/>
      <c r="H15" s="413"/>
      <c r="I15" s="413"/>
      <c r="J15" s="413"/>
      <c r="K15" s="413"/>
      <c r="L15" s="413"/>
      <c r="M15" s="413"/>
      <c r="N15" s="413"/>
      <c r="O15" s="413"/>
      <c r="P15" s="413"/>
      <c r="Q15" s="413"/>
      <c r="R15" s="413"/>
      <c r="S15" s="413"/>
      <c r="T15" s="413"/>
    </row>
    <row r="16" spans="1:20" s="80" customFormat="1" ht="15" customHeight="1" x14ac:dyDescent="0.2">
      <c r="A16" s="408" t="s">
        <v>4</v>
      </c>
      <c r="B16" s="408"/>
      <c r="C16" s="408"/>
      <c r="D16" s="408"/>
      <c r="E16" s="408"/>
      <c r="F16" s="408"/>
      <c r="G16" s="408"/>
      <c r="H16" s="408"/>
      <c r="I16" s="408"/>
      <c r="J16" s="408"/>
      <c r="K16" s="408"/>
      <c r="L16" s="408"/>
      <c r="M16" s="408"/>
      <c r="N16" s="408"/>
      <c r="O16" s="408"/>
      <c r="P16" s="408"/>
      <c r="Q16" s="408"/>
      <c r="R16" s="408"/>
      <c r="S16" s="408"/>
      <c r="T16" s="408"/>
    </row>
    <row r="17" spans="1:113" s="80" customFormat="1" ht="15" customHeight="1" x14ac:dyDescent="0.2">
      <c r="A17" s="414"/>
      <c r="B17" s="414"/>
      <c r="C17" s="414"/>
      <c r="D17" s="414"/>
      <c r="E17" s="414"/>
      <c r="F17" s="414"/>
      <c r="G17" s="414"/>
      <c r="H17" s="414"/>
      <c r="I17" s="414"/>
      <c r="J17" s="414"/>
      <c r="K17" s="414"/>
      <c r="L17" s="414"/>
      <c r="M17" s="414"/>
      <c r="N17" s="414"/>
      <c r="O17" s="414"/>
      <c r="P17" s="414"/>
      <c r="Q17" s="414"/>
      <c r="R17" s="414"/>
      <c r="S17" s="414"/>
      <c r="T17" s="414"/>
    </row>
    <row r="18" spans="1:113" s="80" customFormat="1" ht="15" customHeight="1" x14ac:dyDescent="0.2">
      <c r="A18" s="410" t="s">
        <v>353</v>
      </c>
      <c r="B18" s="410"/>
      <c r="C18" s="410"/>
      <c r="D18" s="410"/>
      <c r="E18" s="410"/>
      <c r="F18" s="410"/>
      <c r="G18" s="410"/>
      <c r="H18" s="410"/>
      <c r="I18" s="410"/>
      <c r="J18" s="410"/>
      <c r="K18" s="410"/>
      <c r="L18" s="410"/>
      <c r="M18" s="410"/>
      <c r="N18" s="410"/>
      <c r="O18" s="410"/>
      <c r="P18" s="410"/>
      <c r="Q18" s="410"/>
      <c r="R18" s="410"/>
      <c r="S18" s="410"/>
      <c r="T18" s="410"/>
    </row>
    <row r="19" spans="1:113" s="13" customFormat="1" ht="21" customHeight="1" x14ac:dyDescent="0.25">
      <c r="A19" s="425"/>
      <c r="B19" s="425"/>
      <c r="C19" s="425"/>
      <c r="D19" s="425"/>
      <c r="E19" s="425"/>
      <c r="F19" s="425"/>
      <c r="G19" s="425"/>
      <c r="H19" s="425"/>
      <c r="I19" s="425"/>
      <c r="J19" s="425"/>
      <c r="K19" s="425"/>
      <c r="L19" s="425"/>
      <c r="M19" s="425"/>
      <c r="N19" s="425"/>
      <c r="O19" s="425"/>
      <c r="P19" s="425"/>
      <c r="Q19" s="425"/>
      <c r="R19" s="425"/>
      <c r="S19" s="425"/>
      <c r="T19" s="425"/>
    </row>
    <row r="20" spans="1:113" ht="46.5" customHeight="1" x14ac:dyDescent="0.25">
      <c r="A20" s="434" t="s">
        <v>3</v>
      </c>
      <c r="B20" s="427" t="s">
        <v>194</v>
      </c>
      <c r="C20" s="428"/>
      <c r="D20" s="431" t="s">
        <v>116</v>
      </c>
      <c r="E20" s="427" t="s">
        <v>380</v>
      </c>
      <c r="F20" s="428"/>
      <c r="G20" s="427" t="s">
        <v>212</v>
      </c>
      <c r="H20" s="428"/>
      <c r="I20" s="427" t="s">
        <v>115</v>
      </c>
      <c r="J20" s="428"/>
      <c r="K20" s="431" t="s">
        <v>114</v>
      </c>
      <c r="L20" s="427" t="s">
        <v>113</v>
      </c>
      <c r="M20" s="428"/>
      <c r="N20" s="427" t="s">
        <v>451</v>
      </c>
      <c r="O20" s="428"/>
      <c r="P20" s="431" t="s">
        <v>112</v>
      </c>
      <c r="Q20" s="422" t="s">
        <v>111</v>
      </c>
      <c r="R20" s="423"/>
      <c r="S20" s="422" t="s">
        <v>110</v>
      </c>
      <c r="T20" s="424"/>
    </row>
    <row r="21" spans="1:113" ht="204.75" customHeight="1" x14ac:dyDescent="0.25">
      <c r="A21" s="435"/>
      <c r="B21" s="429"/>
      <c r="C21" s="430"/>
      <c r="D21" s="433"/>
      <c r="E21" s="429"/>
      <c r="F21" s="430"/>
      <c r="G21" s="429"/>
      <c r="H21" s="430"/>
      <c r="I21" s="429"/>
      <c r="J21" s="430"/>
      <c r="K21" s="432"/>
      <c r="L21" s="429"/>
      <c r="M21" s="430"/>
      <c r="N21" s="429"/>
      <c r="O21" s="430"/>
      <c r="P21" s="432"/>
      <c r="Q21" s="26" t="s">
        <v>109</v>
      </c>
      <c r="R21" s="26" t="s">
        <v>352</v>
      </c>
      <c r="S21" s="26" t="s">
        <v>108</v>
      </c>
      <c r="T21" s="26" t="s">
        <v>107</v>
      </c>
    </row>
    <row r="22" spans="1:113" ht="51.75" customHeight="1" x14ac:dyDescent="0.25">
      <c r="A22" s="436"/>
      <c r="B22" s="47" t="s">
        <v>105</v>
      </c>
      <c r="C22" s="47" t="s">
        <v>106</v>
      </c>
      <c r="D22" s="432"/>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2">
        <v>8</v>
      </c>
      <c r="I23" s="14">
        <v>9</v>
      </c>
      <c r="J23" s="14">
        <v>10</v>
      </c>
      <c r="K23" s="14">
        <v>11</v>
      </c>
      <c r="L23" s="14">
        <v>12</v>
      </c>
      <c r="M23" s="14">
        <v>13</v>
      </c>
      <c r="N23" s="14">
        <v>14</v>
      </c>
      <c r="O23" s="14">
        <v>15</v>
      </c>
      <c r="P23" s="14">
        <v>16</v>
      </c>
      <c r="Q23" s="14">
        <v>17</v>
      </c>
      <c r="R23" s="14">
        <v>18</v>
      </c>
      <c r="S23" s="14">
        <v>19</v>
      </c>
      <c r="T23" s="14">
        <v>20</v>
      </c>
    </row>
    <row r="24" spans="1:113" s="331" customFormat="1" ht="47.25" x14ac:dyDescent="0.25">
      <c r="A24" s="332">
        <v>1</v>
      </c>
      <c r="B24" s="332" t="s">
        <v>265</v>
      </c>
      <c r="C24" s="333" t="s">
        <v>632</v>
      </c>
      <c r="D24" s="327" t="s">
        <v>101</v>
      </c>
      <c r="E24" s="328" t="s">
        <v>265</v>
      </c>
      <c r="F24" s="327" t="s">
        <v>611</v>
      </c>
      <c r="G24" s="328" t="s">
        <v>265</v>
      </c>
      <c r="H24" s="327" t="s">
        <v>612</v>
      </c>
      <c r="I24" s="328" t="s">
        <v>265</v>
      </c>
      <c r="J24" s="328">
        <v>2020</v>
      </c>
      <c r="K24" s="328" t="s">
        <v>265</v>
      </c>
      <c r="L24" s="328" t="s">
        <v>265</v>
      </c>
      <c r="M24" s="328">
        <v>15</v>
      </c>
      <c r="N24" s="328">
        <v>0</v>
      </c>
      <c r="O24" s="327">
        <v>0.16</v>
      </c>
      <c r="P24" s="328" t="s">
        <v>265</v>
      </c>
      <c r="Q24" s="328" t="s">
        <v>265</v>
      </c>
      <c r="R24" s="328" t="s">
        <v>265</v>
      </c>
      <c r="S24" s="328" t="s">
        <v>265</v>
      </c>
      <c r="T24" s="328" t="s">
        <v>265</v>
      </c>
    </row>
    <row r="25" spans="1:113" s="12" customFormat="1" x14ac:dyDescent="0.25">
      <c r="B25" s="10" t="s">
        <v>104</v>
      </c>
      <c r="C25" s="10"/>
      <c r="D25" s="10"/>
      <c r="E25" s="10"/>
      <c r="F25" s="10"/>
      <c r="G25" s="10"/>
      <c r="H25" s="153"/>
      <c r="I25" s="10"/>
      <c r="J25" s="10"/>
      <c r="K25" s="10"/>
      <c r="L25" s="10"/>
      <c r="M25" s="10"/>
      <c r="N25" s="10">
        <f>SUM(N24:N24)</f>
        <v>0</v>
      </c>
      <c r="O25" s="10">
        <f>SUM(O24:O24)</f>
        <v>0.16</v>
      </c>
      <c r="P25" s="10">
        <f>O25-N25</f>
        <v>0.16</v>
      </c>
      <c r="Q25" s="10"/>
      <c r="R25" s="10"/>
    </row>
    <row r="26" spans="1:113" x14ac:dyDescent="0.25">
      <c r="B26" s="426" t="s">
        <v>386</v>
      </c>
      <c r="C26" s="426"/>
      <c r="D26" s="426"/>
      <c r="E26" s="426"/>
      <c r="F26" s="426"/>
      <c r="G26" s="426"/>
      <c r="H26" s="426"/>
      <c r="I26" s="426"/>
      <c r="J26" s="426"/>
      <c r="K26" s="426"/>
      <c r="L26" s="426"/>
      <c r="M26" s="426"/>
      <c r="N26" s="426"/>
      <c r="O26" s="426"/>
      <c r="P26" s="426"/>
      <c r="Q26" s="426"/>
      <c r="R26" s="426"/>
    </row>
    <row r="27" spans="1:113" x14ac:dyDescent="0.25">
      <c r="B27" s="10"/>
      <c r="C27" s="10"/>
      <c r="D27" s="10"/>
      <c r="E27" s="10"/>
      <c r="F27" s="10"/>
      <c r="G27" s="10"/>
      <c r="H27" s="153"/>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4"/>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4"/>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4"/>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4"/>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4"/>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4"/>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4"/>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4"/>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4"/>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4"/>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5"/>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5"/>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E10" zoomScale="70" zoomScaleSheetLayoutView="70" workbookViewId="0">
      <selection activeCell="E26" sqref="E26"/>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4" t="str">
        <f>'3.1. паспорт Техсостояние ПС'!A5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6" t="str">
        <f>'3.1. паспорт Техсостояние ПС'!A9</f>
        <v>Акционерное общество "Россети Янтарь"</v>
      </c>
      <c r="F9" s="416"/>
      <c r="G9" s="416"/>
      <c r="H9" s="416"/>
      <c r="I9" s="416"/>
      <c r="J9" s="416"/>
      <c r="K9" s="416"/>
      <c r="L9" s="416"/>
      <c r="M9" s="416"/>
      <c r="N9" s="416"/>
      <c r="O9" s="416"/>
      <c r="P9" s="416"/>
      <c r="Q9" s="416"/>
      <c r="R9" s="416"/>
      <c r="S9" s="416"/>
      <c r="T9" s="416"/>
      <c r="U9" s="416"/>
      <c r="V9" s="416"/>
      <c r="W9" s="416"/>
      <c r="X9" s="416"/>
      <c r="Y9" s="416"/>
    </row>
    <row r="10" spans="1:27" s="2" customFormat="1" ht="18.75" customHeight="1" x14ac:dyDescent="0.2">
      <c r="E10" s="408" t="s">
        <v>6</v>
      </c>
      <c r="F10" s="408"/>
      <c r="G10" s="408"/>
      <c r="H10" s="408"/>
      <c r="I10" s="408"/>
      <c r="J10" s="408"/>
      <c r="K10" s="408"/>
      <c r="L10" s="408"/>
      <c r="M10" s="408"/>
      <c r="N10" s="408"/>
      <c r="O10" s="408"/>
      <c r="P10" s="408"/>
      <c r="Q10" s="408"/>
      <c r="R10" s="408"/>
      <c r="S10" s="408"/>
      <c r="T10" s="408"/>
      <c r="U10" s="408"/>
      <c r="V10" s="408"/>
      <c r="W10" s="408"/>
      <c r="X10" s="408"/>
      <c r="Y10" s="408"/>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6" t="str">
        <f>'1. паспорт местоположение'!A12</f>
        <v>M_21-0733</v>
      </c>
      <c r="F12" s="416"/>
      <c r="G12" s="416"/>
      <c r="H12" s="416"/>
      <c r="I12" s="416"/>
      <c r="J12" s="416"/>
      <c r="K12" s="416"/>
      <c r="L12" s="416"/>
      <c r="M12" s="416"/>
      <c r="N12" s="416"/>
      <c r="O12" s="416"/>
      <c r="P12" s="416"/>
      <c r="Q12" s="416"/>
      <c r="R12" s="416"/>
      <c r="S12" s="416"/>
      <c r="T12" s="416"/>
      <c r="U12" s="416"/>
      <c r="V12" s="416"/>
      <c r="W12" s="416"/>
      <c r="X12" s="416"/>
      <c r="Y12" s="416"/>
    </row>
    <row r="13" spans="1:27" s="2" customFormat="1" ht="18.75" customHeight="1" x14ac:dyDescent="0.2">
      <c r="E13" s="408" t="s">
        <v>5</v>
      </c>
      <c r="F13" s="408"/>
      <c r="G13" s="408"/>
      <c r="H13" s="408"/>
      <c r="I13" s="408"/>
      <c r="J13" s="408"/>
      <c r="K13" s="408"/>
      <c r="L13" s="408"/>
      <c r="M13" s="408"/>
      <c r="N13" s="408"/>
      <c r="O13" s="408"/>
      <c r="P13" s="408"/>
      <c r="Q13" s="408"/>
      <c r="R13" s="408"/>
      <c r="S13" s="408"/>
      <c r="T13" s="408"/>
      <c r="U13" s="408"/>
      <c r="V13" s="408"/>
      <c r="W13" s="408"/>
      <c r="X13" s="408"/>
      <c r="Y13" s="408"/>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3" t="str">
        <f>'3.1. паспорт Техсостояние ПС'!A15</f>
        <v>Строительство ТП 15/0,4 кВ, ЛЭП 15 кВ от ВЛ 15-141 (инв. № 5114675), организация системы учета электроэнергии в п. Кумачево, ул. Березовая Гурьевского района</v>
      </c>
      <c r="F15" s="413"/>
      <c r="G15" s="413"/>
      <c r="H15" s="413"/>
      <c r="I15" s="413"/>
      <c r="J15" s="413"/>
      <c r="K15" s="413"/>
      <c r="L15" s="413"/>
      <c r="M15" s="413"/>
      <c r="N15" s="413"/>
      <c r="O15" s="413"/>
      <c r="P15" s="413"/>
      <c r="Q15" s="413"/>
      <c r="R15" s="413"/>
      <c r="S15" s="413"/>
      <c r="T15" s="413"/>
      <c r="U15" s="413"/>
      <c r="V15" s="413"/>
      <c r="W15" s="413"/>
      <c r="X15" s="413"/>
      <c r="Y15" s="413"/>
    </row>
    <row r="16" spans="1:27" s="80" customFormat="1" ht="15" customHeight="1" x14ac:dyDescent="0.2">
      <c r="E16" s="408" t="s">
        <v>4</v>
      </c>
      <c r="F16" s="408"/>
      <c r="G16" s="408"/>
      <c r="H16" s="408"/>
      <c r="I16" s="408"/>
      <c r="J16" s="408"/>
      <c r="K16" s="408"/>
      <c r="L16" s="408"/>
      <c r="M16" s="408"/>
      <c r="N16" s="408"/>
      <c r="O16" s="408"/>
      <c r="P16" s="408"/>
      <c r="Q16" s="408"/>
      <c r="R16" s="408"/>
      <c r="S16" s="408"/>
      <c r="T16" s="408"/>
      <c r="U16" s="408"/>
      <c r="V16" s="408"/>
      <c r="W16" s="408"/>
      <c r="X16" s="408"/>
      <c r="Y16" s="408"/>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355</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13" customFormat="1" ht="21" customHeight="1" x14ac:dyDescent="0.25"/>
    <row r="21" spans="1:27" ht="15.75" customHeight="1" x14ac:dyDescent="0.25">
      <c r="A21" s="437" t="s">
        <v>3</v>
      </c>
      <c r="B21" s="437" t="s">
        <v>362</v>
      </c>
      <c r="C21" s="437"/>
      <c r="D21" s="437" t="s">
        <v>364</v>
      </c>
      <c r="E21" s="437"/>
      <c r="F21" s="437" t="s">
        <v>88</v>
      </c>
      <c r="G21" s="437"/>
      <c r="H21" s="437"/>
      <c r="I21" s="437"/>
      <c r="J21" s="437" t="s">
        <v>365</v>
      </c>
      <c r="K21" s="437" t="s">
        <v>366</v>
      </c>
      <c r="L21" s="437"/>
      <c r="M21" s="437" t="s">
        <v>367</v>
      </c>
      <c r="N21" s="437"/>
      <c r="O21" s="437" t="s">
        <v>354</v>
      </c>
      <c r="P21" s="437"/>
      <c r="Q21" s="437" t="s">
        <v>121</v>
      </c>
      <c r="R21" s="437"/>
      <c r="S21" s="437" t="s">
        <v>120</v>
      </c>
      <c r="T21" s="437" t="s">
        <v>368</v>
      </c>
      <c r="U21" s="437" t="s">
        <v>363</v>
      </c>
      <c r="V21" s="437" t="s">
        <v>119</v>
      </c>
      <c r="W21" s="437"/>
      <c r="X21" s="437" t="s">
        <v>111</v>
      </c>
      <c r="Y21" s="437"/>
      <c r="Z21" s="437" t="s">
        <v>110</v>
      </c>
      <c r="AA21" s="437"/>
    </row>
    <row r="22" spans="1:27" ht="216" customHeight="1" x14ac:dyDescent="0.25">
      <c r="A22" s="437"/>
      <c r="B22" s="437"/>
      <c r="C22" s="437"/>
      <c r="D22" s="437"/>
      <c r="E22" s="437"/>
      <c r="F22" s="437" t="s">
        <v>118</v>
      </c>
      <c r="G22" s="437"/>
      <c r="H22" s="437" t="s">
        <v>117</v>
      </c>
      <c r="I22" s="437"/>
      <c r="J22" s="437"/>
      <c r="K22" s="437"/>
      <c r="L22" s="437"/>
      <c r="M22" s="437"/>
      <c r="N22" s="437"/>
      <c r="O22" s="437"/>
      <c r="P22" s="437"/>
      <c r="Q22" s="437"/>
      <c r="R22" s="437"/>
      <c r="S22" s="437"/>
      <c r="T22" s="437"/>
      <c r="U22" s="437"/>
      <c r="V22" s="437"/>
      <c r="W22" s="437"/>
      <c r="X22" s="225" t="s">
        <v>109</v>
      </c>
      <c r="Y22" s="225" t="s">
        <v>352</v>
      </c>
      <c r="Z22" s="225" t="s">
        <v>108</v>
      </c>
      <c r="AA22" s="225" t="s">
        <v>107</v>
      </c>
    </row>
    <row r="23" spans="1:27" ht="60" customHeight="1" x14ac:dyDescent="0.25">
      <c r="A23" s="437"/>
      <c r="B23" s="225" t="s">
        <v>105</v>
      </c>
      <c r="C23" s="225" t="s">
        <v>106</v>
      </c>
      <c r="D23" s="225" t="s">
        <v>105</v>
      </c>
      <c r="E23" s="225" t="s">
        <v>106</v>
      </c>
      <c r="F23" s="225" t="s">
        <v>105</v>
      </c>
      <c r="G23" s="225" t="s">
        <v>106</v>
      </c>
      <c r="H23" s="225" t="s">
        <v>105</v>
      </c>
      <c r="I23" s="225" t="s">
        <v>106</v>
      </c>
      <c r="J23" s="225" t="s">
        <v>105</v>
      </c>
      <c r="K23" s="225" t="s">
        <v>105</v>
      </c>
      <c r="L23" s="225" t="s">
        <v>106</v>
      </c>
      <c r="M23" s="225" t="s">
        <v>105</v>
      </c>
      <c r="N23" s="225" t="s">
        <v>106</v>
      </c>
      <c r="O23" s="225" t="s">
        <v>105</v>
      </c>
      <c r="P23" s="225" t="s">
        <v>106</v>
      </c>
      <c r="Q23" s="225" t="s">
        <v>105</v>
      </c>
      <c r="R23" s="225" t="s">
        <v>106</v>
      </c>
      <c r="S23" s="225" t="s">
        <v>105</v>
      </c>
      <c r="T23" s="225" t="s">
        <v>105</v>
      </c>
      <c r="U23" s="225" t="s">
        <v>105</v>
      </c>
      <c r="V23" s="225" t="s">
        <v>105</v>
      </c>
      <c r="W23" s="225" t="s">
        <v>106</v>
      </c>
      <c r="X23" s="225" t="s">
        <v>105</v>
      </c>
      <c r="Y23" s="225" t="s">
        <v>105</v>
      </c>
      <c r="Z23" s="225" t="s">
        <v>105</v>
      </c>
      <c r="AA23" s="225" t="s">
        <v>105</v>
      </c>
    </row>
    <row r="24" spans="1:27" x14ac:dyDescent="0.25">
      <c r="A24" s="226">
        <v>1</v>
      </c>
      <c r="B24" s="226">
        <v>2</v>
      </c>
      <c r="C24" s="226">
        <v>3</v>
      </c>
      <c r="D24" s="226">
        <v>4</v>
      </c>
      <c r="E24" s="226">
        <v>5</v>
      </c>
      <c r="F24" s="226">
        <v>6</v>
      </c>
      <c r="G24" s="226">
        <v>7</v>
      </c>
      <c r="H24" s="226">
        <v>8</v>
      </c>
      <c r="I24" s="226">
        <v>9</v>
      </c>
      <c r="J24" s="226">
        <v>10</v>
      </c>
      <c r="K24" s="226">
        <v>11</v>
      </c>
      <c r="L24" s="226">
        <v>12</v>
      </c>
      <c r="M24" s="226">
        <v>13</v>
      </c>
      <c r="N24" s="226">
        <v>14</v>
      </c>
      <c r="O24" s="226">
        <v>15</v>
      </c>
      <c r="P24" s="226">
        <v>16</v>
      </c>
      <c r="Q24" s="226">
        <v>19</v>
      </c>
      <c r="R24" s="226">
        <v>20</v>
      </c>
      <c r="S24" s="226">
        <v>21</v>
      </c>
      <c r="T24" s="226">
        <v>22</v>
      </c>
      <c r="U24" s="226">
        <v>23</v>
      </c>
      <c r="V24" s="226">
        <v>24</v>
      </c>
      <c r="W24" s="226">
        <v>25</v>
      </c>
      <c r="X24" s="226">
        <v>26</v>
      </c>
      <c r="Y24" s="226">
        <v>27</v>
      </c>
      <c r="Z24" s="226">
        <v>28</v>
      </c>
      <c r="AA24" s="226">
        <v>29</v>
      </c>
    </row>
    <row r="25" spans="1:27" s="156" customFormat="1" x14ac:dyDescent="0.25">
      <c r="A25" s="323">
        <v>1</v>
      </c>
      <c r="B25" s="324" t="s">
        <v>613</v>
      </c>
      <c r="C25" s="324" t="s">
        <v>613</v>
      </c>
      <c r="D25" s="324" t="s">
        <v>265</v>
      </c>
      <c r="E25" s="324" t="s">
        <v>633</v>
      </c>
      <c r="F25" s="323" t="s">
        <v>265</v>
      </c>
      <c r="G25" s="323">
        <v>15</v>
      </c>
      <c r="H25" s="323" t="s">
        <v>265</v>
      </c>
      <c r="I25" s="323">
        <v>15</v>
      </c>
      <c r="J25" s="323" t="s">
        <v>265</v>
      </c>
      <c r="K25" s="323" t="s">
        <v>265</v>
      </c>
      <c r="L25" s="323">
        <v>1</v>
      </c>
      <c r="M25" s="323" t="s">
        <v>265</v>
      </c>
      <c r="N25" s="323">
        <v>50</v>
      </c>
      <c r="O25" s="323" t="s">
        <v>265</v>
      </c>
      <c r="P25" s="323" t="s">
        <v>578</v>
      </c>
      <c r="Q25" s="323" t="s">
        <v>265</v>
      </c>
      <c r="R25" s="323">
        <v>0.14199999999999999</v>
      </c>
      <c r="S25" s="323" t="s">
        <v>265</v>
      </c>
      <c r="T25" s="323" t="s">
        <v>265</v>
      </c>
      <c r="U25" s="323" t="s">
        <v>265</v>
      </c>
      <c r="V25" s="323" t="s">
        <v>265</v>
      </c>
      <c r="W25" s="323" t="s">
        <v>614</v>
      </c>
      <c r="X25" s="323" t="s">
        <v>265</v>
      </c>
      <c r="Y25" s="323" t="s">
        <v>265</v>
      </c>
      <c r="Z25" s="323" t="s">
        <v>265</v>
      </c>
      <c r="AA25" s="323" t="s">
        <v>265</v>
      </c>
    </row>
    <row r="26" spans="1:27" x14ac:dyDescent="0.25">
      <c r="Q26" s="6">
        <f>SUM(Q25:Q25)</f>
        <v>0</v>
      </c>
      <c r="R26" s="6">
        <f>SUM(R25:R25)</f>
        <v>0.14199999999999999</v>
      </c>
      <c r="S26" s="6">
        <f>R26-Q26</f>
        <v>0.14199999999999999</v>
      </c>
    </row>
  </sheetData>
  <mergeCells count="27">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29" sqref="C29"/>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4" t="str">
        <f>'3.2 паспорт Техсостояние ЛЭП'!A5</f>
        <v>Год раскрытия информации: 2023 год</v>
      </c>
      <c r="B5" s="404"/>
      <c r="C5" s="404"/>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11" t="s">
        <v>7</v>
      </c>
      <c r="B7" s="411"/>
      <c r="C7" s="411"/>
      <c r="D7" s="74"/>
      <c r="E7" s="74"/>
      <c r="F7" s="74"/>
      <c r="G7" s="74"/>
      <c r="H7" s="74"/>
      <c r="I7" s="74"/>
      <c r="J7" s="74"/>
      <c r="K7" s="74"/>
      <c r="L7" s="74"/>
      <c r="M7" s="74"/>
      <c r="N7" s="74"/>
      <c r="O7" s="74"/>
      <c r="P7" s="74"/>
      <c r="Q7" s="74"/>
      <c r="R7" s="74"/>
      <c r="S7" s="74"/>
      <c r="T7" s="74"/>
      <c r="U7" s="74"/>
    </row>
    <row r="8" spans="1:29" s="2" customFormat="1" ht="18.75" x14ac:dyDescent="0.2">
      <c r="A8" s="411"/>
      <c r="B8" s="411"/>
      <c r="C8" s="411"/>
      <c r="D8" s="75"/>
      <c r="E8" s="75"/>
      <c r="F8" s="75"/>
      <c r="G8" s="75"/>
      <c r="H8" s="74"/>
      <c r="I8" s="74"/>
      <c r="J8" s="74"/>
      <c r="K8" s="74"/>
      <c r="L8" s="74"/>
      <c r="M8" s="74"/>
      <c r="N8" s="74"/>
      <c r="O8" s="74"/>
      <c r="P8" s="74"/>
      <c r="Q8" s="74"/>
      <c r="R8" s="74"/>
      <c r="S8" s="74"/>
      <c r="T8" s="74"/>
      <c r="U8" s="74"/>
    </row>
    <row r="9" spans="1:29" s="2" customFormat="1" ht="18.75" x14ac:dyDescent="0.2">
      <c r="A9" s="416" t="str">
        <f>'3.2 паспорт Техсостояние ЛЭП'!E9</f>
        <v>Акционерное общество "Россети Янтарь"</v>
      </c>
      <c r="B9" s="416"/>
      <c r="C9" s="416"/>
      <c r="D9" s="76"/>
      <c r="E9" s="76"/>
      <c r="F9" s="76"/>
      <c r="G9" s="76"/>
      <c r="H9" s="74"/>
      <c r="I9" s="74"/>
      <c r="J9" s="74"/>
      <c r="K9" s="74"/>
      <c r="L9" s="74"/>
      <c r="M9" s="74"/>
      <c r="N9" s="74"/>
      <c r="O9" s="74"/>
      <c r="P9" s="74"/>
      <c r="Q9" s="74"/>
      <c r="R9" s="74"/>
      <c r="S9" s="74"/>
      <c r="T9" s="74"/>
      <c r="U9" s="74"/>
    </row>
    <row r="10" spans="1:29" s="2" customFormat="1" ht="18.75" x14ac:dyDescent="0.2">
      <c r="A10" s="408" t="s">
        <v>6</v>
      </c>
      <c r="B10" s="408"/>
      <c r="C10" s="408"/>
      <c r="D10" s="77"/>
      <c r="E10" s="77"/>
      <c r="F10" s="77"/>
      <c r="G10" s="77"/>
      <c r="H10" s="74"/>
      <c r="I10" s="74"/>
      <c r="J10" s="74"/>
      <c r="K10" s="74"/>
      <c r="L10" s="74"/>
      <c r="M10" s="74"/>
      <c r="N10" s="74"/>
      <c r="O10" s="74"/>
      <c r="P10" s="74"/>
      <c r="Q10" s="74"/>
      <c r="R10" s="74"/>
      <c r="S10" s="74"/>
      <c r="T10" s="74"/>
      <c r="U10" s="74"/>
    </row>
    <row r="11" spans="1:29" s="2" customFormat="1" ht="18.75" x14ac:dyDescent="0.2">
      <c r="A11" s="411"/>
      <c r="B11" s="411"/>
      <c r="C11" s="411"/>
      <c r="D11" s="75"/>
      <c r="E11" s="75"/>
      <c r="F11" s="75"/>
      <c r="G11" s="75"/>
      <c r="H11" s="74"/>
      <c r="I11" s="74"/>
      <c r="J11" s="74"/>
      <c r="K11" s="74"/>
      <c r="L11" s="74"/>
      <c r="M11" s="74"/>
      <c r="N11" s="74"/>
      <c r="O11" s="74"/>
      <c r="P11" s="74"/>
      <c r="Q11" s="74"/>
      <c r="R11" s="74"/>
      <c r="S11" s="74"/>
      <c r="T11" s="74"/>
      <c r="U11" s="74"/>
    </row>
    <row r="12" spans="1:29" s="2" customFormat="1" ht="18.75" x14ac:dyDescent="0.2">
      <c r="A12" s="416" t="str">
        <f>'3.2 паспорт Техсостояние ЛЭП'!E12</f>
        <v>M_21-0733</v>
      </c>
      <c r="B12" s="416"/>
      <c r="C12" s="416"/>
      <c r="D12" s="76"/>
      <c r="E12" s="76"/>
      <c r="F12" s="76"/>
      <c r="G12" s="76"/>
      <c r="H12" s="74"/>
      <c r="I12" s="74"/>
      <c r="J12" s="74"/>
      <c r="K12" s="74"/>
      <c r="L12" s="74"/>
      <c r="M12" s="74"/>
      <c r="N12" s="74"/>
      <c r="O12" s="74"/>
      <c r="P12" s="74"/>
      <c r="Q12" s="74"/>
      <c r="R12" s="74"/>
      <c r="S12" s="74"/>
      <c r="T12" s="74"/>
      <c r="U12" s="74"/>
    </row>
    <row r="13" spans="1:29" s="2" customFormat="1" ht="18.75" x14ac:dyDescent="0.2">
      <c r="A13" s="408" t="s">
        <v>5</v>
      </c>
      <c r="B13" s="408"/>
      <c r="C13" s="408"/>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17"/>
      <c r="B14" s="417"/>
      <c r="C14" s="417"/>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3" t="str">
        <f>'3.2 паспорт Техсостояние ЛЭП'!E15</f>
        <v>Строительство ТП 15/0,4 кВ, ЛЭП 15 кВ от ВЛ 15-141 (инв. № 5114675), организация системы учета электроэнергии в п. Кумачево, ул. Березовая Гурьевского района</v>
      </c>
      <c r="B15" s="413"/>
      <c r="C15" s="413"/>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08" t="s">
        <v>4</v>
      </c>
      <c r="B16" s="408"/>
      <c r="C16" s="408"/>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4"/>
      <c r="B17" s="414"/>
      <c r="C17" s="414"/>
      <c r="D17" s="81"/>
      <c r="E17" s="81"/>
      <c r="F17" s="81"/>
      <c r="G17" s="81"/>
      <c r="H17" s="81"/>
      <c r="I17" s="81"/>
      <c r="J17" s="81"/>
      <c r="K17" s="81"/>
      <c r="L17" s="81"/>
      <c r="M17" s="81"/>
      <c r="N17" s="81"/>
      <c r="O17" s="81"/>
      <c r="P17" s="81"/>
      <c r="Q17" s="81"/>
      <c r="R17" s="81"/>
    </row>
    <row r="18" spans="1:21" s="80" customFormat="1" ht="27.75" customHeight="1" x14ac:dyDescent="0.2">
      <c r="A18" s="409" t="s">
        <v>347</v>
      </c>
      <c r="B18" s="409"/>
      <c r="C18" s="409"/>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49" t="s">
        <v>473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0,16 мВт</v>
      </c>
      <c r="D23" s="98"/>
      <c r="E23" s="98"/>
      <c r="F23" s="98"/>
      <c r="G23" s="98"/>
      <c r="H23" s="98"/>
      <c r="I23" s="98"/>
      <c r="J23" s="98"/>
      <c r="K23" s="98"/>
      <c r="L23" s="98"/>
      <c r="M23" s="98"/>
      <c r="N23" s="98"/>
      <c r="O23" s="98"/>
      <c r="P23" s="98"/>
      <c r="Q23" s="98"/>
      <c r="R23" s="98"/>
      <c r="S23" s="98"/>
      <c r="T23" s="98"/>
      <c r="U23" s="98"/>
    </row>
    <row r="24" spans="1:21" ht="57" customHeight="1" x14ac:dyDescent="0.25">
      <c r="A24" s="89" t="s">
        <v>60</v>
      </c>
      <c r="B24" s="103" t="s">
        <v>539</v>
      </c>
      <c r="C24" s="97" t="s">
        <v>615</v>
      </c>
      <c r="D24" s="98"/>
      <c r="E24" s="334"/>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616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852/02/21 от 12.04.2021;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634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4" t="str">
        <f>'3.3 паспорт описание'!A5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74"/>
      <c r="AB6" s="74"/>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74"/>
      <c r="AB7" s="74"/>
    </row>
    <row r="8" spans="1:28" ht="15.75" x14ac:dyDescent="0.25">
      <c r="A8" s="416" t="str">
        <f>'3.3 паспорт описание'!A9:C9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76"/>
      <c r="AB8" s="76"/>
    </row>
    <row r="9" spans="1:28" ht="15.75"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77"/>
      <c r="AB9" s="77"/>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74"/>
      <c r="AB10" s="74"/>
    </row>
    <row r="11" spans="1:28" ht="15.75" x14ac:dyDescent="0.25">
      <c r="A11" s="416" t="str">
        <f>'3.3 паспорт описание'!A12:C12</f>
        <v>M_21-0733</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76"/>
      <c r="AB11" s="76"/>
    </row>
    <row r="12" spans="1:28" ht="15.75"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77"/>
      <c r="AB12" s="77"/>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5"/>
      <c r="AB13" s="105"/>
    </row>
    <row r="14" spans="1:28" ht="24.75" customHeight="1" x14ac:dyDescent="0.25">
      <c r="A14" s="413" t="str">
        <f>'3.3 паспорт описание'!A15:C15</f>
        <v>Строительство ТП 15/0,4 кВ, ЛЭП 15 кВ от ВЛ 15-141 (инв. № 5114675), организация системы учета электроэнергии в п. Кумачево, ул. Березовая Гурьевского района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76"/>
      <c r="AB14" s="76"/>
    </row>
    <row r="15" spans="1:28" ht="15.75"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77"/>
      <c r="AB15" s="77"/>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106"/>
      <c r="AB16" s="106"/>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106"/>
      <c r="AB17" s="106"/>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106"/>
      <c r="AB18" s="106"/>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106"/>
      <c r="AB19" s="106"/>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07"/>
      <c r="AB20" s="107"/>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07"/>
      <c r="AB21" s="107"/>
    </row>
    <row r="22" spans="1:28" x14ac:dyDescent="0.25">
      <c r="A22" s="440" t="s">
        <v>378</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08"/>
      <c r="AB22" s="108"/>
    </row>
    <row r="23" spans="1:28" ht="32.25" customHeight="1" x14ac:dyDescent="0.25">
      <c r="A23" s="442" t="s">
        <v>263</v>
      </c>
      <c r="B23" s="443"/>
      <c r="C23" s="443"/>
      <c r="D23" s="443"/>
      <c r="E23" s="443"/>
      <c r="F23" s="443"/>
      <c r="G23" s="443"/>
      <c r="H23" s="443"/>
      <c r="I23" s="443"/>
      <c r="J23" s="443"/>
      <c r="K23" s="443"/>
      <c r="L23" s="444"/>
      <c r="M23" s="441" t="s">
        <v>264</v>
      </c>
      <c r="N23" s="441"/>
      <c r="O23" s="441"/>
      <c r="P23" s="441"/>
      <c r="Q23" s="441"/>
      <c r="R23" s="441"/>
      <c r="S23" s="441"/>
      <c r="T23" s="441"/>
      <c r="U23" s="441"/>
      <c r="V23" s="441"/>
      <c r="W23" s="441"/>
      <c r="X23" s="441"/>
      <c r="Y23" s="441"/>
      <c r="Z23" s="441"/>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77" t="s">
        <v>259</v>
      </c>
      <c r="B26" s="178"/>
      <c r="C26" s="179" t="s">
        <v>474</v>
      </c>
      <c r="D26" s="179" t="s">
        <v>475</v>
      </c>
      <c r="E26" s="179" t="s">
        <v>476</v>
      </c>
      <c r="F26" s="179" t="s">
        <v>477</v>
      </c>
      <c r="G26" s="179" t="s">
        <v>478</v>
      </c>
      <c r="H26" s="179" t="s">
        <v>206</v>
      </c>
      <c r="I26" s="179" t="s">
        <v>479</v>
      </c>
      <c r="J26" s="179" t="s">
        <v>480</v>
      </c>
      <c r="K26" s="180"/>
      <c r="L26" s="181" t="s">
        <v>481</v>
      </c>
      <c r="M26" s="182" t="s">
        <v>482</v>
      </c>
      <c r="N26" s="180"/>
      <c r="O26" s="180"/>
      <c r="P26" s="180"/>
      <c r="Q26" s="180"/>
      <c r="R26" s="180"/>
      <c r="S26" s="180"/>
      <c r="T26" s="180"/>
      <c r="U26" s="180"/>
      <c r="V26" s="180"/>
      <c r="W26" s="180"/>
      <c r="X26" s="180"/>
      <c r="Y26" s="180"/>
      <c r="Z26" s="183" t="s">
        <v>215</v>
      </c>
    </row>
    <row r="27" spans="1:28" customFormat="1" x14ac:dyDescent="0.25">
      <c r="A27" s="180" t="s">
        <v>483</v>
      </c>
      <c r="B27" s="180" t="s">
        <v>484</v>
      </c>
      <c r="C27" s="180" t="s">
        <v>485</v>
      </c>
      <c r="D27" s="180" t="s">
        <v>486</v>
      </c>
      <c r="E27" s="180" t="s">
        <v>487</v>
      </c>
      <c r="F27" s="179" t="s">
        <v>488</v>
      </c>
      <c r="G27" s="179" t="s">
        <v>489</v>
      </c>
      <c r="H27" s="180" t="s">
        <v>206</v>
      </c>
      <c r="I27" s="179" t="s">
        <v>490</v>
      </c>
      <c r="J27" s="179" t="s">
        <v>491</v>
      </c>
      <c r="K27" s="181" t="s">
        <v>492</v>
      </c>
      <c r="L27" s="180"/>
      <c r="M27" s="181" t="s">
        <v>493</v>
      </c>
      <c r="N27" s="180"/>
      <c r="O27" s="180"/>
      <c r="P27" s="180"/>
      <c r="Q27" s="180"/>
      <c r="R27" s="180"/>
      <c r="S27" s="180"/>
      <c r="T27" s="180"/>
      <c r="U27" s="180"/>
      <c r="V27" s="180"/>
      <c r="W27" s="180"/>
      <c r="X27" s="180"/>
      <c r="Y27" s="180"/>
      <c r="Z27" s="180"/>
    </row>
    <row r="28" spans="1:28" customFormat="1" x14ac:dyDescent="0.25">
      <c r="A28" s="180" t="s">
        <v>483</v>
      </c>
      <c r="B28" s="180" t="s">
        <v>494</v>
      </c>
      <c r="C28" s="180" t="s">
        <v>495</v>
      </c>
      <c r="D28" s="180" t="s">
        <v>496</v>
      </c>
      <c r="E28" s="180" t="s">
        <v>497</v>
      </c>
      <c r="F28" s="179" t="s">
        <v>498</v>
      </c>
      <c r="G28" s="179" t="s">
        <v>499</v>
      </c>
      <c r="H28" s="180" t="s">
        <v>206</v>
      </c>
      <c r="I28" s="179" t="s">
        <v>500</v>
      </c>
      <c r="J28" s="179" t="s">
        <v>501</v>
      </c>
      <c r="K28" s="181" t="s">
        <v>502</v>
      </c>
      <c r="L28" s="184"/>
      <c r="M28" s="181" t="s">
        <v>0</v>
      </c>
      <c r="N28" s="181"/>
      <c r="O28" s="181"/>
      <c r="P28" s="181"/>
      <c r="Q28" s="181"/>
      <c r="R28" s="181"/>
      <c r="S28" s="181"/>
      <c r="T28" s="181"/>
      <c r="U28" s="181"/>
      <c r="V28" s="181"/>
      <c r="W28" s="181"/>
      <c r="X28" s="181"/>
      <c r="Y28" s="181"/>
      <c r="Z28" s="181"/>
    </row>
    <row r="29" spans="1:28" customFormat="1" x14ac:dyDescent="0.25">
      <c r="A29" s="180" t="s">
        <v>483</v>
      </c>
      <c r="B29" s="180" t="s">
        <v>503</v>
      </c>
      <c r="C29" s="180" t="s">
        <v>504</v>
      </c>
      <c r="D29" s="180" t="s">
        <v>505</v>
      </c>
      <c r="E29" s="180" t="s">
        <v>506</v>
      </c>
      <c r="F29" s="179" t="s">
        <v>507</v>
      </c>
      <c r="G29" s="179" t="s">
        <v>508</v>
      </c>
      <c r="H29" s="180" t="s">
        <v>206</v>
      </c>
      <c r="I29" s="179" t="s">
        <v>509</v>
      </c>
      <c r="J29" s="179" t="s">
        <v>510</v>
      </c>
      <c r="K29" s="181" t="s">
        <v>511</v>
      </c>
      <c r="L29" s="184"/>
      <c r="M29" s="180"/>
      <c r="N29" s="180"/>
      <c r="O29" s="180"/>
      <c r="P29" s="180"/>
      <c r="Q29" s="180"/>
      <c r="R29" s="180"/>
      <c r="S29" s="180"/>
      <c r="T29" s="180"/>
      <c r="U29" s="180"/>
      <c r="V29" s="180"/>
      <c r="W29" s="180"/>
      <c r="X29" s="180"/>
      <c r="Y29" s="180"/>
      <c r="Z29" s="180"/>
    </row>
    <row r="30" spans="1:28" customFormat="1" x14ac:dyDescent="0.25">
      <c r="A30" s="180" t="s">
        <v>483</v>
      </c>
      <c r="B30" s="180" t="s">
        <v>512</v>
      </c>
      <c r="C30" s="180" t="s">
        <v>513</v>
      </c>
      <c r="D30" s="180" t="s">
        <v>514</v>
      </c>
      <c r="E30" s="180" t="s">
        <v>515</v>
      </c>
      <c r="F30" s="179" t="s">
        <v>516</v>
      </c>
      <c r="G30" s="179" t="s">
        <v>517</v>
      </c>
      <c r="H30" s="180" t="s">
        <v>206</v>
      </c>
      <c r="I30" s="179" t="s">
        <v>518</v>
      </c>
      <c r="J30" s="179" t="s">
        <v>519</v>
      </c>
      <c r="K30" s="181" t="s">
        <v>520</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521</v>
      </c>
      <c r="D32" s="179" t="s">
        <v>522</v>
      </c>
      <c r="E32" s="179" t="s">
        <v>523</v>
      </c>
      <c r="F32" s="179" t="s">
        <v>524</v>
      </c>
      <c r="G32" s="179" t="s">
        <v>525</v>
      </c>
      <c r="H32" s="179" t="s">
        <v>206</v>
      </c>
      <c r="I32" s="179" t="s">
        <v>526</v>
      </c>
      <c r="J32" s="179" t="s">
        <v>527</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6" t="str">
        <f>'3.4. Паспорт надежность'!A4</f>
        <v>Год раскрытия информации: 2023 год</v>
      </c>
      <c r="B5" s="446"/>
      <c r="C5" s="446"/>
      <c r="D5" s="446"/>
      <c r="E5" s="446"/>
      <c r="F5" s="446"/>
      <c r="G5" s="446"/>
      <c r="H5" s="446"/>
      <c r="I5" s="446"/>
      <c r="J5" s="446"/>
      <c r="K5" s="446"/>
      <c r="L5" s="446"/>
      <c r="M5" s="446"/>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11" t="s">
        <v>7</v>
      </c>
      <c r="B7" s="411"/>
      <c r="C7" s="411"/>
      <c r="D7" s="411"/>
      <c r="E7" s="411"/>
      <c r="F7" s="411"/>
      <c r="G7" s="411"/>
      <c r="H7" s="411"/>
      <c r="I7" s="411"/>
      <c r="J7" s="411"/>
      <c r="K7" s="411"/>
      <c r="L7" s="411"/>
      <c r="M7" s="411"/>
      <c r="N7" s="74"/>
      <c r="O7" s="74"/>
      <c r="P7" s="74"/>
      <c r="Q7" s="74"/>
      <c r="R7" s="74"/>
      <c r="S7" s="74"/>
      <c r="T7" s="74"/>
      <c r="U7" s="74"/>
      <c r="V7" s="74"/>
      <c r="W7" s="74"/>
      <c r="X7" s="74"/>
    </row>
    <row r="8" spans="1:26" s="2" customFormat="1" ht="18.75" x14ac:dyDescent="0.2">
      <c r="A8" s="411"/>
      <c r="B8" s="411"/>
      <c r="C8" s="411"/>
      <c r="D8" s="411"/>
      <c r="E8" s="411"/>
      <c r="F8" s="411"/>
      <c r="G8" s="411"/>
      <c r="H8" s="411"/>
      <c r="I8" s="411"/>
      <c r="J8" s="411"/>
      <c r="K8" s="411"/>
      <c r="L8" s="411"/>
      <c r="M8" s="411"/>
      <c r="N8" s="74"/>
      <c r="O8" s="74"/>
      <c r="P8" s="74"/>
      <c r="Q8" s="74"/>
      <c r="R8" s="74"/>
      <c r="S8" s="74"/>
      <c r="T8" s="74"/>
      <c r="U8" s="74"/>
      <c r="V8" s="74"/>
      <c r="W8" s="74"/>
      <c r="X8" s="74"/>
    </row>
    <row r="9" spans="1:26" s="2" customFormat="1" ht="18.75" x14ac:dyDescent="0.2">
      <c r="A9" s="413" t="str">
        <f>'3.4. Паспорт надежность'!A8</f>
        <v>Акционерное общество "Россети Янтарь"</v>
      </c>
      <c r="B9" s="413"/>
      <c r="C9" s="413"/>
      <c r="D9" s="413"/>
      <c r="E9" s="413"/>
      <c r="F9" s="413"/>
      <c r="G9" s="413"/>
      <c r="H9" s="413"/>
      <c r="I9" s="413"/>
      <c r="J9" s="413"/>
      <c r="K9" s="413"/>
      <c r="L9" s="413"/>
      <c r="M9" s="413"/>
      <c r="N9" s="74"/>
      <c r="O9" s="74"/>
      <c r="P9" s="74"/>
      <c r="Q9" s="74"/>
      <c r="R9" s="74"/>
      <c r="S9" s="74"/>
      <c r="T9" s="74"/>
      <c r="U9" s="74"/>
      <c r="V9" s="74"/>
      <c r="W9" s="74"/>
      <c r="X9" s="74"/>
    </row>
    <row r="10" spans="1:26" s="2" customFormat="1" ht="18.75" x14ac:dyDescent="0.2">
      <c r="A10" s="408" t="s">
        <v>6</v>
      </c>
      <c r="B10" s="408"/>
      <c r="C10" s="408"/>
      <c r="D10" s="408"/>
      <c r="E10" s="408"/>
      <c r="F10" s="408"/>
      <c r="G10" s="408"/>
      <c r="H10" s="408"/>
      <c r="I10" s="408"/>
      <c r="J10" s="408"/>
      <c r="K10" s="408"/>
      <c r="L10" s="408"/>
      <c r="M10" s="408"/>
      <c r="N10" s="74"/>
      <c r="O10" s="74"/>
      <c r="P10" s="74"/>
      <c r="Q10" s="74"/>
      <c r="R10" s="74"/>
      <c r="S10" s="74"/>
      <c r="T10" s="74"/>
      <c r="U10" s="74"/>
      <c r="V10" s="74"/>
      <c r="W10" s="74"/>
      <c r="X10" s="74"/>
    </row>
    <row r="11" spans="1:26" s="2" customFormat="1" ht="18.75" x14ac:dyDescent="0.2">
      <c r="A11" s="411"/>
      <c r="B11" s="411"/>
      <c r="C11" s="411"/>
      <c r="D11" s="411"/>
      <c r="E11" s="411"/>
      <c r="F11" s="411"/>
      <c r="G11" s="411"/>
      <c r="H11" s="411"/>
      <c r="I11" s="411"/>
      <c r="J11" s="411"/>
      <c r="K11" s="411"/>
      <c r="L11" s="411"/>
      <c r="M11" s="411"/>
      <c r="N11" s="74"/>
      <c r="O11" s="74"/>
      <c r="P11" s="74"/>
      <c r="Q11" s="74"/>
      <c r="R11" s="74"/>
      <c r="S11" s="74"/>
      <c r="T11" s="74"/>
      <c r="U11" s="74"/>
      <c r="V11" s="74"/>
      <c r="W11" s="74"/>
      <c r="X11" s="74"/>
    </row>
    <row r="12" spans="1:26" s="2" customFormat="1" ht="18.75" x14ac:dyDescent="0.2">
      <c r="A12" s="413" t="str">
        <f>'3.4. Паспорт надежность'!A11</f>
        <v>M_21-0733</v>
      </c>
      <c r="B12" s="413"/>
      <c r="C12" s="413"/>
      <c r="D12" s="413"/>
      <c r="E12" s="413"/>
      <c r="F12" s="413"/>
      <c r="G12" s="413"/>
      <c r="H12" s="413"/>
      <c r="I12" s="413"/>
      <c r="J12" s="413"/>
      <c r="K12" s="413"/>
      <c r="L12" s="413"/>
      <c r="M12" s="413"/>
      <c r="N12" s="74"/>
      <c r="O12" s="74"/>
      <c r="P12" s="74"/>
      <c r="Q12" s="74"/>
      <c r="R12" s="74"/>
      <c r="S12" s="74"/>
      <c r="T12" s="74"/>
      <c r="U12" s="74"/>
      <c r="V12" s="74"/>
      <c r="W12" s="74"/>
      <c r="X12" s="74"/>
    </row>
    <row r="13" spans="1:26" s="2" customFormat="1" ht="18.75" x14ac:dyDescent="0.2">
      <c r="A13" s="408" t="s">
        <v>5</v>
      </c>
      <c r="B13" s="408"/>
      <c r="C13" s="408"/>
      <c r="D13" s="408"/>
      <c r="E13" s="408"/>
      <c r="F13" s="408"/>
      <c r="G13" s="408"/>
      <c r="H13" s="408"/>
      <c r="I13" s="408"/>
      <c r="J13" s="408"/>
      <c r="K13" s="408"/>
      <c r="L13" s="408"/>
      <c r="M13" s="408"/>
      <c r="N13" s="74"/>
      <c r="O13" s="74"/>
      <c r="P13" s="74"/>
      <c r="Q13" s="74"/>
      <c r="R13" s="74"/>
      <c r="S13" s="74"/>
      <c r="T13" s="74"/>
      <c r="U13" s="74"/>
      <c r="V13" s="74"/>
      <c r="W13" s="74"/>
      <c r="X13" s="74"/>
    </row>
    <row r="14" spans="1:26" s="79" customFormat="1" ht="15.75" customHeight="1" x14ac:dyDescent="0.2">
      <c r="A14" s="417"/>
      <c r="B14" s="417"/>
      <c r="C14" s="417"/>
      <c r="D14" s="417"/>
      <c r="E14" s="417"/>
      <c r="F14" s="417"/>
      <c r="G14" s="417"/>
      <c r="H14" s="417"/>
      <c r="I14" s="417"/>
      <c r="J14" s="417"/>
      <c r="K14" s="417"/>
      <c r="L14" s="417"/>
      <c r="M14" s="417"/>
      <c r="N14" s="78"/>
      <c r="O14" s="78"/>
      <c r="P14" s="78"/>
      <c r="Q14" s="78"/>
      <c r="R14" s="78"/>
      <c r="S14" s="78"/>
      <c r="T14" s="78"/>
      <c r="U14" s="78"/>
      <c r="V14" s="78"/>
      <c r="W14" s="78"/>
      <c r="X14" s="78"/>
    </row>
    <row r="15" spans="1:26" s="80" customFormat="1" ht="46.5" customHeight="1" x14ac:dyDescent="0.2">
      <c r="A15" s="413" t="str">
        <f>'3.4. Паспорт надежность'!A14</f>
        <v>Строительство ТП 15/0,4 кВ, ЛЭП 15 кВ от ВЛ 15-141 (инв. № 5114675), организация системы учета электроэнергии в п. Кумачево, ул. Березовая Гурьевского района</v>
      </c>
      <c r="B15" s="413"/>
      <c r="C15" s="413"/>
      <c r="D15" s="413"/>
      <c r="E15" s="413"/>
      <c r="F15" s="413"/>
      <c r="G15" s="413"/>
      <c r="H15" s="413"/>
      <c r="I15" s="413"/>
      <c r="J15" s="413"/>
      <c r="K15" s="413"/>
      <c r="L15" s="413"/>
      <c r="M15" s="413"/>
      <c r="N15" s="76"/>
      <c r="O15" s="76"/>
      <c r="P15" s="76"/>
      <c r="Q15" s="76"/>
      <c r="R15" s="76"/>
      <c r="S15" s="76"/>
      <c r="T15" s="76"/>
      <c r="U15" s="76"/>
      <c r="V15" s="76"/>
      <c r="W15" s="76"/>
      <c r="X15" s="76"/>
    </row>
    <row r="16" spans="1:26" s="80" customFormat="1" ht="15" customHeight="1" x14ac:dyDescent="0.2">
      <c r="A16" s="408" t="s">
        <v>4</v>
      </c>
      <c r="B16" s="408"/>
      <c r="C16" s="408"/>
      <c r="D16" s="408"/>
      <c r="E16" s="408"/>
      <c r="F16" s="408"/>
      <c r="G16" s="408"/>
      <c r="H16" s="408"/>
      <c r="I16" s="408"/>
      <c r="J16" s="408"/>
      <c r="K16" s="408"/>
      <c r="L16" s="408"/>
      <c r="M16" s="408"/>
      <c r="N16" s="77"/>
      <c r="O16" s="77"/>
      <c r="P16" s="77"/>
      <c r="Q16" s="77"/>
      <c r="R16" s="77"/>
      <c r="S16" s="77"/>
      <c r="T16" s="77"/>
      <c r="U16" s="77"/>
      <c r="V16" s="77"/>
      <c r="W16" s="77"/>
      <c r="X16" s="77"/>
    </row>
    <row r="17" spans="1:24" s="80" customFormat="1" ht="15" customHeight="1" x14ac:dyDescent="0.2">
      <c r="A17" s="414"/>
      <c r="B17" s="414"/>
      <c r="C17" s="414"/>
      <c r="D17" s="414"/>
      <c r="E17" s="414"/>
      <c r="F17" s="414"/>
      <c r="G17" s="414"/>
      <c r="H17" s="414"/>
      <c r="I17" s="414"/>
      <c r="J17" s="414"/>
      <c r="K17" s="414"/>
      <c r="L17" s="414"/>
      <c r="M17" s="414"/>
      <c r="N17" s="81"/>
      <c r="O17" s="81"/>
      <c r="P17" s="81"/>
      <c r="Q17" s="81"/>
      <c r="R17" s="81"/>
      <c r="S17" s="81"/>
      <c r="T17" s="81"/>
      <c r="U17" s="81"/>
    </row>
    <row r="18" spans="1:24" s="80" customFormat="1" ht="91.5" customHeight="1" x14ac:dyDescent="0.2">
      <c r="A18" s="445" t="s">
        <v>356</v>
      </c>
      <c r="B18" s="445"/>
      <c r="C18" s="445"/>
      <c r="D18" s="445"/>
      <c r="E18" s="445"/>
      <c r="F18" s="445"/>
      <c r="G18" s="445"/>
      <c r="H18" s="445"/>
      <c r="I18" s="445"/>
      <c r="J18" s="445"/>
      <c r="K18" s="445"/>
      <c r="L18" s="445"/>
      <c r="M18" s="445"/>
      <c r="N18" s="82"/>
      <c r="O18" s="82"/>
      <c r="P18" s="82"/>
      <c r="Q18" s="82"/>
      <c r="R18" s="82"/>
      <c r="S18" s="82"/>
      <c r="T18" s="82"/>
      <c r="U18" s="82"/>
      <c r="V18" s="82"/>
      <c r="W18" s="82"/>
      <c r="X18" s="82"/>
    </row>
    <row r="19" spans="1:24" s="80" customFormat="1" ht="78" customHeight="1" x14ac:dyDescent="0.2">
      <c r="A19" s="418" t="s">
        <v>3</v>
      </c>
      <c r="B19" s="418" t="s">
        <v>82</v>
      </c>
      <c r="C19" s="418" t="s">
        <v>81</v>
      </c>
      <c r="D19" s="418" t="s">
        <v>73</v>
      </c>
      <c r="E19" s="447" t="s">
        <v>80</v>
      </c>
      <c r="F19" s="448"/>
      <c r="G19" s="448"/>
      <c r="H19" s="448"/>
      <c r="I19" s="449"/>
      <c r="J19" s="418" t="s">
        <v>79</v>
      </c>
      <c r="K19" s="418"/>
      <c r="L19" s="418"/>
      <c r="M19" s="418"/>
      <c r="N19" s="81"/>
      <c r="O19" s="81"/>
      <c r="P19" s="81"/>
      <c r="Q19" s="81"/>
      <c r="R19" s="81"/>
      <c r="S19" s="81"/>
      <c r="T19" s="81"/>
      <c r="U19" s="81"/>
    </row>
    <row r="20" spans="1:24" s="80" customFormat="1" ht="51" customHeight="1" x14ac:dyDescent="0.2">
      <c r="A20" s="418"/>
      <c r="B20" s="418"/>
      <c r="C20" s="418"/>
      <c r="D20" s="418"/>
      <c r="E20" s="99" t="s">
        <v>78</v>
      </c>
      <c r="F20" s="99" t="s">
        <v>77</v>
      </c>
      <c r="G20" s="99" t="s">
        <v>76</v>
      </c>
      <c r="H20" s="99" t="s">
        <v>75</v>
      </c>
      <c r="I20" s="99" t="s">
        <v>74</v>
      </c>
      <c r="J20" s="161">
        <v>2020</v>
      </c>
      <c r="K20" s="161">
        <v>2021</v>
      </c>
      <c r="L20" s="161">
        <v>2022</v>
      </c>
      <c r="M20" s="161">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2022</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53" customWidth="1"/>
    <col min="2" max="2" width="18.5703125" style="229" customWidth="1"/>
    <col min="3" max="12" width="16.85546875" style="229" customWidth="1"/>
    <col min="13" max="42" width="16.85546875" style="229" hidden="1" customWidth="1"/>
    <col min="43" max="45" width="16.85546875" style="231" hidden="1" customWidth="1"/>
    <col min="46" max="46" width="16.85546875" style="232" hidden="1" customWidth="1"/>
    <col min="47"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
      <c r="B1" s="228"/>
      <c r="C1" s="228"/>
      <c r="D1" s="228"/>
      <c r="G1" s="228"/>
      <c r="H1" s="4" t="s">
        <v>66</v>
      </c>
      <c r="I1" s="230"/>
      <c r="J1" s="230"/>
      <c r="K1" s="4"/>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c r="AO1" s="228"/>
      <c r="AP1" s="228"/>
    </row>
    <row r="2" spans="1:44" ht="18.75" x14ac:dyDescent="0.3">
      <c r="A2" s="2"/>
      <c r="B2" s="228"/>
      <c r="C2" s="228"/>
      <c r="D2" s="228"/>
      <c r="E2" s="232"/>
      <c r="F2" s="232"/>
      <c r="G2" s="228"/>
      <c r="H2" s="1" t="s">
        <v>8</v>
      </c>
      <c r="I2" s="230"/>
      <c r="J2" s="230"/>
      <c r="K2" s="1"/>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33"/>
      <c r="AR2" s="233"/>
    </row>
    <row r="3" spans="1:44" ht="18.75" x14ac:dyDescent="0.3">
      <c r="A3" s="234"/>
      <c r="B3" s="228"/>
      <c r="C3" s="228"/>
      <c r="D3" s="228"/>
      <c r="E3" s="232"/>
      <c r="F3" s="232"/>
      <c r="G3" s="228"/>
      <c r="H3" s="1" t="s">
        <v>256</v>
      </c>
      <c r="I3" s="230"/>
      <c r="J3" s="230"/>
      <c r="K3" s="1"/>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33"/>
      <c r="AR3" s="233"/>
    </row>
    <row r="4" spans="1:44" ht="18.75" x14ac:dyDescent="0.3">
      <c r="A4" s="234"/>
      <c r="B4" s="228"/>
      <c r="C4" s="228"/>
      <c r="D4" s="228"/>
      <c r="E4" s="228"/>
      <c r="F4" s="228"/>
      <c r="G4" s="228"/>
      <c r="H4" s="228"/>
      <c r="I4" s="230"/>
      <c r="J4" s="230"/>
      <c r="K4" s="1"/>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35"/>
      <c r="AR4" s="235"/>
    </row>
    <row r="5" spans="1:44" x14ac:dyDescent="0.2">
      <c r="A5" s="450" t="str">
        <f>'1. паспорт местоположение'!A5:C5</f>
        <v>Год раскрытия информации: 2023 год</v>
      </c>
      <c r="B5" s="450"/>
      <c r="C5" s="450"/>
      <c r="D5" s="450"/>
      <c r="E5" s="450"/>
      <c r="F5" s="450"/>
      <c r="G5" s="450"/>
      <c r="H5" s="450"/>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7"/>
      <c r="AR5" s="237"/>
    </row>
    <row r="6" spans="1:44" ht="18.75" x14ac:dyDescent="0.3">
      <c r="A6" s="234"/>
      <c r="B6" s="228"/>
      <c r="C6" s="228"/>
      <c r="D6" s="228"/>
      <c r="E6" s="228"/>
      <c r="F6" s="228"/>
      <c r="G6" s="228"/>
      <c r="H6" s="228"/>
      <c r="I6" s="230"/>
      <c r="J6" s="230"/>
      <c r="K6" s="1"/>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35"/>
      <c r="AR6" s="235"/>
    </row>
    <row r="7" spans="1:44" ht="18.75" x14ac:dyDescent="0.2">
      <c r="A7" s="451" t="s">
        <v>7</v>
      </c>
      <c r="B7" s="451"/>
      <c r="C7" s="451"/>
      <c r="D7" s="451"/>
      <c r="E7" s="451"/>
      <c r="F7" s="451"/>
      <c r="G7" s="451"/>
      <c r="H7" s="451"/>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9"/>
      <c r="AR7" s="239"/>
    </row>
    <row r="8" spans="1:44" ht="18.75" x14ac:dyDescent="0.2">
      <c r="A8" s="341"/>
      <c r="B8" s="341"/>
      <c r="C8" s="341"/>
      <c r="D8" s="341"/>
      <c r="E8" s="341"/>
      <c r="F8" s="341"/>
      <c r="G8" s="341"/>
      <c r="H8" s="341"/>
      <c r="I8" s="341"/>
      <c r="J8" s="341"/>
      <c r="K8" s="341"/>
      <c r="L8" s="238"/>
      <c r="M8" s="238"/>
      <c r="N8" s="238"/>
      <c r="O8" s="238"/>
      <c r="P8" s="238"/>
      <c r="Q8" s="238"/>
      <c r="R8" s="238"/>
      <c r="S8" s="238"/>
      <c r="T8" s="238"/>
      <c r="U8" s="238"/>
      <c r="V8" s="238"/>
      <c r="W8" s="238"/>
      <c r="X8" s="238"/>
      <c r="Y8" s="238"/>
      <c r="Z8" s="228"/>
      <c r="AA8" s="228"/>
      <c r="AB8" s="228"/>
      <c r="AC8" s="228"/>
      <c r="AD8" s="228"/>
      <c r="AE8" s="228"/>
      <c r="AF8" s="228"/>
      <c r="AG8" s="228"/>
      <c r="AH8" s="228"/>
      <c r="AI8" s="228"/>
      <c r="AJ8" s="228"/>
      <c r="AK8" s="228"/>
      <c r="AL8" s="228"/>
      <c r="AM8" s="228"/>
      <c r="AN8" s="228"/>
      <c r="AO8" s="228"/>
      <c r="AP8" s="228"/>
      <c r="AQ8" s="235"/>
      <c r="AR8" s="235"/>
    </row>
    <row r="9" spans="1:44" ht="18.75" x14ac:dyDescent="0.2">
      <c r="A9" s="452" t="str">
        <f>'1. паспорт местоположение'!A9:C9</f>
        <v>Акционерное общество "Россети Янтарь"</v>
      </c>
      <c r="B9" s="452"/>
      <c r="C9" s="452"/>
      <c r="D9" s="452"/>
      <c r="E9" s="452"/>
      <c r="F9" s="452"/>
      <c r="G9" s="452"/>
      <c r="H9" s="452"/>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1"/>
      <c r="AR9" s="241"/>
    </row>
    <row r="10" spans="1:44" x14ac:dyDescent="0.2">
      <c r="A10" s="453" t="s">
        <v>6</v>
      </c>
      <c r="B10" s="453"/>
      <c r="C10" s="453"/>
      <c r="D10" s="453"/>
      <c r="E10" s="453"/>
      <c r="F10" s="453"/>
      <c r="G10" s="453"/>
      <c r="H10" s="453"/>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3"/>
      <c r="AR10" s="243"/>
    </row>
    <row r="11" spans="1:44" ht="18.75" x14ac:dyDescent="0.2">
      <c r="A11" s="341"/>
      <c r="B11" s="341"/>
      <c r="C11" s="341"/>
      <c r="D11" s="341"/>
      <c r="E11" s="341"/>
      <c r="F11" s="341"/>
      <c r="G11" s="341"/>
      <c r="H11" s="341"/>
      <c r="I11" s="341"/>
      <c r="J11" s="341"/>
      <c r="K11" s="341"/>
      <c r="L11" s="238"/>
      <c r="M11" s="238"/>
      <c r="N11" s="238"/>
      <c r="O11" s="238"/>
      <c r="P11" s="238"/>
      <c r="Q11" s="238"/>
      <c r="R11" s="238"/>
      <c r="S11" s="238"/>
      <c r="T11" s="238"/>
      <c r="U11" s="238"/>
      <c r="V11" s="238"/>
      <c r="W11" s="238"/>
      <c r="X11" s="238"/>
      <c r="Y11" s="238"/>
      <c r="Z11" s="228"/>
      <c r="AA11" s="228"/>
      <c r="AB11" s="228"/>
      <c r="AC11" s="228"/>
      <c r="AD11" s="228"/>
      <c r="AE11" s="228"/>
      <c r="AF11" s="228"/>
      <c r="AG11" s="228"/>
      <c r="AH11" s="228"/>
      <c r="AI11" s="228"/>
      <c r="AJ11" s="228"/>
      <c r="AK11" s="228"/>
      <c r="AL11" s="228"/>
      <c r="AM11" s="228"/>
      <c r="AN11" s="228"/>
      <c r="AO11" s="228"/>
      <c r="AP11" s="228"/>
      <c r="AQ11" s="235"/>
      <c r="AR11" s="235"/>
    </row>
    <row r="12" spans="1:44" ht="18.75" x14ac:dyDescent="0.2">
      <c r="A12" s="452" t="str">
        <f>'1. паспорт местоположение'!A12:C12</f>
        <v>M_21-0733</v>
      </c>
      <c r="B12" s="452"/>
      <c r="C12" s="452"/>
      <c r="D12" s="452"/>
      <c r="E12" s="452"/>
      <c r="F12" s="452"/>
      <c r="G12" s="452"/>
      <c r="H12" s="452"/>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1"/>
      <c r="AR12" s="241"/>
    </row>
    <row r="13" spans="1:44" x14ac:dyDescent="0.2">
      <c r="A13" s="453" t="s">
        <v>5</v>
      </c>
      <c r="B13" s="453"/>
      <c r="C13" s="453"/>
      <c r="D13" s="453"/>
      <c r="E13" s="453"/>
      <c r="F13" s="453"/>
      <c r="G13" s="453"/>
      <c r="H13" s="453"/>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3"/>
      <c r="AR13" s="243"/>
    </row>
    <row r="14" spans="1:44" ht="18.75"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244"/>
      <c r="AA14" s="244"/>
      <c r="AB14" s="244"/>
      <c r="AC14" s="244"/>
      <c r="AD14" s="244"/>
      <c r="AE14" s="244"/>
      <c r="AF14" s="244"/>
      <c r="AG14" s="244"/>
      <c r="AH14" s="244"/>
      <c r="AI14" s="244"/>
      <c r="AJ14" s="244"/>
      <c r="AK14" s="244"/>
      <c r="AL14" s="244"/>
      <c r="AM14" s="244"/>
      <c r="AN14" s="244"/>
      <c r="AO14" s="244"/>
      <c r="AP14" s="244"/>
      <c r="AQ14" s="245"/>
      <c r="AR14" s="245"/>
    </row>
    <row r="15" spans="1:44" ht="18.75" x14ac:dyDescent="0.2">
      <c r="A15" s="454" t="str">
        <f>'1. паспорт местоположение'!A15:C15</f>
        <v>Строительство ТП 15/0,4 кВ, ЛЭП 15 кВ от ВЛ 15-141 (инв. № 5114675), организация системы учета электроэнергии в п. Кумачево, ул. Березовая Гурьевского района</v>
      </c>
      <c r="B15" s="455"/>
      <c r="C15" s="455"/>
      <c r="D15" s="455"/>
      <c r="E15" s="455"/>
      <c r="F15" s="455"/>
      <c r="G15" s="455"/>
      <c r="H15" s="455"/>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1"/>
      <c r="AR15" s="241"/>
    </row>
    <row r="16" spans="1:44" x14ac:dyDescent="0.2">
      <c r="A16" s="453" t="s">
        <v>4</v>
      </c>
      <c r="B16" s="453"/>
      <c r="C16" s="453"/>
      <c r="D16" s="453"/>
      <c r="E16" s="453"/>
      <c r="F16" s="453"/>
      <c r="G16" s="453"/>
      <c r="H16" s="453"/>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3"/>
      <c r="AR16" s="243"/>
    </row>
    <row r="17" spans="1:44" ht="18.75"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W17" s="247"/>
      <c r="X17" s="247"/>
      <c r="Y17" s="247"/>
      <c r="Z17" s="247"/>
      <c r="AA17" s="247"/>
      <c r="AB17" s="247"/>
      <c r="AC17" s="247"/>
      <c r="AD17" s="247"/>
      <c r="AE17" s="247"/>
      <c r="AF17" s="247"/>
      <c r="AG17" s="247"/>
      <c r="AH17" s="247"/>
      <c r="AI17" s="247"/>
      <c r="AJ17" s="247"/>
      <c r="AK17" s="247"/>
      <c r="AL17" s="247"/>
      <c r="AM17" s="247"/>
      <c r="AN17" s="247"/>
      <c r="AO17" s="247"/>
      <c r="AP17" s="247"/>
      <c r="AQ17" s="248"/>
      <c r="AR17" s="248"/>
    </row>
    <row r="18" spans="1:44" ht="18.75" x14ac:dyDescent="0.2">
      <c r="A18" s="452" t="s">
        <v>357</v>
      </c>
      <c r="B18" s="452"/>
      <c r="C18" s="452"/>
      <c r="D18" s="452"/>
      <c r="E18" s="452"/>
      <c r="F18" s="452"/>
      <c r="G18" s="452"/>
      <c r="H18" s="452"/>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50"/>
      <c r="AR18" s="250"/>
    </row>
    <row r="19" spans="1:44" x14ac:dyDescent="0.2">
      <c r="A19" s="251"/>
      <c r="Q19" s="252"/>
    </row>
    <row r="20" spans="1:44" x14ac:dyDescent="0.2">
      <c r="A20" s="251"/>
      <c r="Q20" s="252"/>
    </row>
    <row r="21" spans="1:44" x14ac:dyDescent="0.2">
      <c r="A21" s="251"/>
      <c r="Q21" s="252"/>
    </row>
    <row r="22" spans="1:44" x14ac:dyDescent="0.2">
      <c r="A22" s="251"/>
      <c r="Q22" s="252"/>
    </row>
    <row r="23" spans="1:44" x14ac:dyDescent="0.2">
      <c r="D23" s="254"/>
      <c r="Q23" s="252"/>
    </row>
    <row r="24" spans="1:44" ht="16.5" thickBot="1" x14ac:dyDescent="0.25">
      <c r="A24" s="255" t="s">
        <v>255</v>
      </c>
      <c r="B24" s="256" t="s">
        <v>1</v>
      </c>
      <c r="D24" s="257"/>
      <c r="E24" s="258"/>
      <c r="F24" s="258"/>
      <c r="G24" s="258"/>
      <c r="H24" s="258"/>
    </row>
    <row r="25" spans="1:44" x14ac:dyDescent="0.2">
      <c r="A25" s="259" t="s">
        <v>391</v>
      </c>
      <c r="B25" s="260">
        <f>'6.2. Паспорт фин осв ввод'!U52*1000000</f>
        <v>2159378.7999999998</v>
      </c>
    </row>
    <row r="26" spans="1:44" x14ac:dyDescent="0.2">
      <c r="A26" s="261" t="s">
        <v>253</v>
      </c>
      <c r="B26" s="344">
        <v>0</v>
      </c>
    </row>
    <row r="27" spans="1:44" x14ac:dyDescent="0.2">
      <c r="A27" s="261" t="s">
        <v>251</v>
      </c>
      <c r="B27" s="344">
        <f>$B$123</f>
        <v>30</v>
      </c>
      <c r="D27" s="254" t="s">
        <v>254</v>
      </c>
    </row>
    <row r="28" spans="1:44" ht="16.149999999999999" customHeight="1" thickBot="1" x14ac:dyDescent="0.25">
      <c r="A28" s="262" t="s">
        <v>249</v>
      </c>
      <c r="B28" s="263">
        <v>1</v>
      </c>
      <c r="D28" s="456" t="s">
        <v>252</v>
      </c>
      <c r="E28" s="457"/>
      <c r="F28" s="458"/>
      <c r="G28" s="459">
        <f>IF(SUM(B89:L89)=0,"не окупается",SUM(B89:L89))</f>
        <v>2.1900299473548657</v>
      </c>
      <c r="H28" s="460"/>
    </row>
    <row r="29" spans="1:44" ht="15.6" customHeight="1" x14ac:dyDescent="0.2">
      <c r="A29" s="259" t="s">
        <v>248</v>
      </c>
      <c r="B29" s="260">
        <f>$B$126*$B$127</f>
        <v>21823.587500000001</v>
      </c>
      <c r="D29" s="456" t="s">
        <v>250</v>
      </c>
      <c r="E29" s="457"/>
      <c r="F29" s="458"/>
      <c r="G29" s="459">
        <f>IF(SUM(B90:L90)=0,"не окупается",SUM(B90:L90))</f>
        <v>2.3935566025763153</v>
      </c>
      <c r="H29" s="460"/>
    </row>
    <row r="30" spans="1:44" ht="27.6" customHeight="1" x14ac:dyDescent="0.2">
      <c r="A30" s="261" t="s">
        <v>392</v>
      </c>
      <c r="B30" s="344">
        <v>1</v>
      </c>
      <c r="D30" s="456" t="s">
        <v>540</v>
      </c>
      <c r="E30" s="457"/>
      <c r="F30" s="458"/>
      <c r="G30" s="461">
        <f>L87</f>
        <v>1417384.5674511089</v>
      </c>
      <c r="H30" s="462"/>
    </row>
    <row r="31" spans="1:44" x14ac:dyDescent="0.2">
      <c r="A31" s="261" t="s">
        <v>247</v>
      </c>
      <c r="B31" s="344">
        <v>1</v>
      </c>
      <c r="D31" s="463"/>
      <c r="E31" s="464"/>
      <c r="F31" s="465"/>
      <c r="G31" s="463"/>
      <c r="H31" s="465"/>
    </row>
    <row r="32" spans="1:44" x14ac:dyDescent="0.2">
      <c r="A32" s="261" t="s">
        <v>226</v>
      </c>
      <c r="B32" s="344"/>
    </row>
    <row r="33" spans="1:42" x14ac:dyDescent="0.2">
      <c r="A33" s="261" t="s">
        <v>246</v>
      </c>
      <c r="B33" s="344"/>
    </row>
    <row r="34" spans="1:42" x14ac:dyDescent="0.2">
      <c r="A34" s="261" t="s">
        <v>245</v>
      </c>
      <c r="B34" s="344"/>
    </row>
    <row r="35" spans="1:42" x14ac:dyDescent="0.2">
      <c r="A35" s="345"/>
      <c r="B35" s="344"/>
    </row>
    <row r="36" spans="1:42" ht="16.5" thickBot="1" x14ac:dyDescent="0.25">
      <c r="A36" s="262" t="s">
        <v>220</v>
      </c>
      <c r="B36" s="264">
        <v>0.2</v>
      </c>
    </row>
    <row r="37" spans="1:42" x14ac:dyDescent="0.2">
      <c r="A37" s="259" t="s">
        <v>390</v>
      </c>
      <c r="B37" s="260">
        <v>0</v>
      </c>
    </row>
    <row r="38" spans="1:42" x14ac:dyDescent="0.2">
      <c r="A38" s="261" t="s">
        <v>244</v>
      </c>
      <c r="B38" s="344"/>
    </row>
    <row r="39" spans="1:42" ht="16.5" thickBot="1" x14ac:dyDescent="0.25">
      <c r="A39" s="346" t="s">
        <v>243</v>
      </c>
      <c r="B39" s="347"/>
    </row>
    <row r="40" spans="1:42" x14ac:dyDescent="0.2">
      <c r="A40" s="265" t="s">
        <v>393</v>
      </c>
      <c r="B40" s="266">
        <v>1</v>
      </c>
    </row>
    <row r="41" spans="1:42" x14ac:dyDescent="0.2">
      <c r="A41" s="267" t="s">
        <v>242</v>
      </c>
      <c r="B41" s="268"/>
    </row>
    <row r="42" spans="1:42" x14ac:dyDescent="0.2">
      <c r="A42" s="267" t="s">
        <v>241</v>
      </c>
      <c r="B42" s="269"/>
    </row>
    <row r="43" spans="1:42" x14ac:dyDescent="0.2">
      <c r="A43" s="267" t="s">
        <v>240</v>
      </c>
      <c r="B43" s="269">
        <v>0</v>
      </c>
    </row>
    <row r="44" spans="1:42" x14ac:dyDescent="0.2">
      <c r="A44" s="267" t="s">
        <v>239</v>
      </c>
      <c r="B44" s="269">
        <f>B129</f>
        <v>0.20499999999999999</v>
      </c>
    </row>
    <row r="45" spans="1:42" x14ac:dyDescent="0.2">
      <c r="A45" s="267" t="s">
        <v>238</v>
      </c>
      <c r="B45" s="269">
        <f>1-B43</f>
        <v>1</v>
      </c>
    </row>
    <row r="46" spans="1:42" ht="16.5" thickBot="1" x14ac:dyDescent="0.25">
      <c r="A46" s="348" t="s">
        <v>541</v>
      </c>
      <c r="B46" s="349">
        <f>B45*B44+B43*B42*(1-B36)</f>
        <v>0.20499999999999999</v>
      </c>
      <c r="C46" s="270"/>
    </row>
    <row r="47" spans="1:42" s="273" customFormat="1" x14ac:dyDescent="0.2">
      <c r="A47" s="271" t="s">
        <v>237</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row>
    <row r="48" spans="1:42" s="273" customFormat="1" x14ac:dyDescent="0.2">
      <c r="A48" s="274" t="s">
        <v>236</v>
      </c>
      <c r="B48" s="350">
        <f>H136</f>
        <v>4.2000000000000003E-2</v>
      </c>
      <c r="C48" s="350">
        <f t="shared" ref="C48:R49" si="1">I136</f>
        <v>4.2000000000000003E-2</v>
      </c>
      <c r="D48" s="350">
        <f t="shared" si="1"/>
        <v>4.2000000000000003E-2</v>
      </c>
      <c r="E48" s="350">
        <f t="shared" si="1"/>
        <v>4.2000000000000003E-2</v>
      </c>
      <c r="F48" s="350">
        <f t="shared" si="1"/>
        <v>4.2000000000000003E-2</v>
      </c>
      <c r="G48" s="350">
        <f t="shared" si="1"/>
        <v>4.2000000000000003E-2</v>
      </c>
      <c r="H48" s="350">
        <f t="shared" si="1"/>
        <v>4.2000000000000003E-2</v>
      </c>
      <c r="I48" s="350">
        <f t="shared" si="1"/>
        <v>4.2000000000000003E-2</v>
      </c>
      <c r="J48" s="350">
        <f t="shared" si="1"/>
        <v>4.2000000000000003E-2</v>
      </c>
      <c r="K48" s="350">
        <f t="shared" si="1"/>
        <v>4.2000000000000003E-2</v>
      </c>
      <c r="L48" s="350">
        <f t="shared" si="1"/>
        <v>4.2000000000000003E-2</v>
      </c>
      <c r="M48" s="350">
        <f t="shared" si="1"/>
        <v>4.2000000000000003E-2</v>
      </c>
      <c r="N48" s="350">
        <f t="shared" si="1"/>
        <v>4.2000000000000003E-2</v>
      </c>
      <c r="O48" s="350">
        <f t="shared" si="1"/>
        <v>4.2000000000000003E-2</v>
      </c>
      <c r="P48" s="350">
        <f t="shared" si="1"/>
        <v>4.2000000000000003E-2</v>
      </c>
      <c r="Q48" s="350">
        <f t="shared" si="1"/>
        <v>4.2000000000000003E-2</v>
      </c>
      <c r="R48" s="350">
        <f t="shared" si="1"/>
        <v>4.2000000000000003E-2</v>
      </c>
      <c r="S48" s="350">
        <f t="shared" ref="S48:AH49" si="2">Y136</f>
        <v>4.2000000000000003E-2</v>
      </c>
      <c r="T48" s="350">
        <f t="shared" si="2"/>
        <v>4.2000000000000003E-2</v>
      </c>
      <c r="U48" s="350">
        <f t="shared" si="2"/>
        <v>4.2000000000000003E-2</v>
      </c>
      <c r="V48" s="350">
        <f t="shared" si="2"/>
        <v>4.2000000000000003E-2</v>
      </c>
      <c r="W48" s="350">
        <f t="shared" si="2"/>
        <v>4.2000000000000003E-2</v>
      </c>
      <c r="X48" s="350">
        <f t="shared" si="2"/>
        <v>4.2000000000000003E-2</v>
      </c>
      <c r="Y48" s="350">
        <f t="shared" si="2"/>
        <v>4.2000000000000003E-2</v>
      </c>
      <c r="Z48" s="350">
        <f t="shared" si="2"/>
        <v>4.2000000000000003E-2</v>
      </c>
      <c r="AA48" s="350">
        <f t="shared" si="2"/>
        <v>4.2000000000000003E-2</v>
      </c>
      <c r="AB48" s="350">
        <f t="shared" si="2"/>
        <v>4.2000000000000003E-2</v>
      </c>
      <c r="AC48" s="350">
        <f t="shared" si="2"/>
        <v>4.2000000000000003E-2</v>
      </c>
      <c r="AD48" s="350">
        <f t="shared" si="2"/>
        <v>4.2000000000000003E-2</v>
      </c>
      <c r="AE48" s="350">
        <f t="shared" si="2"/>
        <v>4.2000000000000003E-2</v>
      </c>
      <c r="AF48" s="350">
        <f t="shared" si="2"/>
        <v>4.2000000000000003E-2</v>
      </c>
      <c r="AG48" s="350">
        <f t="shared" si="2"/>
        <v>4.2000000000000003E-2</v>
      </c>
      <c r="AH48" s="350">
        <f t="shared" si="2"/>
        <v>4.2000000000000003E-2</v>
      </c>
      <c r="AI48" s="350">
        <f t="shared" ref="AI48:AP49" si="3">AO136</f>
        <v>4.2000000000000003E-2</v>
      </c>
      <c r="AJ48" s="350">
        <f t="shared" si="3"/>
        <v>4.2000000000000003E-2</v>
      </c>
      <c r="AK48" s="350">
        <f t="shared" si="3"/>
        <v>4.2000000000000003E-2</v>
      </c>
      <c r="AL48" s="350">
        <f t="shared" si="3"/>
        <v>4.2000000000000003E-2</v>
      </c>
      <c r="AM48" s="350">
        <f t="shared" si="3"/>
        <v>4.2000000000000003E-2</v>
      </c>
      <c r="AN48" s="350">
        <f t="shared" si="3"/>
        <v>4.2000000000000003E-2</v>
      </c>
      <c r="AO48" s="350">
        <f t="shared" si="3"/>
        <v>4.2000000000000003E-2</v>
      </c>
      <c r="AP48" s="350">
        <f t="shared" si="3"/>
        <v>4.2000000000000003E-2</v>
      </c>
    </row>
    <row r="49" spans="1:45" s="273" customFormat="1" x14ac:dyDescent="0.2">
      <c r="A49" s="274" t="s">
        <v>235</v>
      </c>
      <c r="B49" s="350">
        <f>H137</f>
        <v>0.2354789208821122</v>
      </c>
      <c r="C49" s="350">
        <f t="shared" si="1"/>
        <v>0.28736903555916093</v>
      </c>
      <c r="D49" s="350">
        <f t="shared" si="1"/>
        <v>0.34143853505264565</v>
      </c>
      <c r="E49" s="350">
        <f t="shared" si="1"/>
        <v>0.39777895352485682</v>
      </c>
      <c r="F49" s="350">
        <f t="shared" si="1"/>
        <v>0.45648566957290093</v>
      </c>
      <c r="G49" s="350">
        <f t="shared" si="1"/>
        <v>0.51765806769496292</v>
      </c>
      <c r="H49" s="350">
        <f t="shared" si="1"/>
        <v>0.58139970653815132</v>
      </c>
      <c r="I49" s="350">
        <f t="shared" si="1"/>
        <v>0.64781849421275384</v>
      </c>
      <c r="J49" s="350">
        <f t="shared" si="1"/>
        <v>0.71702687096968964</v>
      </c>
      <c r="K49" s="350">
        <f t="shared" si="1"/>
        <v>0.78914199955041675</v>
      </c>
      <c r="L49" s="350">
        <f t="shared" si="1"/>
        <v>0.86428596353153431</v>
      </c>
      <c r="M49" s="350">
        <f t="shared" si="1"/>
        <v>0.94258597399985877</v>
      </c>
      <c r="N49" s="350">
        <f t="shared" si="1"/>
        <v>1.0241745849078527</v>
      </c>
      <c r="O49" s="350">
        <f t="shared" si="1"/>
        <v>1.1091899174739828</v>
      </c>
      <c r="P49" s="350">
        <f t="shared" si="1"/>
        <v>1.19777589400789</v>
      </c>
      <c r="Q49" s="350">
        <f t="shared" si="1"/>
        <v>1.2900824815562215</v>
      </c>
      <c r="R49" s="350">
        <f t="shared" si="1"/>
        <v>1.3862659457815827</v>
      </c>
      <c r="S49" s="350">
        <f t="shared" si="2"/>
        <v>1.4864891155044093</v>
      </c>
      <c r="T49" s="350">
        <f t="shared" si="2"/>
        <v>1.5909216583555947</v>
      </c>
      <c r="U49" s="350">
        <f t="shared" si="2"/>
        <v>1.6997403680065299</v>
      </c>
      <c r="V49" s="350">
        <f t="shared" si="2"/>
        <v>1.8131294634628041</v>
      </c>
      <c r="W49" s="350">
        <f t="shared" si="2"/>
        <v>1.9312809009282419</v>
      </c>
      <c r="X49" s="350">
        <f t="shared" si="2"/>
        <v>2.0543946987672284</v>
      </c>
      <c r="Y49" s="350">
        <f t="shared" si="2"/>
        <v>2.1826792761154521</v>
      </c>
      <c r="Z49" s="350">
        <f t="shared" si="2"/>
        <v>2.3163518057123014</v>
      </c>
      <c r="AA49" s="350">
        <f t="shared" si="2"/>
        <v>2.4556385815522184</v>
      </c>
      <c r="AB49" s="350">
        <f t="shared" si="2"/>
        <v>2.6007754019774119</v>
      </c>
      <c r="AC49" s="350">
        <f t="shared" si="2"/>
        <v>2.7520079688604633</v>
      </c>
      <c r="AD49" s="350">
        <f t="shared" si="2"/>
        <v>2.909592303552603</v>
      </c>
      <c r="AE49" s="350">
        <f t="shared" si="2"/>
        <v>3.0737951803018122</v>
      </c>
      <c r="AF49" s="350">
        <f t="shared" si="2"/>
        <v>3.2448945778744882</v>
      </c>
      <c r="AG49" s="350">
        <f t="shared" si="2"/>
        <v>3.4231801501452166</v>
      </c>
      <c r="AH49" s="350">
        <f t="shared" si="2"/>
        <v>3.6089537164513157</v>
      </c>
      <c r="AI49" s="350">
        <f t="shared" si="3"/>
        <v>3.8025297725422709</v>
      </c>
      <c r="AJ49" s="350">
        <f t="shared" si="3"/>
        <v>4.0042360229890468</v>
      </c>
      <c r="AK49" s="350">
        <f t="shared" si="3"/>
        <v>4.2144139359545871</v>
      </c>
      <c r="AL49" s="350">
        <f t="shared" si="3"/>
        <v>4.4334193212646804</v>
      </c>
      <c r="AM49" s="350">
        <f t="shared" si="3"/>
        <v>4.6616229327577976</v>
      </c>
      <c r="AN49" s="350">
        <f t="shared" si="3"/>
        <v>4.8994110959336252</v>
      </c>
      <c r="AO49" s="350">
        <f t="shared" si="3"/>
        <v>5.147186361962838</v>
      </c>
      <c r="AP49" s="350">
        <f t="shared" si="3"/>
        <v>5.4053681891652774</v>
      </c>
    </row>
    <row r="50" spans="1:45" s="273" customFormat="1" ht="16.5" thickBot="1" x14ac:dyDescent="0.25">
      <c r="A50" s="275" t="s">
        <v>394</v>
      </c>
      <c r="B50" s="276">
        <f>IF($B$124="да",($B$126-0.05),0)</f>
        <v>2182358.7000000002</v>
      </c>
      <c r="C50" s="276">
        <f>C108*(1+C49)</f>
        <v>396826.65860655799</v>
      </c>
      <c r="D50" s="276">
        <f t="shared" ref="D50:AP50" si="4">D108*(1+D49)</f>
        <v>826986.75653606688</v>
      </c>
      <c r="E50" s="276">
        <f t="shared" si="4"/>
        <v>1305636.6671372449</v>
      </c>
      <c r="F50" s="276">
        <f t="shared" si="4"/>
        <v>1360473.4071570095</v>
      </c>
      <c r="G50" s="276">
        <f t="shared" si="4"/>
        <v>1417613.2902576041</v>
      </c>
      <c r="H50" s="276">
        <f t="shared" si="4"/>
        <v>1477153.0484484234</v>
      </c>
      <c r="I50" s="276">
        <f t="shared" si="4"/>
        <v>1539193.4764832573</v>
      </c>
      <c r="J50" s="276">
        <f t="shared" si="4"/>
        <v>1603839.6024955541</v>
      </c>
      <c r="K50" s="276">
        <f t="shared" si="4"/>
        <v>1671200.8658003677</v>
      </c>
      <c r="L50" s="276">
        <f t="shared" si="4"/>
        <v>1741391.302163983</v>
      </c>
      <c r="M50" s="276">
        <f t="shared" si="4"/>
        <v>1814529.7368548703</v>
      </c>
      <c r="N50" s="276">
        <f t="shared" si="4"/>
        <v>1890739.9858027748</v>
      </c>
      <c r="O50" s="276">
        <f t="shared" si="4"/>
        <v>1970151.0652064916</v>
      </c>
      <c r="P50" s="276">
        <f t="shared" si="4"/>
        <v>2052897.4099451641</v>
      </c>
      <c r="Q50" s="276">
        <f t="shared" si="4"/>
        <v>2139119.1011628611</v>
      </c>
      <c r="R50" s="276">
        <f t="shared" si="4"/>
        <v>2228962.103411701</v>
      </c>
      <c r="S50" s="276">
        <f t="shared" si="4"/>
        <v>2322578.5117549929</v>
      </c>
      <c r="T50" s="276">
        <f t="shared" si="4"/>
        <v>2420126.8092487026</v>
      </c>
      <c r="U50" s="276">
        <f t="shared" si="4"/>
        <v>2521772.1352371485</v>
      </c>
      <c r="V50" s="276">
        <f t="shared" si="4"/>
        <v>2627686.5649171085</v>
      </c>
      <c r="W50" s="276">
        <f t="shared" si="4"/>
        <v>2738049.4006436272</v>
      </c>
      <c r="X50" s="276">
        <f t="shared" si="4"/>
        <v>2853047.4754706598</v>
      </c>
      <c r="Y50" s="276">
        <f t="shared" si="4"/>
        <v>2972875.4694404276</v>
      </c>
      <c r="Z50" s="276">
        <f t="shared" si="4"/>
        <v>3097736.2391569261</v>
      </c>
      <c r="AA50" s="276">
        <f t="shared" si="4"/>
        <v>3227841.1612015171</v>
      </c>
      <c r="AB50" s="276">
        <f t="shared" si="4"/>
        <v>3363410.4899719814</v>
      </c>
      <c r="AC50" s="276">
        <f t="shared" si="4"/>
        <v>3504673.7305508046</v>
      </c>
      <c r="AD50" s="276">
        <f t="shared" si="4"/>
        <v>3651870.0272339387</v>
      </c>
      <c r="AE50" s="276">
        <f t="shared" si="4"/>
        <v>3805248.568377764</v>
      </c>
      <c r="AF50" s="276">
        <f t="shared" si="4"/>
        <v>3965069.0082496298</v>
      </c>
      <c r="AG50" s="276">
        <f t="shared" si="4"/>
        <v>4131601.9065961144</v>
      </c>
      <c r="AH50" s="276">
        <f t="shared" si="4"/>
        <v>4305129.1866731513</v>
      </c>
      <c r="AI50" s="276">
        <f t="shared" si="4"/>
        <v>4485944.612513423</v>
      </c>
      <c r="AJ50" s="276">
        <f t="shared" si="4"/>
        <v>4674354.2862389879</v>
      </c>
      <c r="AK50" s="276">
        <f t="shared" si="4"/>
        <v>4870677.1662610257</v>
      </c>
      <c r="AL50" s="276">
        <f t="shared" si="4"/>
        <v>5075245.6072439887</v>
      </c>
      <c r="AM50" s="276">
        <f t="shared" si="4"/>
        <v>5288405.9227482369</v>
      </c>
      <c r="AN50" s="276">
        <f t="shared" si="4"/>
        <v>5510518.9715036629</v>
      </c>
      <c r="AO50" s="276">
        <f t="shared" si="4"/>
        <v>5741960.7683068179</v>
      </c>
      <c r="AP50" s="276">
        <f t="shared" si="4"/>
        <v>5983123.1205757037</v>
      </c>
    </row>
    <row r="51" spans="1:45" ht="16.5" thickBot="1" x14ac:dyDescent="0.25"/>
    <row r="52" spans="1:45" x14ac:dyDescent="0.2">
      <c r="A52" s="277"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78" t="s">
        <v>233</v>
      </c>
      <c r="B53" s="351">
        <v>0</v>
      </c>
      <c r="C53" s="351">
        <f t="shared" ref="C53:AP53" si="6">B53+B54-B55</f>
        <v>0</v>
      </c>
      <c r="D53" s="351">
        <f t="shared" si="6"/>
        <v>0</v>
      </c>
      <c r="E53" s="351">
        <f t="shared" si="6"/>
        <v>0</v>
      </c>
      <c r="F53" s="351">
        <f t="shared" si="6"/>
        <v>0</v>
      </c>
      <c r="G53" s="351">
        <f t="shared" si="6"/>
        <v>0</v>
      </c>
      <c r="H53" s="351">
        <f t="shared" si="6"/>
        <v>0</v>
      </c>
      <c r="I53" s="351">
        <f t="shared" si="6"/>
        <v>0</v>
      </c>
      <c r="J53" s="351">
        <f t="shared" si="6"/>
        <v>0</v>
      </c>
      <c r="K53" s="351">
        <f t="shared" si="6"/>
        <v>0</v>
      </c>
      <c r="L53" s="351">
        <f t="shared" si="6"/>
        <v>0</v>
      </c>
      <c r="M53" s="351">
        <f t="shared" si="6"/>
        <v>0</v>
      </c>
      <c r="N53" s="351">
        <f t="shared" si="6"/>
        <v>0</v>
      </c>
      <c r="O53" s="351">
        <f t="shared" si="6"/>
        <v>0</v>
      </c>
      <c r="P53" s="351">
        <f t="shared" si="6"/>
        <v>0</v>
      </c>
      <c r="Q53" s="351">
        <f t="shared" si="6"/>
        <v>0</v>
      </c>
      <c r="R53" s="351">
        <f t="shared" si="6"/>
        <v>0</v>
      </c>
      <c r="S53" s="351">
        <f t="shared" si="6"/>
        <v>0</v>
      </c>
      <c r="T53" s="351">
        <f t="shared" si="6"/>
        <v>0</v>
      </c>
      <c r="U53" s="351">
        <f t="shared" si="6"/>
        <v>0</v>
      </c>
      <c r="V53" s="351">
        <f t="shared" si="6"/>
        <v>0</v>
      </c>
      <c r="W53" s="351">
        <f t="shared" si="6"/>
        <v>0</v>
      </c>
      <c r="X53" s="351">
        <f t="shared" si="6"/>
        <v>0</v>
      </c>
      <c r="Y53" s="351">
        <f t="shared" si="6"/>
        <v>0</v>
      </c>
      <c r="Z53" s="351">
        <f t="shared" si="6"/>
        <v>0</v>
      </c>
      <c r="AA53" s="351">
        <f t="shared" si="6"/>
        <v>0</v>
      </c>
      <c r="AB53" s="351">
        <f t="shared" si="6"/>
        <v>0</v>
      </c>
      <c r="AC53" s="351">
        <f t="shared" si="6"/>
        <v>0</v>
      </c>
      <c r="AD53" s="351">
        <f t="shared" si="6"/>
        <v>0</v>
      </c>
      <c r="AE53" s="351">
        <f t="shared" si="6"/>
        <v>0</v>
      </c>
      <c r="AF53" s="351">
        <f t="shared" si="6"/>
        <v>0</v>
      </c>
      <c r="AG53" s="351">
        <f t="shared" si="6"/>
        <v>0</v>
      </c>
      <c r="AH53" s="351">
        <f t="shared" si="6"/>
        <v>0</v>
      </c>
      <c r="AI53" s="351">
        <f t="shared" si="6"/>
        <v>0</v>
      </c>
      <c r="AJ53" s="351">
        <f t="shared" si="6"/>
        <v>0</v>
      </c>
      <c r="AK53" s="351">
        <f t="shared" si="6"/>
        <v>0</v>
      </c>
      <c r="AL53" s="351">
        <f t="shared" si="6"/>
        <v>0</v>
      </c>
      <c r="AM53" s="351">
        <f t="shared" si="6"/>
        <v>0</v>
      </c>
      <c r="AN53" s="351">
        <f t="shared" si="6"/>
        <v>0</v>
      </c>
      <c r="AO53" s="351">
        <f t="shared" si="6"/>
        <v>0</v>
      </c>
      <c r="AP53" s="351">
        <f t="shared" si="6"/>
        <v>0</v>
      </c>
    </row>
    <row r="54" spans="1:45" x14ac:dyDescent="0.2">
      <c r="A54" s="278" t="s">
        <v>232</v>
      </c>
      <c r="B54" s="351">
        <f>B25*B28*B43*1.18</f>
        <v>0</v>
      </c>
      <c r="C54" s="351">
        <v>0</v>
      </c>
      <c r="D54" s="351">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1">
        <v>0</v>
      </c>
      <c r="AC54" s="351">
        <v>0</v>
      </c>
      <c r="AD54" s="351">
        <v>0</v>
      </c>
      <c r="AE54" s="351">
        <v>0</v>
      </c>
      <c r="AF54" s="351">
        <v>0</v>
      </c>
      <c r="AG54" s="351">
        <v>0</v>
      </c>
      <c r="AH54" s="351">
        <v>0</v>
      </c>
      <c r="AI54" s="351">
        <v>0</v>
      </c>
      <c r="AJ54" s="351">
        <v>0</v>
      </c>
      <c r="AK54" s="351">
        <v>0</v>
      </c>
      <c r="AL54" s="351">
        <v>0</v>
      </c>
      <c r="AM54" s="351">
        <v>0</v>
      </c>
      <c r="AN54" s="351">
        <v>0</v>
      </c>
      <c r="AO54" s="351">
        <v>0</v>
      </c>
      <c r="AP54" s="351">
        <v>0</v>
      </c>
    </row>
    <row r="55" spans="1:45" x14ac:dyDescent="0.2">
      <c r="A55" s="278" t="s">
        <v>231</v>
      </c>
      <c r="B55" s="351">
        <f>$B$54/$B$40</f>
        <v>0</v>
      </c>
      <c r="C55" s="351">
        <f t="shared" ref="C55:AP55" si="7">IF(ROUND(C53,1)=0,0,B55+C54/$B$40)</f>
        <v>0</v>
      </c>
      <c r="D55" s="351">
        <f t="shared" si="7"/>
        <v>0</v>
      </c>
      <c r="E55" s="351">
        <f t="shared" si="7"/>
        <v>0</v>
      </c>
      <c r="F55" s="351">
        <f t="shared" si="7"/>
        <v>0</v>
      </c>
      <c r="G55" s="351">
        <f t="shared" si="7"/>
        <v>0</v>
      </c>
      <c r="H55" s="351">
        <f t="shared" si="7"/>
        <v>0</v>
      </c>
      <c r="I55" s="351">
        <f t="shared" si="7"/>
        <v>0</v>
      </c>
      <c r="J55" s="351">
        <f t="shared" si="7"/>
        <v>0</v>
      </c>
      <c r="K55" s="351">
        <f t="shared" si="7"/>
        <v>0</v>
      </c>
      <c r="L55" s="351">
        <f t="shared" si="7"/>
        <v>0</v>
      </c>
      <c r="M55" s="351">
        <f t="shared" si="7"/>
        <v>0</v>
      </c>
      <c r="N55" s="351">
        <f t="shared" si="7"/>
        <v>0</v>
      </c>
      <c r="O55" s="351">
        <f t="shared" si="7"/>
        <v>0</v>
      </c>
      <c r="P55" s="351">
        <f t="shared" si="7"/>
        <v>0</v>
      </c>
      <c r="Q55" s="351">
        <f t="shared" si="7"/>
        <v>0</v>
      </c>
      <c r="R55" s="351">
        <f t="shared" si="7"/>
        <v>0</v>
      </c>
      <c r="S55" s="351">
        <f t="shared" si="7"/>
        <v>0</v>
      </c>
      <c r="T55" s="351">
        <f t="shared" si="7"/>
        <v>0</v>
      </c>
      <c r="U55" s="351">
        <f t="shared" si="7"/>
        <v>0</v>
      </c>
      <c r="V55" s="351">
        <f t="shared" si="7"/>
        <v>0</v>
      </c>
      <c r="W55" s="351">
        <f t="shared" si="7"/>
        <v>0</v>
      </c>
      <c r="X55" s="351">
        <f t="shared" si="7"/>
        <v>0</v>
      </c>
      <c r="Y55" s="351">
        <f t="shared" si="7"/>
        <v>0</v>
      </c>
      <c r="Z55" s="351">
        <f t="shared" si="7"/>
        <v>0</v>
      </c>
      <c r="AA55" s="351">
        <f t="shared" si="7"/>
        <v>0</v>
      </c>
      <c r="AB55" s="351">
        <f t="shared" si="7"/>
        <v>0</v>
      </c>
      <c r="AC55" s="351">
        <f t="shared" si="7"/>
        <v>0</v>
      </c>
      <c r="AD55" s="351">
        <f t="shared" si="7"/>
        <v>0</v>
      </c>
      <c r="AE55" s="351">
        <f t="shared" si="7"/>
        <v>0</v>
      </c>
      <c r="AF55" s="351">
        <f t="shared" si="7"/>
        <v>0</v>
      </c>
      <c r="AG55" s="351">
        <f t="shared" si="7"/>
        <v>0</v>
      </c>
      <c r="AH55" s="351">
        <f t="shared" si="7"/>
        <v>0</v>
      </c>
      <c r="AI55" s="351">
        <f t="shared" si="7"/>
        <v>0</v>
      </c>
      <c r="AJ55" s="351">
        <f t="shared" si="7"/>
        <v>0</v>
      </c>
      <c r="AK55" s="351">
        <f t="shared" si="7"/>
        <v>0</v>
      </c>
      <c r="AL55" s="351">
        <f t="shared" si="7"/>
        <v>0</v>
      </c>
      <c r="AM55" s="351">
        <f t="shared" si="7"/>
        <v>0</v>
      </c>
      <c r="AN55" s="351">
        <f t="shared" si="7"/>
        <v>0</v>
      </c>
      <c r="AO55" s="351">
        <f t="shared" si="7"/>
        <v>0</v>
      </c>
      <c r="AP55" s="351">
        <f t="shared" si="7"/>
        <v>0</v>
      </c>
    </row>
    <row r="56" spans="1:45" ht="16.5" thickBot="1" x14ac:dyDescent="0.25">
      <c r="A56" s="279"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82" customFormat="1" ht="16.5" thickBot="1" x14ac:dyDescent="0.25">
      <c r="A57" s="280"/>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L57" s="281"/>
      <c r="AM57" s="281"/>
      <c r="AN57" s="281"/>
      <c r="AO57" s="281"/>
      <c r="AP57" s="281"/>
      <c r="AQ57" s="231"/>
      <c r="AR57" s="231"/>
      <c r="AS57" s="231"/>
    </row>
    <row r="58" spans="1:45" x14ac:dyDescent="0.2">
      <c r="A58" s="277"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83" t="s">
        <v>229</v>
      </c>
      <c r="B59" s="352">
        <f t="shared" ref="B59:AP59" si="10">B50*$B$28</f>
        <v>2182358.7000000002</v>
      </c>
      <c r="C59" s="352">
        <f t="shared" si="10"/>
        <v>396826.65860655799</v>
      </c>
      <c r="D59" s="352">
        <f t="shared" si="10"/>
        <v>826986.75653606688</v>
      </c>
      <c r="E59" s="352">
        <f t="shared" si="10"/>
        <v>1305636.6671372449</v>
      </c>
      <c r="F59" s="352">
        <f t="shared" si="10"/>
        <v>1360473.4071570095</v>
      </c>
      <c r="G59" s="352">
        <f t="shared" si="10"/>
        <v>1417613.2902576041</v>
      </c>
      <c r="H59" s="352">
        <f t="shared" si="10"/>
        <v>1477153.0484484234</v>
      </c>
      <c r="I59" s="352">
        <f t="shared" si="10"/>
        <v>1539193.4764832573</v>
      </c>
      <c r="J59" s="352">
        <f t="shared" si="10"/>
        <v>1603839.6024955541</v>
      </c>
      <c r="K59" s="352">
        <f t="shared" si="10"/>
        <v>1671200.8658003677</v>
      </c>
      <c r="L59" s="352">
        <f t="shared" si="10"/>
        <v>1741391.302163983</v>
      </c>
      <c r="M59" s="352">
        <f t="shared" si="10"/>
        <v>1814529.7368548703</v>
      </c>
      <c r="N59" s="352">
        <f t="shared" si="10"/>
        <v>1890739.9858027748</v>
      </c>
      <c r="O59" s="352">
        <f t="shared" si="10"/>
        <v>1970151.0652064916</v>
      </c>
      <c r="P59" s="352">
        <f t="shared" si="10"/>
        <v>2052897.4099451641</v>
      </c>
      <c r="Q59" s="352">
        <f t="shared" si="10"/>
        <v>2139119.1011628611</v>
      </c>
      <c r="R59" s="352">
        <f t="shared" si="10"/>
        <v>2228962.103411701</v>
      </c>
      <c r="S59" s="352">
        <f t="shared" si="10"/>
        <v>2322578.5117549929</v>
      </c>
      <c r="T59" s="352">
        <f t="shared" si="10"/>
        <v>2420126.8092487026</v>
      </c>
      <c r="U59" s="352">
        <f t="shared" si="10"/>
        <v>2521772.1352371485</v>
      </c>
      <c r="V59" s="352">
        <f t="shared" si="10"/>
        <v>2627686.5649171085</v>
      </c>
      <c r="W59" s="352">
        <f t="shared" si="10"/>
        <v>2738049.4006436272</v>
      </c>
      <c r="X59" s="352">
        <f t="shared" si="10"/>
        <v>2853047.4754706598</v>
      </c>
      <c r="Y59" s="352">
        <f t="shared" si="10"/>
        <v>2972875.4694404276</v>
      </c>
      <c r="Z59" s="352">
        <f t="shared" si="10"/>
        <v>3097736.2391569261</v>
      </c>
      <c r="AA59" s="352">
        <f t="shared" si="10"/>
        <v>3227841.1612015171</v>
      </c>
      <c r="AB59" s="352">
        <f t="shared" si="10"/>
        <v>3363410.4899719814</v>
      </c>
      <c r="AC59" s="352">
        <f t="shared" si="10"/>
        <v>3504673.7305508046</v>
      </c>
      <c r="AD59" s="352">
        <f t="shared" si="10"/>
        <v>3651870.0272339387</v>
      </c>
      <c r="AE59" s="352">
        <f t="shared" si="10"/>
        <v>3805248.568377764</v>
      </c>
      <c r="AF59" s="352">
        <f t="shared" si="10"/>
        <v>3965069.0082496298</v>
      </c>
      <c r="AG59" s="352">
        <f t="shared" si="10"/>
        <v>4131601.9065961144</v>
      </c>
      <c r="AH59" s="352">
        <f t="shared" si="10"/>
        <v>4305129.1866731513</v>
      </c>
      <c r="AI59" s="352">
        <f t="shared" si="10"/>
        <v>4485944.612513423</v>
      </c>
      <c r="AJ59" s="352">
        <f t="shared" si="10"/>
        <v>4674354.2862389879</v>
      </c>
      <c r="AK59" s="352">
        <f t="shared" si="10"/>
        <v>4870677.1662610257</v>
      </c>
      <c r="AL59" s="352">
        <f t="shared" si="10"/>
        <v>5075245.6072439887</v>
      </c>
      <c r="AM59" s="352">
        <f t="shared" si="10"/>
        <v>5288405.9227482369</v>
      </c>
      <c r="AN59" s="352">
        <f t="shared" si="10"/>
        <v>5510518.9715036629</v>
      </c>
      <c r="AO59" s="352">
        <f t="shared" si="10"/>
        <v>5741960.7683068179</v>
      </c>
      <c r="AP59" s="352">
        <f t="shared" si="10"/>
        <v>5983123.1205757037</v>
      </c>
    </row>
    <row r="60" spans="1:45" x14ac:dyDescent="0.2">
      <c r="A60" s="278" t="s">
        <v>228</v>
      </c>
      <c r="B60" s="351">
        <f t="shared" ref="B60:Z60" si="11">SUM(B61:B65)</f>
        <v>0</v>
      </c>
      <c r="C60" s="351">
        <f t="shared" si="11"/>
        <v>-28095.010792315963</v>
      </c>
      <c r="D60" s="351">
        <f>SUM(D61:D65)</f>
        <v>-29275.00124559323</v>
      </c>
      <c r="E60" s="351">
        <f t="shared" si="11"/>
        <v>-30504.551297908147</v>
      </c>
      <c r="F60" s="351">
        <f t="shared" si="11"/>
        <v>-31785.742452420294</v>
      </c>
      <c r="G60" s="351">
        <f t="shared" si="11"/>
        <v>-33120.743635421946</v>
      </c>
      <c r="H60" s="351">
        <f t="shared" si="11"/>
        <v>-34511.814868109672</v>
      </c>
      <c r="I60" s="351">
        <f t="shared" si="11"/>
        <v>-35961.311092570279</v>
      </c>
      <c r="J60" s="351">
        <f t="shared" si="11"/>
        <v>-37471.686158458237</v>
      </c>
      <c r="K60" s="351">
        <f t="shared" si="11"/>
        <v>-39045.496977113486</v>
      </c>
      <c r="L60" s="351">
        <f t="shared" si="11"/>
        <v>-40685.407850152253</v>
      </c>
      <c r="M60" s="351">
        <f t="shared" si="11"/>
        <v>-42394.194979858643</v>
      </c>
      <c r="N60" s="351">
        <f t="shared" si="11"/>
        <v>-44174.751169012707</v>
      </c>
      <c r="O60" s="351">
        <f t="shared" si="11"/>
        <v>-46030.090718111242</v>
      </c>
      <c r="P60" s="351">
        <f t="shared" si="11"/>
        <v>-47963.354528271913</v>
      </c>
      <c r="Q60" s="351">
        <f t="shared" si="11"/>
        <v>-49977.815418459337</v>
      </c>
      <c r="R60" s="351">
        <f t="shared" si="11"/>
        <v>-52076.883666034628</v>
      </c>
      <c r="S60" s="351">
        <f t="shared" si="11"/>
        <v>-54264.112780008087</v>
      </c>
      <c r="T60" s="351">
        <f t="shared" si="11"/>
        <v>-56543.20551676843</v>
      </c>
      <c r="U60" s="351">
        <f t="shared" si="11"/>
        <v>-58918.020148472708</v>
      </c>
      <c r="V60" s="351">
        <f t="shared" si="11"/>
        <v>-61392.576994708565</v>
      </c>
      <c r="W60" s="351">
        <f t="shared" si="11"/>
        <v>-63971.065228486324</v>
      </c>
      <c r="X60" s="351">
        <f t="shared" si="11"/>
        <v>-66657.849968082752</v>
      </c>
      <c r="Y60" s="351">
        <f t="shared" si="11"/>
        <v>-69457.479666742234</v>
      </c>
      <c r="Z60" s="351">
        <f t="shared" si="11"/>
        <v>-72374.69381274542</v>
      </c>
      <c r="AA60" s="351">
        <f t="shared" ref="AA60:AP60" si="12">SUM(AA61:AA65)</f>
        <v>-75414.430952880735</v>
      </c>
      <c r="AB60" s="351">
        <f t="shared" si="12"/>
        <v>-78581.837052901727</v>
      </c>
      <c r="AC60" s="351">
        <f t="shared" si="12"/>
        <v>-81882.2742091236</v>
      </c>
      <c r="AD60" s="351">
        <f t="shared" si="12"/>
        <v>-85321.329725906791</v>
      </c>
      <c r="AE60" s="351">
        <f t="shared" si="12"/>
        <v>-88904.825574394883</v>
      </c>
      <c r="AF60" s="351">
        <f t="shared" si="12"/>
        <v>-92638.828248519465</v>
      </c>
      <c r="AG60" s="351">
        <f t="shared" si="12"/>
        <v>-96529.65903495728</v>
      </c>
      <c r="AH60" s="351">
        <f t="shared" si="12"/>
        <v>-100583.90471442549</v>
      </c>
      <c r="AI60" s="351">
        <f t="shared" si="12"/>
        <v>-104808.42871243136</v>
      </c>
      <c r="AJ60" s="351">
        <f t="shared" si="12"/>
        <v>-109210.38271835349</v>
      </c>
      <c r="AK60" s="351">
        <f t="shared" si="12"/>
        <v>-113797.21879252433</v>
      </c>
      <c r="AL60" s="351">
        <f t="shared" si="12"/>
        <v>-118576.70198181037</v>
      </c>
      <c r="AM60" s="351">
        <f t="shared" si="12"/>
        <v>-123556.92346504642</v>
      </c>
      <c r="AN60" s="351">
        <f t="shared" si="12"/>
        <v>-128746.31425057838</v>
      </c>
      <c r="AO60" s="351">
        <f t="shared" si="12"/>
        <v>-134153.65944910268</v>
      </c>
      <c r="AP60" s="351">
        <f t="shared" si="12"/>
        <v>-139788.11314596501</v>
      </c>
    </row>
    <row r="61" spans="1:45" x14ac:dyDescent="0.2">
      <c r="A61" s="123" t="s">
        <v>227</v>
      </c>
      <c r="B61" s="351"/>
      <c r="C61" s="351">
        <f>-IF(C$47&lt;=$B$30,0,$B$29*(1+C$49)*$B$28)</f>
        <v>-28095.010792315963</v>
      </c>
      <c r="D61" s="351">
        <f>-IF(D$47&lt;=$B$30,0,$B$29*(1+D$49)*$B$28)</f>
        <v>-29275.00124559323</v>
      </c>
      <c r="E61" s="351">
        <f t="shared" ref="E61:AP61" si="13">-IF(E$47&lt;=$B$30,0,$B$29*(1+E$49)*$B$28)</f>
        <v>-30504.551297908147</v>
      </c>
      <c r="F61" s="351">
        <f t="shared" si="13"/>
        <v>-31785.742452420294</v>
      </c>
      <c r="G61" s="351">
        <f t="shared" si="13"/>
        <v>-33120.743635421946</v>
      </c>
      <c r="H61" s="351">
        <f t="shared" si="13"/>
        <v>-34511.814868109672</v>
      </c>
      <c r="I61" s="351">
        <f t="shared" si="13"/>
        <v>-35961.311092570279</v>
      </c>
      <c r="J61" s="351">
        <f t="shared" si="13"/>
        <v>-37471.686158458237</v>
      </c>
      <c r="K61" s="351">
        <f t="shared" si="13"/>
        <v>-39045.496977113486</v>
      </c>
      <c r="L61" s="351">
        <f t="shared" si="13"/>
        <v>-40685.407850152253</v>
      </c>
      <c r="M61" s="351">
        <f t="shared" si="13"/>
        <v>-42394.194979858643</v>
      </c>
      <c r="N61" s="351">
        <f t="shared" si="13"/>
        <v>-44174.751169012707</v>
      </c>
      <c r="O61" s="351">
        <f t="shared" si="13"/>
        <v>-46030.090718111242</v>
      </c>
      <c r="P61" s="351">
        <f t="shared" si="13"/>
        <v>-47963.354528271913</v>
      </c>
      <c r="Q61" s="351">
        <f t="shared" si="13"/>
        <v>-49977.815418459337</v>
      </c>
      <c r="R61" s="351">
        <f t="shared" si="13"/>
        <v>-52076.883666034628</v>
      </c>
      <c r="S61" s="351">
        <f t="shared" si="13"/>
        <v>-54264.112780008087</v>
      </c>
      <c r="T61" s="351">
        <f t="shared" si="13"/>
        <v>-56543.20551676843</v>
      </c>
      <c r="U61" s="351">
        <f t="shared" si="13"/>
        <v>-58918.020148472708</v>
      </c>
      <c r="V61" s="351">
        <f t="shared" si="13"/>
        <v>-61392.576994708565</v>
      </c>
      <c r="W61" s="351">
        <f t="shared" si="13"/>
        <v>-63971.065228486324</v>
      </c>
      <c r="X61" s="351">
        <f t="shared" si="13"/>
        <v>-66657.849968082752</v>
      </c>
      <c r="Y61" s="351">
        <f t="shared" si="13"/>
        <v>-69457.479666742234</v>
      </c>
      <c r="Z61" s="351">
        <f t="shared" si="13"/>
        <v>-72374.69381274542</v>
      </c>
      <c r="AA61" s="351">
        <f t="shared" si="13"/>
        <v>-75414.430952880735</v>
      </c>
      <c r="AB61" s="351">
        <f t="shared" si="13"/>
        <v>-78581.837052901727</v>
      </c>
      <c r="AC61" s="351">
        <f t="shared" si="13"/>
        <v>-81882.2742091236</v>
      </c>
      <c r="AD61" s="351">
        <f t="shared" si="13"/>
        <v>-85321.329725906791</v>
      </c>
      <c r="AE61" s="351">
        <f t="shared" si="13"/>
        <v>-88904.825574394883</v>
      </c>
      <c r="AF61" s="351">
        <f t="shared" si="13"/>
        <v>-92638.828248519465</v>
      </c>
      <c r="AG61" s="351">
        <f t="shared" si="13"/>
        <v>-96529.65903495728</v>
      </c>
      <c r="AH61" s="351">
        <f t="shared" si="13"/>
        <v>-100583.90471442549</v>
      </c>
      <c r="AI61" s="351">
        <f t="shared" si="13"/>
        <v>-104808.42871243136</v>
      </c>
      <c r="AJ61" s="351">
        <f t="shared" si="13"/>
        <v>-109210.38271835349</v>
      </c>
      <c r="AK61" s="351">
        <f t="shared" si="13"/>
        <v>-113797.21879252433</v>
      </c>
      <c r="AL61" s="351">
        <f t="shared" si="13"/>
        <v>-118576.70198181037</v>
      </c>
      <c r="AM61" s="351">
        <f t="shared" si="13"/>
        <v>-123556.92346504642</v>
      </c>
      <c r="AN61" s="351">
        <f t="shared" si="13"/>
        <v>-128746.31425057838</v>
      </c>
      <c r="AO61" s="351">
        <f t="shared" si="13"/>
        <v>-134153.65944910268</v>
      </c>
      <c r="AP61" s="351">
        <f t="shared" si="13"/>
        <v>-139788.11314596501</v>
      </c>
    </row>
    <row r="62" spans="1:45" x14ac:dyDescent="0.2">
      <c r="A62" s="123" t="str">
        <f>A32</f>
        <v>Прочие расходы при эксплуатации объекта, руб. без НДС</v>
      </c>
      <c r="B62" s="351"/>
      <c r="C62" s="351"/>
      <c r="D62" s="351"/>
      <c r="E62" s="351"/>
      <c r="F62" s="351"/>
      <c r="G62" s="351"/>
      <c r="H62" s="351"/>
      <c r="I62" s="351"/>
      <c r="J62" s="351"/>
      <c r="K62" s="351"/>
      <c r="L62" s="351"/>
      <c r="M62" s="351"/>
      <c r="N62" s="351"/>
      <c r="O62" s="351"/>
      <c r="P62" s="351"/>
      <c r="Q62" s="351"/>
      <c r="R62" s="351"/>
      <c r="S62" s="351"/>
      <c r="T62" s="351"/>
      <c r="U62" s="351"/>
      <c r="V62" s="351"/>
      <c r="W62" s="351"/>
      <c r="X62" s="351"/>
      <c r="Y62" s="351"/>
      <c r="Z62" s="351"/>
      <c r="AA62" s="351"/>
      <c r="AB62" s="351"/>
      <c r="AC62" s="351"/>
      <c r="AD62" s="351"/>
      <c r="AE62" s="351"/>
      <c r="AF62" s="351"/>
      <c r="AG62" s="351"/>
      <c r="AH62" s="351"/>
      <c r="AI62" s="351"/>
      <c r="AJ62" s="351"/>
      <c r="AK62" s="351"/>
      <c r="AL62" s="351"/>
      <c r="AM62" s="351"/>
      <c r="AN62" s="351"/>
      <c r="AO62" s="351"/>
      <c r="AP62" s="351"/>
    </row>
    <row r="63" spans="1:45" x14ac:dyDescent="0.2">
      <c r="A63" s="123" t="s">
        <v>390</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1"/>
      <c r="AG63" s="351"/>
      <c r="AH63" s="351"/>
      <c r="AI63" s="351"/>
      <c r="AJ63" s="351"/>
      <c r="AK63" s="351"/>
      <c r="AL63" s="351"/>
      <c r="AM63" s="351"/>
      <c r="AN63" s="351"/>
      <c r="AO63" s="351"/>
      <c r="AP63" s="351"/>
    </row>
    <row r="64" spans="1:45" x14ac:dyDescent="0.2">
      <c r="A64" s="123" t="s">
        <v>390</v>
      </c>
      <c r="B64" s="351"/>
      <c r="C64" s="351"/>
      <c r="D64" s="351"/>
      <c r="E64" s="351"/>
      <c r="F64" s="351"/>
      <c r="G64" s="351"/>
      <c r="H64" s="351"/>
      <c r="I64" s="351"/>
      <c r="J64" s="351"/>
      <c r="K64" s="351"/>
      <c r="L64" s="351"/>
      <c r="M64" s="351"/>
      <c r="N64" s="351"/>
      <c r="O64" s="351"/>
      <c r="P64" s="351"/>
      <c r="Q64" s="351"/>
      <c r="R64" s="351"/>
      <c r="S64" s="351"/>
      <c r="T64" s="351"/>
      <c r="U64" s="351"/>
      <c r="V64" s="351"/>
      <c r="W64" s="351"/>
      <c r="X64" s="351"/>
      <c r="Y64" s="351"/>
      <c r="Z64" s="351"/>
      <c r="AA64" s="351"/>
      <c r="AB64" s="351"/>
      <c r="AC64" s="351"/>
      <c r="AD64" s="351"/>
      <c r="AE64" s="351"/>
      <c r="AF64" s="351"/>
      <c r="AG64" s="351"/>
      <c r="AH64" s="351"/>
      <c r="AI64" s="351"/>
      <c r="AJ64" s="351"/>
      <c r="AK64" s="351"/>
      <c r="AL64" s="351"/>
      <c r="AM64" s="351"/>
      <c r="AN64" s="351"/>
      <c r="AO64" s="351"/>
      <c r="AP64" s="351"/>
    </row>
    <row r="65" spans="1:45" ht="31.5" x14ac:dyDescent="0.2">
      <c r="A65" s="123" t="s">
        <v>542</v>
      </c>
      <c r="B65" s="351"/>
      <c r="C65" s="351"/>
      <c r="D65" s="351"/>
      <c r="E65" s="351"/>
      <c r="F65" s="351"/>
      <c r="G65" s="351"/>
      <c r="H65" s="351"/>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51"/>
      <c r="AI65" s="351"/>
      <c r="AJ65" s="351"/>
      <c r="AK65" s="351"/>
      <c r="AL65" s="351"/>
      <c r="AM65" s="351"/>
      <c r="AN65" s="351"/>
      <c r="AO65" s="351"/>
      <c r="AP65" s="351"/>
    </row>
    <row r="66" spans="1:45" ht="28.5" x14ac:dyDescent="0.2">
      <c r="A66" s="284" t="s">
        <v>543</v>
      </c>
      <c r="B66" s="352">
        <f t="shared" ref="B66:AO66" si="14">B59+B60</f>
        <v>2182358.7000000002</v>
      </c>
      <c r="C66" s="352">
        <f t="shared" si="14"/>
        <v>368731.64781424205</v>
      </c>
      <c r="D66" s="352">
        <f t="shared" si="14"/>
        <v>797711.75529047369</v>
      </c>
      <c r="E66" s="352">
        <f t="shared" si="14"/>
        <v>1275132.1158393368</v>
      </c>
      <c r="F66" s="352">
        <f t="shared" si="14"/>
        <v>1328687.6647045892</v>
      </c>
      <c r="G66" s="352">
        <f t="shared" si="14"/>
        <v>1384492.5466221822</v>
      </c>
      <c r="H66" s="352">
        <f t="shared" si="14"/>
        <v>1442641.2335803136</v>
      </c>
      <c r="I66" s="352">
        <f t="shared" si="14"/>
        <v>1503232.1653906871</v>
      </c>
      <c r="J66" s="352">
        <f t="shared" si="14"/>
        <v>1566367.9163370959</v>
      </c>
      <c r="K66" s="352">
        <f t="shared" si="14"/>
        <v>1632155.3688232542</v>
      </c>
      <c r="L66" s="352">
        <f t="shared" si="14"/>
        <v>1700705.8943138306</v>
      </c>
      <c r="M66" s="352">
        <f t="shared" si="14"/>
        <v>1772135.5418750118</v>
      </c>
      <c r="N66" s="352">
        <f t="shared" si="14"/>
        <v>1846565.2346337622</v>
      </c>
      <c r="O66" s="352">
        <f t="shared" si="14"/>
        <v>1924120.9744883804</v>
      </c>
      <c r="P66" s="352">
        <f t="shared" si="14"/>
        <v>2004934.0554168923</v>
      </c>
      <c r="Q66" s="352">
        <f t="shared" si="14"/>
        <v>2089141.2857444019</v>
      </c>
      <c r="R66" s="352">
        <f t="shared" si="14"/>
        <v>2176885.2197456663</v>
      </c>
      <c r="S66" s="352">
        <f t="shared" si="14"/>
        <v>2268314.3989749849</v>
      </c>
      <c r="T66" s="352">
        <f t="shared" si="14"/>
        <v>2363583.603731934</v>
      </c>
      <c r="U66" s="352">
        <f t="shared" si="14"/>
        <v>2462854.1150886756</v>
      </c>
      <c r="V66" s="352">
        <f t="shared" si="14"/>
        <v>2566293.9879223998</v>
      </c>
      <c r="W66" s="352">
        <f t="shared" si="14"/>
        <v>2674078.3354151407</v>
      </c>
      <c r="X66" s="352">
        <f t="shared" si="14"/>
        <v>2786389.6255025771</v>
      </c>
      <c r="Y66" s="352">
        <f t="shared" si="14"/>
        <v>2903417.9897736856</v>
      </c>
      <c r="Z66" s="352">
        <f t="shared" si="14"/>
        <v>3025361.5453441804</v>
      </c>
      <c r="AA66" s="352">
        <f t="shared" si="14"/>
        <v>3152426.7302486366</v>
      </c>
      <c r="AB66" s="352">
        <f t="shared" si="14"/>
        <v>3284828.6529190796</v>
      </c>
      <c r="AC66" s="352">
        <f t="shared" si="14"/>
        <v>3422791.4563416811</v>
      </c>
      <c r="AD66" s="352">
        <f t="shared" si="14"/>
        <v>3566548.697508032</v>
      </c>
      <c r="AE66" s="352">
        <f t="shared" si="14"/>
        <v>3716343.7428033692</v>
      </c>
      <c r="AF66" s="352">
        <f t="shared" si="14"/>
        <v>3872430.1800011103</v>
      </c>
      <c r="AG66" s="352">
        <f t="shared" si="14"/>
        <v>4035072.2475611572</v>
      </c>
      <c r="AH66" s="352">
        <f t="shared" si="14"/>
        <v>4204545.2819587262</v>
      </c>
      <c r="AI66" s="352">
        <f t="shared" si="14"/>
        <v>4381136.1838009916</v>
      </c>
      <c r="AJ66" s="352">
        <f t="shared" si="14"/>
        <v>4565143.9035206344</v>
      </c>
      <c r="AK66" s="352">
        <f t="shared" si="14"/>
        <v>4756879.9474685015</v>
      </c>
      <c r="AL66" s="352">
        <f t="shared" si="14"/>
        <v>4956668.9052621787</v>
      </c>
      <c r="AM66" s="352">
        <f t="shared" si="14"/>
        <v>5164848.9992831908</v>
      </c>
      <c r="AN66" s="352">
        <f t="shared" si="14"/>
        <v>5381772.6572530847</v>
      </c>
      <c r="AO66" s="352">
        <f t="shared" si="14"/>
        <v>5607807.1088577155</v>
      </c>
      <c r="AP66" s="352">
        <f>AP59+AP60</f>
        <v>5843335.0074297385</v>
      </c>
    </row>
    <row r="67" spans="1:45" x14ac:dyDescent="0.2">
      <c r="A67" s="123" t="s">
        <v>222</v>
      </c>
      <c r="B67" s="119"/>
      <c r="C67" s="351">
        <f>-($B$25)*1.18*$B$28/$B$27</f>
        <v>-84935.566133333326</v>
      </c>
      <c r="D67" s="351">
        <f>C67</f>
        <v>-84935.566133333326</v>
      </c>
      <c r="E67" s="351">
        <f t="shared" ref="E67:AP67" si="15">D67</f>
        <v>-84935.566133333326</v>
      </c>
      <c r="F67" s="351">
        <f t="shared" si="15"/>
        <v>-84935.566133333326</v>
      </c>
      <c r="G67" s="351">
        <f t="shared" si="15"/>
        <v>-84935.566133333326</v>
      </c>
      <c r="H67" s="351">
        <f t="shared" si="15"/>
        <v>-84935.566133333326</v>
      </c>
      <c r="I67" s="351">
        <f t="shared" si="15"/>
        <v>-84935.566133333326</v>
      </c>
      <c r="J67" s="351">
        <f t="shared" si="15"/>
        <v>-84935.566133333326</v>
      </c>
      <c r="K67" s="351">
        <f t="shared" si="15"/>
        <v>-84935.566133333326</v>
      </c>
      <c r="L67" s="351">
        <f t="shared" si="15"/>
        <v>-84935.566133333326</v>
      </c>
      <c r="M67" s="351">
        <f t="shared" si="15"/>
        <v>-84935.566133333326</v>
      </c>
      <c r="N67" s="351">
        <f t="shared" si="15"/>
        <v>-84935.566133333326</v>
      </c>
      <c r="O67" s="351">
        <f t="shared" si="15"/>
        <v>-84935.566133333326</v>
      </c>
      <c r="P67" s="351">
        <f t="shared" si="15"/>
        <v>-84935.566133333326</v>
      </c>
      <c r="Q67" s="351">
        <f t="shared" si="15"/>
        <v>-84935.566133333326</v>
      </c>
      <c r="R67" s="351">
        <f t="shared" si="15"/>
        <v>-84935.566133333326</v>
      </c>
      <c r="S67" s="351">
        <f t="shared" si="15"/>
        <v>-84935.566133333326</v>
      </c>
      <c r="T67" s="351">
        <f t="shared" si="15"/>
        <v>-84935.566133333326</v>
      </c>
      <c r="U67" s="351">
        <f t="shared" si="15"/>
        <v>-84935.566133333326</v>
      </c>
      <c r="V67" s="351">
        <f t="shared" si="15"/>
        <v>-84935.566133333326</v>
      </c>
      <c r="W67" s="351">
        <f t="shared" si="15"/>
        <v>-84935.566133333326</v>
      </c>
      <c r="X67" s="351">
        <f t="shared" si="15"/>
        <v>-84935.566133333326</v>
      </c>
      <c r="Y67" s="351">
        <f t="shared" si="15"/>
        <v>-84935.566133333326</v>
      </c>
      <c r="Z67" s="351">
        <f t="shared" si="15"/>
        <v>-84935.566133333326</v>
      </c>
      <c r="AA67" s="351">
        <f t="shared" si="15"/>
        <v>-84935.566133333326</v>
      </c>
      <c r="AB67" s="351">
        <f t="shared" si="15"/>
        <v>-84935.566133333326</v>
      </c>
      <c r="AC67" s="351">
        <f t="shared" si="15"/>
        <v>-84935.566133333326</v>
      </c>
      <c r="AD67" s="351">
        <f t="shared" si="15"/>
        <v>-84935.566133333326</v>
      </c>
      <c r="AE67" s="351">
        <f t="shared" si="15"/>
        <v>-84935.566133333326</v>
      </c>
      <c r="AF67" s="351">
        <f t="shared" si="15"/>
        <v>-84935.566133333326</v>
      </c>
      <c r="AG67" s="351">
        <f t="shared" si="15"/>
        <v>-84935.566133333326</v>
      </c>
      <c r="AH67" s="351">
        <f t="shared" si="15"/>
        <v>-84935.566133333326</v>
      </c>
      <c r="AI67" s="351">
        <f t="shared" si="15"/>
        <v>-84935.566133333326</v>
      </c>
      <c r="AJ67" s="351">
        <f t="shared" si="15"/>
        <v>-84935.566133333326</v>
      </c>
      <c r="AK67" s="351">
        <f t="shared" si="15"/>
        <v>-84935.566133333326</v>
      </c>
      <c r="AL67" s="351">
        <f t="shared" si="15"/>
        <v>-84935.566133333326</v>
      </c>
      <c r="AM67" s="351">
        <f t="shared" si="15"/>
        <v>-84935.566133333326</v>
      </c>
      <c r="AN67" s="351">
        <f t="shared" si="15"/>
        <v>-84935.566133333326</v>
      </c>
      <c r="AO67" s="351">
        <f t="shared" si="15"/>
        <v>-84935.566133333326</v>
      </c>
      <c r="AP67" s="351">
        <f t="shared" si="15"/>
        <v>-84935.566133333326</v>
      </c>
      <c r="AQ67" s="285">
        <f>SUM(B67:AA67)/1.18</f>
        <v>-1799482.3333333337</v>
      </c>
      <c r="AR67" s="286">
        <f>SUM(B67:AF67)/1.18</f>
        <v>-2159378.8000000007</v>
      </c>
      <c r="AS67" s="286">
        <f>SUM(B67:AP67)/1.18</f>
        <v>-2879171.7333333343</v>
      </c>
    </row>
    <row r="68" spans="1:45" ht="28.5" x14ac:dyDescent="0.2">
      <c r="A68" s="284" t="s">
        <v>544</v>
      </c>
      <c r="B68" s="352">
        <f t="shared" ref="B68:J68" si="16">B66+B67</f>
        <v>2182358.7000000002</v>
      </c>
      <c r="C68" s="352">
        <f>C66+C67</f>
        <v>283796.08168090874</v>
      </c>
      <c r="D68" s="352">
        <f>D66+D67</f>
        <v>712776.18915714032</v>
      </c>
      <c r="E68" s="352">
        <f t="shared" si="16"/>
        <v>1190196.5497060034</v>
      </c>
      <c r="F68" s="352">
        <f>F66+C67</f>
        <v>1243752.0985712558</v>
      </c>
      <c r="G68" s="352">
        <f t="shared" si="16"/>
        <v>1299556.9804888489</v>
      </c>
      <c r="H68" s="352">
        <f t="shared" si="16"/>
        <v>1357705.6674469803</v>
      </c>
      <c r="I68" s="352">
        <f t="shared" si="16"/>
        <v>1418296.5992573537</v>
      </c>
      <c r="J68" s="352">
        <f t="shared" si="16"/>
        <v>1481432.3502037625</v>
      </c>
      <c r="K68" s="352">
        <f>K66+K67</f>
        <v>1547219.8026899209</v>
      </c>
      <c r="L68" s="352">
        <f>L66+L67</f>
        <v>1615770.3281804973</v>
      </c>
      <c r="M68" s="352">
        <f t="shared" ref="M68:AO68" si="17">M66+M67</f>
        <v>1687199.9757416784</v>
      </c>
      <c r="N68" s="352">
        <f t="shared" si="17"/>
        <v>1761629.6685004288</v>
      </c>
      <c r="O68" s="352">
        <f t="shared" si="17"/>
        <v>1839185.408355047</v>
      </c>
      <c r="P68" s="352">
        <f t="shared" si="17"/>
        <v>1919998.4892835589</v>
      </c>
      <c r="Q68" s="352">
        <f t="shared" si="17"/>
        <v>2004205.7196110685</v>
      </c>
      <c r="R68" s="352">
        <f t="shared" si="17"/>
        <v>2091949.6536123329</v>
      </c>
      <c r="S68" s="352">
        <f t="shared" si="17"/>
        <v>2183378.8328416515</v>
      </c>
      <c r="T68" s="352">
        <f t="shared" si="17"/>
        <v>2278648.0375986006</v>
      </c>
      <c r="U68" s="352">
        <f t="shared" si="17"/>
        <v>2377918.5489553423</v>
      </c>
      <c r="V68" s="352">
        <f t="shared" si="17"/>
        <v>2481358.4217890664</v>
      </c>
      <c r="W68" s="352">
        <f t="shared" si="17"/>
        <v>2589142.7692818074</v>
      </c>
      <c r="X68" s="352">
        <f t="shared" si="17"/>
        <v>2701454.0593692437</v>
      </c>
      <c r="Y68" s="352">
        <f t="shared" si="17"/>
        <v>2818482.4236403522</v>
      </c>
      <c r="Z68" s="352">
        <f t="shared" si="17"/>
        <v>2940425.9792108471</v>
      </c>
      <c r="AA68" s="352">
        <f t="shared" si="17"/>
        <v>3067491.1641153032</v>
      </c>
      <c r="AB68" s="352">
        <f t="shared" si="17"/>
        <v>3199893.0867857463</v>
      </c>
      <c r="AC68" s="352">
        <f t="shared" si="17"/>
        <v>3337855.8902083477</v>
      </c>
      <c r="AD68" s="352">
        <f t="shared" si="17"/>
        <v>3481613.1313746986</v>
      </c>
      <c r="AE68" s="352">
        <f t="shared" si="17"/>
        <v>3631408.1766700358</v>
      </c>
      <c r="AF68" s="352">
        <f t="shared" si="17"/>
        <v>3787494.6138677769</v>
      </c>
      <c r="AG68" s="352">
        <f t="shared" si="17"/>
        <v>3950136.6814278238</v>
      </c>
      <c r="AH68" s="352">
        <f t="shared" si="17"/>
        <v>4119609.7158253929</v>
      </c>
      <c r="AI68" s="352">
        <f t="shared" si="17"/>
        <v>4296200.6176676583</v>
      </c>
      <c r="AJ68" s="352">
        <f t="shared" si="17"/>
        <v>4480208.337387301</v>
      </c>
      <c r="AK68" s="352">
        <f t="shared" si="17"/>
        <v>4671944.3813351681</v>
      </c>
      <c r="AL68" s="352">
        <f t="shared" si="17"/>
        <v>4871733.3391288454</v>
      </c>
      <c r="AM68" s="352">
        <f t="shared" si="17"/>
        <v>5079913.4331498574</v>
      </c>
      <c r="AN68" s="352">
        <f t="shared" si="17"/>
        <v>5296837.0911197513</v>
      </c>
      <c r="AO68" s="352">
        <f t="shared" si="17"/>
        <v>5522871.5427243821</v>
      </c>
      <c r="AP68" s="352">
        <f>AP66+AP67</f>
        <v>5758399.4412964052</v>
      </c>
      <c r="AQ68" s="231">
        <v>25</v>
      </c>
      <c r="AR68" s="231">
        <v>30</v>
      </c>
      <c r="AS68" s="231">
        <v>40</v>
      </c>
    </row>
    <row r="69" spans="1:45" x14ac:dyDescent="0.2">
      <c r="A69" s="123" t="s">
        <v>221</v>
      </c>
      <c r="B69" s="351">
        <f t="shared" ref="B69:AO69" si="18">-B56</f>
        <v>0</v>
      </c>
      <c r="C69" s="351">
        <f t="shared" si="18"/>
        <v>0</v>
      </c>
      <c r="D69" s="351">
        <f t="shared" si="18"/>
        <v>0</v>
      </c>
      <c r="E69" s="351">
        <f t="shared" si="18"/>
        <v>0</v>
      </c>
      <c r="F69" s="351">
        <f t="shared" si="18"/>
        <v>0</v>
      </c>
      <c r="G69" s="351">
        <f t="shared" si="18"/>
        <v>0</v>
      </c>
      <c r="H69" s="351">
        <f t="shared" si="18"/>
        <v>0</v>
      </c>
      <c r="I69" s="351">
        <f t="shared" si="18"/>
        <v>0</v>
      </c>
      <c r="J69" s="351">
        <f t="shared" si="18"/>
        <v>0</v>
      </c>
      <c r="K69" s="351">
        <f t="shared" si="18"/>
        <v>0</v>
      </c>
      <c r="L69" s="351">
        <f t="shared" si="18"/>
        <v>0</v>
      </c>
      <c r="M69" s="351">
        <f t="shared" si="18"/>
        <v>0</v>
      </c>
      <c r="N69" s="351">
        <f t="shared" si="18"/>
        <v>0</v>
      </c>
      <c r="O69" s="351">
        <f t="shared" si="18"/>
        <v>0</v>
      </c>
      <c r="P69" s="351">
        <f t="shared" si="18"/>
        <v>0</v>
      </c>
      <c r="Q69" s="351">
        <f t="shared" si="18"/>
        <v>0</v>
      </c>
      <c r="R69" s="351">
        <f t="shared" si="18"/>
        <v>0</v>
      </c>
      <c r="S69" s="351">
        <f t="shared" si="18"/>
        <v>0</v>
      </c>
      <c r="T69" s="351">
        <f t="shared" si="18"/>
        <v>0</v>
      </c>
      <c r="U69" s="351">
        <f t="shared" si="18"/>
        <v>0</v>
      </c>
      <c r="V69" s="351">
        <f t="shared" si="18"/>
        <v>0</v>
      </c>
      <c r="W69" s="351">
        <f t="shared" si="18"/>
        <v>0</v>
      </c>
      <c r="X69" s="351">
        <f t="shared" si="18"/>
        <v>0</v>
      </c>
      <c r="Y69" s="351">
        <f t="shared" si="18"/>
        <v>0</v>
      </c>
      <c r="Z69" s="351">
        <f t="shared" si="18"/>
        <v>0</v>
      </c>
      <c r="AA69" s="351">
        <f t="shared" si="18"/>
        <v>0</v>
      </c>
      <c r="AB69" s="351">
        <f t="shared" si="18"/>
        <v>0</v>
      </c>
      <c r="AC69" s="351">
        <f t="shared" si="18"/>
        <v>0</v>
      </c>
      <c r="AD69" s="351">
        <f t="shared" si="18"/>
        <v>0</v>
      </c>
      <c r="AE69" s="351">
        <f t="shared" si="18"/>
        <v>0</v>
      </c>
      <c r="AF69" s="351">
        <f t="shared" si="18"/>
        <v>0</v>
      </c>
      <c r="AG69" s="351">
        <f t="shared" si="18"/>
        <v>0</v>
      </c>
      <c r="AH69" s="351">
        <f t="shared" si="18"/>
        <v>0</v>
      </c>
      <c r="AI69" s="351">
        <f t="shared" si="18"/>
        <v>0</v>
      </c>
      <c r="AJ69" s="351">
        <f t="shared" si="18"/>
        <v>0</v>
      </c>
      <c r="AK69" s="351">
        <f t="shared" si="18"/>
        <v>0</v>
      </c>
      <c r="AL69" s="351">
        <f t="shared" si="18"/>
        <v>0</v>
      </c>
      <c r="AM69" s="351">
        <f t="shared" si="18"/>
        <v>0</v>
      </c>
      <c r="AN69" s="351">
        <f t="shared" si="18"/>
        <v>0</v>
      </c>
      <c r="AO69" s="351">
        <f t="shared" si="18"/>
        <v>0</v>
      </c>
      <c r="AP69" s="351">
        <f>-AP56</f>
        <v>0</v>
      </c>
    </row>
    <row r="70" spans="1:45" ht="14.25" x14ac:dyDescent="0.2">
      <c r="A70" s="284" t="s">
        <v>225</v>
      </c>
      <c r="B70" s="352">
        <f t="shared" ref="B70:AO70" si="19">B68+B69</f>
        <v>2182358.7000000002</v>
      </c>
      <c r="C70" s="352">
        <f t="shared" si="19"/>
        <v>283796.08168090874</v>
      </c>
      <c r="D70" s="352">
        <f t="shared" si="19"/>
        <v>712776.18915714032</v>
      </c>
      <c r="E70" s="352">
        <f t="shared" si="19"/>
        <v>1190196.5497060034</v>
      </c>
      <c r="F70" s="352">
        <f t="shared" si="19"/>
        <v>1243752.0985712558</v>
      </c>
      <c r="G70" s="352">
        <f t="shared" si="19"/>
        <v>1299556.9804888489</v>
      </c>
      <c r="H70" s="352">
        <f t="shared" si="19"/>
        <v>1357705.6674469803</v>
      </c>
      <c r="I70" s="352">
        <f t="shared" si="19"/>
        <v>1418296.5992573537</v>
      </c>
      <c r="J70" s="352">
        <f t="shared" si="19"/>
        <v>1481432.3502037625</v>
      </c>
      <c r="K70" s="352">
        <f t="shared" si="19"/>
        <v>1547219.8026899209</v>
      </c>
      <c r="L70" s="352">
        <f t="shared" si="19"/>
        <v>1615770.3281804973</v>
      </c>
      <c r="M70" s="352">
        <f t="shared" si="19"/>
        <v>1687199.9757416784</v>
      </c>
      <c r="N70" s="352">
        <f t="shared" si="19"/>
        <v>1761629.6685004288</v>
      </c>
      <c r="O70" s="352">
        <f t="shared" si="19"/>
        <v>1839185.408355047</v>
      </c>
      <c r="P70" s="352">
        <f t="shared" si="19"/>
        <v>1919998.4892835589</v>
      </c>
      <c r="Q70" s="352">
        <f t="shared" si="19"/>
        <v>2004205.7196110685</v>
      </c>
      <c r="R70" s="352">
        <f t="shared" si="19"/>
        <v>2091949.6536123329</v>
      </c>
      <c r="S70" s="352">
        <f t="shared" si="19"/>
        <v>2183378.8328416515</v>
      </c>
      <c r="T70" s="352">
        <f t="shared" si="19"/>
        <v>2278648.0375986006</v>
      </c>
      <c r="U70" s="352">
        <f t="shared" si="19"/>
        <v>2377918.5489553423</v>
      </c>
      <c r="V70" s="352">
        <f t="shared" si="19"/>
        <v>2481358.4217890664</v>
      </c>
      <c r="W70" s="352">
        <f t="shared" si="19"/>
        <v>2589142.7692818074</v>
      </c>
      <c r="X70" s="352">
        <f t="shared" si="19"/>
        <v>2701454.0593692437</v>
      </c>
      <c r="Y70" s="352">
        <f t="shared" si="19"/>
        <v>2818482.4236403522</v>
      </c>
      <c r="Z70" s="352">
        <f t="shared" si="19"/>
        <v>2940425.9792108471</v>
      </c>
      <c r="AA70" s="352">
        <f t="shared" si="19"/>
        <v>3067491.1641153032</v>
      </c>
      <c r="AB70" s="352">
        <f t="shared" si="19"/>
        <v>3199893.0867857463</v>
      </c>
      <c r="AC70" s="352">
        <f t="shared" si="19"/>
        <v>3337855.8902083477</v>
      </c>
      <c r="AD70" s="352">
        <f t="shared" si="19"/>
        <v>3481613.1313746986</v>
      </c>
      <c r="AE70" s="352">
        <f t="shared" si="19"/>
        <v>3631408.1766700358</v>
      </c>
      <c r="AF70" s="352">
        <f t="shared" si="19"/>
        <v>3787494.6138677769</v>
      </c>
      <c r="AG70" s="352">
        <f t="shared" si="19"/>
        <v>3950136.6814278238</v>
      </c>
      <c r="AH70" s="352">
        <f t="shared" si="19"/>
        <v>4119609.7158253929</v>
      </c>
      <c r="AI70" s="352">
        <f t="shared" si="19"/>
        <v>4296200.6176676583</v>
      </c>
      <c r="AJ70" s="352">
        <f t="shared" si="19"/>
        <v>4480208.337387301</v>
      </c>
      <c r="AK70" s="352">
        <f t="shared" si="19"/>
        <v>4671944.3813351681</v>
      </c>
      <c r="AL70" s="352">
        <f t="shared" si="19"/>
        <v>4871733.3391288454</v>
      </c>
      <c r="AM70" s="352">
        <f t="shared" si="19"/>
        <v>5079913.4331498574</v>
      </c>
      <c r="AN70" s="352">
        <f t="shared" si="19"/>
        <v>5296837.0911197513</v>
      </c>
      <c r="AO70" s="352">
        <f t="shared" si="19"/>
        <v>5522871.5427243821</v>
      </c>
      <c r="AP70" s="352">
        <f>AP68+AP69</f>
        <v>5758399.4412964052</v>
      </c>
    </row>
    <row r="71" spans="1:45" x14ac:dyDescent="0.2">
      <c r="A71" s="123" t="s">
        <v>220</v>
      </c>
      <c r="B71" s="351">
        <f t="shared" ref="B71:AP71" si="20">-B70*$B$36</f>
        <v>-436471.74000000005</v>
      </c>
      <c r="C71" s="351">
        <f t="shared" si="20"/>
        <v>-56759.216336181751</v>
      </c>
      <c r="D71" s="351">
        <f t="shared" si="20"/>
        <v>-142555.23783142806</v>
      </c>
      <c r="E71" s="351">
        <f t="shared" si="20"/>
        <v>-238039.30994120068</v>
      </c>
      <c r="F71" s="351">
        <f t="shared" si="20"/>
        <v>-248750.41971425118</v>
      </c>
      <c r="G71" s="351">
        <f t="shared" si="20"/>
        <v>-259911.39609776979</v>
      </c>
      <c r="H71" s="351">
        <f t="shared" si="20"/>
        <v>-271541.13348939607</v>
      </c>
      <c r="I71" s="351">
        <f t="shared" si="20"/>
        <v>-283659.31985147076</v>
      </c>
      <c r="J71" s="351">
        <f t="shared" si="20"/>
        <v>-296286.47004075249</v>
      </c>
      <c r="K71" s="351">
        <f t="shared" si="20"/>
        <v>-309443.96053798421</v>
      </c>
      <c r="L71" s="351">
        <f t="shared" si="20"/>
        <v>-323154.06563609949</v>
      </c>
      <c r="M71" s="351">
        <f t="shared" si="20"/>
        <v>-337439.9951483357</v>
      </c>
      <c r="N71" s="351">
        <f t="shared" si="20"/>
        <v>-352325.93370008579</v>
      </c>
      <c r="O71" s="351">
        <f t="shared" si="20"/>
        <v>-367837.08167100942</v>
      </c>
      <c r="P71" s="351">
        <f t="shared" si="20"/>
        <v>-383999.69785671181</v>
      </c>
      <c r="Q71" s="351">
        <f t="shared" si="20"/>
        <v>-400841.1439222137</v>
      </c>
      <c r="R71" s="351">
        <f t="shared" si="20"/>
        <v>-418389.93072246661</v>
      </c>
      <c r="S71" s="351">
        <f t="shared" si="20"/>
        <v>-436675.76656833035</v>
      </c>
      <c r="T71" s="351">
        <f t="shared" si="20"/>
        <v>-455729.60751972016</v>
      </c>
      <c r="U71" s="351">
        <f t="shared" si="20"/>
        <v>-475583.70979106845</v>
      </c>
      <c r="V71" s="351">
        <f t="shared" si="20"/>
        <v>-496271.68435781333</v>
      </c>
      <c r="W71" s="351">
        <f t="shared" si="20"/>
        <v>-517828.55385636148</v>
      </c>
      <c r="X71" s="351">
        <f t="shared" si="20"/>
        <v>-540290.81187384878</v>
      </c>
      <c r="Y71" s="351">
        <f t="shared" si="20"/>
        <v>-563696.48472807044</v>
      </c>
      <c r="Z71" s="351">
        <f t="shared" si="20"/>
        <v>-588085.19584216946</v>
      </c>
      <c r="AA71" s="351">
        <f t="shared" si="20"/>
        <v>-613498.23282306071</v>
      </c>
      <c r="AB71" s="351">
        <f t="shared" si="20"/>
        <v>-639978.61735714925</v>
      </c>
      <c r="AC71" s="351">
        <f t="shared" si="20"/>
        <v>-667571.17804166954</v>
      </c>
      <c r="AD71" s="351">
        <f t="shared" si="20"/>
        <v>-696322.62627493974</v>
      </c>
      <c r="AE71" s="351">
        <f t="shared" si="20"/>
        <v>-726281.63533400721</v>
      </c>
      <c r="AF71" s="351">
        <f t="shared" si="20"/>
        <v>-757498.92277355539</v>
      </c>
      <c r="AG71" s="351">
        <f t="shared" si="20"/>
        <v>-790027.33628556482</v>
      </c>
      <c r="AH71" s="351">
        <f t="shared" si="20"/>
        <v>-823921.94316507864</v>
      </c>
      <c r="AI71" s="351">
        <f t="shared" si="20"/>
        <v>-859240.12353353167</v>
      </c>
      <c r="AJ71" s="351">
        <f t="shared" si="20"/>
        <v>-896041.66747746023</v>
      </c>
      <c r="AK71" s="351">
        <f t="shared" si="20"/>
        <v>-934388.87626703363</v>
      </c>
      <c r="AL71" s="351">
        <f t="shared" si="20"/>
        <v>-974346.66782576917</v>
      </c>
      <c r="AM71" s="351">
        <f t="shared" si="20"/>
        <v>-1015982.6866299715</v>
      </c>
      <c r="AN71" s="351">
        <f t="shared" si="20"/>
        <v>-1059367.4182239503</v>
      </c>
      <c r="AO71" s="351">
        <f t="shared" si="20"/>
        <v>-1104574.3085448765</v>
      </c>
      <c r="AP71" s="351">
        <f t="shared" si="20"/>
        <v>-1151679.8882592812</v>
      </c>
    </row>
    <row r="72" spans="1:45" ht="15" thickBot="1" x14ac:dyDescent="0.25">
      <c r="A72" s="287" t="s">
        <v>224</v>
      </c>
      <c r="B72" s="122">
        <f t="shared" ref="B72:AO72" si="21">B70+B71</f>
        <v>1745886.9600000002</v>
      </c>
      <c r="C72" s="122">
        <f t="shared" si="21"/>
        <v>227036.865344727</v>
      </c>
      <c r="D72" s="122">
        <f t="shared" si="21"/>
        <v>570220.95132571226</v>
      </c>
      <c r="E72" s="122">
        <f t="shared" si="21"/>
        <v>952157.23976480274</v>
      </c>
      <c r="F72" s="122">
        <f t="shared" si="21"/>
        <v>995001.67885700462</v>
      </c>
      <c r="G72" s="122">
        <f t="shared" si="21"/>
        <v>1039645.5843910791</v>
      </c>
      <c r="H72" s="122">
        <f t="shared" si="21"/>
        <v>1086164.5339575843</v>
      </c>
      <c r="I72" s="122">
        <f t="shared" si="21"/>
        <v>1134637.279405883</v>
      </c>
      <c r="J72" s="122">
        <f t="shared" si="21"/>
        <v>1185145.88016301</v>
      </c>
      <c r="K72" s="122">
        <f t="shared" si="21"/>
        <v>1237775.8421519366</v>
      </c>
      <c r="L72" s="122">
        <f t="shared" si="21"/>
        <v>1292616.2625443977</v>
      </c>
      <c r="M72" s="122">
        <f t="shared" si="21"/>
        <v>1349759.9805933428</v>
      </c>
      <c r="N72" s="122">
        <f t="shared" si="21"/>
        <v>1409303.7348003429</v>
      </c>
      <c r="O72" s="122">
        <f t="shared" si="21"/>
        <v>1471348.3266840377</v>
      </c>
      <c r="P72" s="122">
        <f t="shared" si="21"/>
        <v>1535998.7914268472</v>
      </c>
      <c r="Q72" s="122">
        <f t="shared" si="21"/>
        <v>1603364.5756888548</v>
      </c>
      <c r="R72" s="122">
        <f t="shared" si="21"/>
        <v>1673559.7228898662</v>
      </c>
      <c r="S72" s="122">
        <f t="shared" si="21"/>
        <v>1746703.0662733212</v>
      </c>
      <c r="T72" s="122">
        <f t="shared" si="21"/>
        <v>1822918.4300788804</v>
      </c>
      <c r="U72" s="122">
        <f t="shared" si="21"/>
        <v>1902334.8391642738</v>
      </c>
      <c r="V72" s="122">
        <f t="shared" si="21"/>
        <v>1985086.7374312531</v>
      </c>
      <c r="W72" s="122">
        <f t="shared" si="21"/>
        <v>2071314.2154254459</v>
      </c>
      <c r="X72" s="122">
        <f t="shared" si="21"/>
        <v>2161163.2474953951</v>
      </c>
      <c r="Y72" s="122">
        <f t="shared" si="21"/>
        <v>2254785.9389122818</v>
      </c>
      <c r="Z72" s="122">
        <f t="shared" si="21"/>
        <v>2352340.7833686778</v>
      </c>
      <c r="AA72" s="122">
        <f t="shared" si="21"/>
        <v>2453992.9312922424</v>
      </c>
      <c r="AB72" s="122">
        <f t="shared" si="21"/>
        <v>2559914.469428597</v>
      </c>
      <c r="AC72" s="122">
        <f t="shared" si="21"/>
        <v>2670284.7121666782</v>
      </c>
      <c r="AD72" s="122">
        <f t="shared" si="21"/>
        <v>2785290.505099759</v>
      </c>
      <c r="AE72" s="122">
        <f t="shared" si="21"/>
        <v>2905126.5413360288</v>
      </c>
      <c r="AF72" s="122">
        <f t="shared" si="21"/>
        <v>3029995.6910942215</v>
      </c>
      <c r="AG72" s="122">
        <f t="shared" si="21"/>
        <v>3160109.3451422593</v>
      </c>
      <c r="AH72" s="122">
        <f t="shared" si="21"/>
        <v>3295687.7726603141</v>
      </c>
      <c r="AI72" s="122">
        <f t="shared" si="21"/>
        <v>3436960.4941341267</v>
      </c>
      <c r="AJ72" s="122">
        <f t="shared" si="21"/>
        <v>3584166.6699098409</v>
      </c>
      <c r="AK72" s="122">
        <f t="shared" si="21"/>
        <v>3737555.5050681345</v>
      </c>
      <c r="AL72" s="122">
        <f t="shared" si="21"/>
        <v>3897386.6713030762</v>
      </c>
      <c r="AM72" s="122">
        <f t="shared" si="21"/>
        <v>4063930.746519886</v>
      </c>
      <c r="AN72" s="122">
        <f t="shared" si="21"/>
        <v>4237469.6728958013</v>
      </c>
      <c r="AO72" s="122">
        <f t="shared" si="21"/>
        <v>4418297.2341795061</v>
      </c>
      <c r="AP72" s="122">
        <f>AP70+AP71</f>
        <v>4606719.5530371238</v>
      </c>
    </row>
    <row r="73" spans="1:45" s="289" customFormat="1" ht="16.5" thickBot="1" x14ac:dyDescent="0.25">
      <c r="A73" s="280"/>
      <c r="B73" s="288">
        <f>H141</f>
        <v>4.5</v>
      </c>
      <c r="C73" s="288">
        <f t="shared" ref="C73:AP73" si="22">I141</f>
        <v>5.5</v>
      </c>
      <c r="D73" s="288">
        <f t="shared" si="22"/>
        <v>6.5</v>
      </c>
      <c r="E73" s="288">
        <f t="shared" si="22"/>
        <v>7.5</v>
      </c>
      <c r="F73" s="288">
        <f t="shared" si="22"/>
        <v>8.5</v>
      </c>
      <c r="G73" s="288">
        <f t="shared" si="22"/>
        <v>9.5</v>
      </c>
      <c r="H73" s="288">
        <f t="shared" si="22"/>
        <v>10.5</v>
      </c>
      <c r="I73" s="288">
        <f t="shared" si="22"/>
        <v>11.5</v>
      </c>
      <c r="J73" s="288">
        <f t="shared" si="22"/>
        <v>12.5</v>
      </c>
      <c r="K73" s="288">
        <f t="shared" si="22"/>
        <v>13.5</v>
      </c>
      <c r="L73" s="288">
        <f t="shared" si="22"/>
        <v>14.5</v>
      </c>
      <c r="M73" s="288">
        <f t="shared" si="22"/>
        <v>15.5</v>
      </c>
      <c r="N73" s="288">
        <f t="shared" si="22"/>
        <v>16.5</v>
      </c>
      <c r="O73" s="288">
        <f t="shared" si="22"/>
        <v>17.5</v>
      </c>
      <c r="P73" s="288">
        <f t="shared" si="22"/>
        <v>18.5</v>
      </c>
      <c r="Q73" s="288">
        <f t="shared" si="22"/>
        <v>19.5</v>
      </c>
      <c r="R73" s="288">
        <f t="shared" si="22"/>
        <v>20.5</v>
      </c>
      <c r="S73" s="288">
        <f t="shared" si="22"/>
        <v>21.5</v>
      </c>
      <c r="T73" s="288">
        <f t="shared" si="22"/>
        <v>22.5</v>
      </c>
      <c r="U73" s="288">
        <f t="shared" si="22"/>
        <v>23.5</v>
      </c>
      <c r="V73" s="288">
        <f t="shared" si="22"/>
        <v>24.5</v>
      </c>
      <c r="W73" s="288">
        <f t="shared" si="22"/>
        <v>25.5</v>
      </c>
      <c r="X73" s="288">
        <f t="shared" si="22"/>
        <v>26.5</v>
      </c>
      <c r="Y73" s="288">
        <f t="shared" si="22"/>
        <v>27.5</v>
      </c>
      <c r="Z73" s="288">
        <f t="shared" si="22"/>
        <v>28.5</v>
      </c>
      <c r="AA73" s="288">
        <f t="shared" si="22"/>
        <v>29.5</v>
      </c>
      <c r="AB73" s="288">
        <f t="shared" si="22"/>
        <v>30.5</v>
      </c>
      <c r="AC73" s="288">
        <f t="shared" si="22"/>
        <v>31.5</v>
      </c>
      <c r="AD73" s="288">
        <f t="shared" si="22"/>
        <v>32.5</v>
      </c>
      <c r="AE73" s="288">
        <f t="shared" si="22"/>
        <v>33.5</v>
      </c>
      <c r="AF73" s="288">
        <f t="shared" si="22"/>
        <v>34.5</v>
      </c>
      <c r="AG73" s="288">
        <f t="shared" si="22"/>
        <v>35.5</v>
      </c>
      <c r="AH73" s="288">
        <f t="shared" si="22"/>
        <v>36.5</v>
      </c>
      <c r="AI73" s="288">
        <f t="shared" si="22"/>
        <v>37.5</v>
      </c>
      <c r="AJ73" s="288">
        <f t="shared" si="22"/>
        <v>38.5</v>
      </c>
      <c r="AK73" s="288">
        <f t="shared" si="22"/>
        <v>39.5</v>
      </c>
      <c r="AL73" s="288">
        <f t="shared" si="22"/>
        <v>40.5</v>
      </c>
      <c r="AM73" s="288">
        <f t="shared" si="22"/>
        <v>41.5</v>
      </c>
      <c r="AN73" s="288">
        <f t="shared" si="22"/>
        <v>42.5</v>
      </c>
      <c r="AO73" s="288">
        <f t="shared" si="22"/>
        <v>43.5</v>
      </c>
      <c r="AP73" s="288">
        <f t="shared" si="22"/>
        <v>44.5</v>
      </c>
      <c r="AQ73" s="231"/>
      <c r="AR73" s="231"/>
      <c r="AS73" s="231"/>
    </row>
    <row r="74" spans="1:45" x14ac:dyDescent="0.2">
      <c r="A74" s="277"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83" t="s">
        <v>544</v>
      </c>
      <c r="B75" s="352">
        <f t="shared" ref="B75:AO75" si="24">B68</f>
        <v>2182358.7000000002</v>
      </c>
      <c r="C75" s="352">
        <f t="shared" si="24"/>
        <v>283796.08168090874</v>
      </c>
      <c r="D75" s="352">
        <f>D68</f>
        <v>712776.18915714032</v>
      </c>
      <c r="E75" s="352">
        <f t="shared" si="24"/>
        <v>1190196.5497060034</v>
      </c>
      <c r="F75" s="352">
        <f t="shared" si="24"/>
        <v>1243752.0985712558</v>
      </c>
      <c r="G75" s="352">
        <f t="shared" si="24"/>
        <v>1299556.9804888489</v>
      </c>
      <c r="H75" s="352">
        <f t="shared" si="24"/>
        <v>1357705.6674469803</v>
      </c>
      <c r="I75" s="352">
        <f t="shared" si="24"/>
        <v>1418296.5992573537</v>
      </c>
      <c r="J75" s="352">
        <f t="shared" si="24"/>
        <v>1481432.3502037625</v>
      </c>
      <c r="K75" s="352">
        <f t="shared" si="24"/>
        <v>1547219.8026899209</v>
      </c>
      <c r="L75" s="352">
        <f t="shared" si="24"/>
        <v>1615770.3281804973</v>
      </c>
      <c r="M75" s="352">
        <f t="shared" si="24"/>
        <v>1687199.9757416784</v>
      </c>
      <c r="N75" s="352">
        <f t="shared" si="24"/>
        <v>1761629.6685004288</v>
      </c>
      <c r="O75" s="352">
        <f t="shared" si="24"/>
        <v>1839185.408355047</v>
      </c>
      <c r="P75" s="352">
        <f t="shared" si="24"/>
        <v>1919998.4892835589</v>
      </c>
      <c r="Q75" s="352">
        <f t="shared" si="24"/>
        <v>2004205.7196110685</v>
      </c>
      <c r="R75" s="352">
        <f t="shared" si="24"/>
        <v>2091949.6536123329</v>
      </c>
      <c r="S75" s="352">
        <f t="shared" si="24"/>
        <v>2183378.8328416515</v>
      </c>
      <c r="T75" s="352">
        <f t="shared" si="24"/>
        <v>2278648.0375986006</v>
      </c>
      <c r="U75" s="352">
        <f t="shared" si="24"/>
        <v>2377918.5489553423</v>
      </c>
      <c r="V75" s="352">
        <f t="shared" si="24"/>
        <v>2481358.4217890664</v>
      </c>
      <c r="W75" s="352">
        <f t="shared" si="24"/>
        <v>2589142.7692818074</v>
      </c>
      <c r="X75" s="352">
        <f t="shared" si="24"/>
        <v>2701454.0593692437</v>
      </c>
      <c r="Y75" s="352">
        <f t="shared" si="24"/>
        <v>2818482.4236403522</v>
      </c>
      <c r="Z75" s="352">
        <f t="shared" si="24"/>
        <v>2940425.9792108471</v>
      </c>
      <c r="AA75" s="352">
        <f t="shared" si="24"/>
        <v>3067491.1641153032</v>
      </c>
      <c r="AB75" s="352">
        <f t="shared" si="24"/>
        <v>3199893.0867857463</v>
      </c>
      <c r="AC75" s="352">
        <f t="shared" si="24"/>
        <v>3337855.8902083477</v>
      </c>
      <c r="AD75" s="352">
        <f t="shared" si="24"/>
        <v>3481613.1313746986</v>
      </c>
      <c r="AE75" s="352">
        <f t="shared" si="24"/>
        <v>3631408.1766700358</v>
      </c>
      <c r="AF75" s="352">
        <f t="shared" si="24"/>
        <v>3787494.6138677769</v>
      </c>
      <c r="AG75" s="352">
        <f t="shared" si="24"/>
        <v>3950136.6814278238</v>
      </c>
      <c r="AH75" s="352">
        <f t="shared" si="24"/>
        <v>4119609.7158253929</v>
      </c>
      <c r="AI75" s="352">
        <f t="shared" si="24"/>
        <v>4296200.6176676583</v>
      </c>
      <c r="AJ75" s="352">
        <f t="shared" si="24"/>
        <v>4480208.337387301</v>
      </c>
      <c r="AK75" s="352">
        <f t="shared" si="24"/>
        <v>4671944.3813351681</v>
      </c>
      <c r="AL75" s="352">
        <f t="shared" si="24"/>
        <v>4871733.3391288454</v>
      </c>
      <c r="AM75" s="352">
        <f t="shared" si="24"/>
        <v>5079913.4331498574</v>
      </c>
      <c r="AN75" s="352">
        <f t="shared" si="24"/>
        <v>5296837.0911197513</v>
      </c>
      <c r="AO75" s="352">
        <f t="shared" si="24"/>
        <v>5522871.5427243821</v>
      </c>
      <c r="AP75" s="352">
        <f>AP68</f>
        <v>5758399.4412964052</v>
      </c>
    </row>
    <row r="76" spans="1:45" x14ac:dyDescent="0.2">
      <c r="A76" s="123" t="s">
        <v>222</v>
      </c>
      <c r="B76" s="351">
        <f t="shared" ref="B76:AO76" si="25">-B67</f>
        <v>0</v>
      </c>
      <c r="C76" s="351">
        <f>-C67</f>
        <v>84935.566133333326</v>
      </c>
      <c r="D76" s="351">
        <f t="shared" si="25"/>
        <v>84935.566133333326</v>
      </c>
      <c r="E76" s="351">
        <f t="shared" si="25"/>
        <v>84935.566133333326</v>
      </c>
      <c r="F76" s="351">
        <f>-C67</f>
        <v>84935.566133333326</v>
      </c>
      <c r="G76" s="351">
        <f t="shared" si="25"/>
        <v>84935.566133333326</v>
      </c>
      <c r="H76" s="351">
        <f t="shared" si="25"/>
        <v>84935.566133333326</v>
      </c>
      <c r="I76" s="351">
        <f t="shared" si="25"/>
        <v>84935.566133333326</v>
      </c>
      <c r="J76" s="351">
        <f t="shared" si="25"/>
        <v>84935.566133333326</v>
      </c>
      <c r="K76" s="351">
        <f t="shared" si="25"/>
        <v>84935.566133333326</v>
      </c>
      <c r="L76" s="351">
        <f>-L67</f>
        <v>84935.566133333326</v>
      </c>
      <c r="M76" s="351">
        <f>-M67</f>
        <v>84935.566133333326</v>
      </c>
      <c r="N76" s="351">
        <f t="shared" si="25"/>
        <v>84935.566133333326</v>
      </c>
      <c r="O76" s="351">
        <f t="shared" si="25"/>
        <v>84935.566133333326</v>
      </c>
      <c r="P76" s="351">
        <f t="shared" si="25"/>
        <v>84935.566133333326</v>
      </c>
      <c r="Q76" s="351">
        <f t="shared" si="25"/>
        <v>84935.566133333326</v>
      </c>
      <c r="R76" s="351">
        <f t="shared" si="25"/>
        <v>84935.566133333326</v>
      </c>
      <c r="S76" s="351">
        <f t="shared" si="25"/>
        <v>84935.566133333326</v>
      </c>
      <c r="T76" s="351">
        <f t="shared" si="25"/>
        <v>84935.566133333326</v>
      </c>
      <c r="U76" s="351">
        <f t="shared" si="25"/>
        <v>84935.566133333326</v>
      </c>
      <c r="V76" s="351">
        <f t="shared" si="25"/>
        <v>84935.566133333326</v>
      </c>
      <c r="W76" s="351">
        <f t="shared" si="25"/>
        <v>84935.566133333326</v>
      </c>
      <c r="X76" s="351">
        <f t="shared" si="25"/>
        <v>84935.566133333326</v>
      </c>
      <c r="Y76" s="351">
        <f t="shared" si="25"/>
        <v>84935.566133333326</v>
      </c>
      <c r="Z76" s="351">
        <f t="shared" si="25"/>
        <v>84935.566133333326</v>
      </c>
      <c r="AA76" s="351">
        <f t="shared" si="25"/>
        <v>84935.566133333326</v>
      </c>
      <c r="AB76" s="351">
        <f t="shared" si="25"/>
        <v>84935.566133333326</v>
      </c>
      <c r="AC76" s="351">
        <f t="shared" si="25"/>
        <v>84935.566133333326</v>
      </c>
      <c r="AD76" s="351">
        <f t="shared" si="25"/>
        <v>84935.566133333326</v>
      </c>
      <c r="AE76" s="351">
        <f t="shared" si="25"/>
        <v>84935.566133333326</v>
      </c>
      <c r="AF76" s="351">
        <f t="shared" si="25"/>
        <v>84935.566133333326</v>
      </c>
      <c r="AG76" s="351">
        <f t="shared" si="25"/>
        <v>84935.566133333326</v>
      </c>
      <c r="AH76" s="351">
        <f t="shared" si="25"/>
        <v>84935.566133333326</v>
      </c>
      <c r="AI76" s="351">
        <f t="shared" si="25"/>
        <v>84935.566133333326</v>
      </c>
      <c r="AJ76" s="351">
        <f t="shared" si="25"/>
        <v>84935.566133333326</v>
      </c>
      <c r="AK76" s="351">
        <f t="shared" si="25"/>
        <v>84935.566133333326</v>
      </c>
      <c r="AL76" s="351">
        <f t="shared" si="25"/>
        <v>84935.566133333326</v>
      </c>
      <c r="AM76" s="351">
        <f t="shared" si="25"/>
        <v>84935.566133333326</v>
      </c>
      <c r="AN76" s="351">
        <f t="shared" si="25"/>
        <v>84935.566133333326</v>
      </c>
      <c r="AO76" s="351">
        <f t="shared" si="25"/>
        <v>84935.566133333326</v>
      </c>
      <c r="AP76" s="351">
        <f>-AP67</f>
        <v>84935.566133333326</v>
      </c>
    </row>
    <row r="77" spans="1:45" x14ac:dyDescent="0.2">
      <c r="A77" s="123" t="s">
        <v>221</v>
      </c>
      <c r="B77" s="351">
        <f t="shared" ref="B77:AO77" si="26">B69</f>
        <v>0</v>
      </c>
      <c r="C77" s="351">
        <f t="shared" si="26"/>
        <v>0</v>
      </c>
      <c r="D77" s="351">
        <f t="shared" si="26"/>
        <v>0</v>
      </c>
      <c r="E77" s="351">
        <f t="shared" si="26"/>
        <v>0</v>
      </c>
      <c r="F77" s="351">
        <f t="shared" si="26"/>
        <v>0</v>
      </c>
      <c r="G77" s="351">
        <f t="shared" si="26"/>
        <v>0</v>
      </c>
      <c r="H77" s="351">
        <f t="shared" si="26"/>
        <v>0</v>
      </c>
      <c r="I77" s="351">
        <f t="shared" si="26"/>
        <v>0</v>
      </c>
      <c r="J77" s="351">
        <f t="shared" si="26"/>
        <v>0</v>
      </c>
      <c r="K77" s="351">
        <f t="shared" si="26"/>
        <v>0</v>
      </c>
      <c r="L77" s="351">
        <f t="shared" si="26"/>
        <v>0</v>
      </c>
      <c r="M77" s="351">
        <f t="shared" si="26"/>
        <v>0</v>
      </c>
      <c r="N77" s="351">
        <f t="shared" si="26"/>
        <v>0</v>
      </c>
      <c r="O77" s="351">
        <f t="shared" si="26"/>
        <v>0</v>
      </c>
      <c r="P77" s="351">
        <f t="shared" si="26"/>
        <v>0</v>
      </c>
      <c r="Q77" s="351">
        <f t="shared" si="26"/>
        <v>0</v>
      </c>
      <c r="R77" s="351">
        <f t="shared" si="26"/>
        <v>0</v>
      </c>
      <c r="S77" s="351">
        <f t="shared" si="26"/>
        <v>0</v>
      </c>
      <c r="T77" s="351">
        <f t="shared" si="26"/>
        <v>0</v>
      </c>
      <c r="U77" s="351">
        <f t="shared" si="26"/>
        <v>0</v>
      </c>
      <c r="V77" s="351">
        <f t="shared" si="26"/>
        <v>0</v>
      </c>
      <c r="W77" s="351">
        <f t="shared" si="26"/>
        <v>0</v>
      </c>
      <c r="X77" s="351">
        <f t="shared" si="26"/>
        <v>0</v>
      </c>
      <c r="Y77" s="351">
        <f t="shared" si="26"/>
        <v>0</v>
      </c>
      <c r="Z77" s="351">
        <f t="shared" si="26"/>
        <v>0</v>
      </c>
      <c r="AA77" s="351">
        <f t="shared" si="26"/>
        <v>0</v>
      </c>
      <c r="AB77" s="351">
        <f t="shared" si="26"/>
        <v>0</v>
      </c>
      <c r="AC77" s="351">
        <f t="shared" si="26"/>
        <v>0</v>
      </c>
      <c r="AD77" s="351">
        <f t="shared" si="26"/>
        <v>0</v>
      </c>
      <c r="AE77" s="351">
        <f t="shared" si="26"/>
        <v>0</v>
      </c>
      <c r="AF77" s="351">
        <f t="shared" si="26"/>
        <v>0</v>
      </c>
      <c r="AG77" s="351">
        <f t="shared" si="26"/>
        <v>0</v>
      </c>
      <c r="AH77" s="351">
        <f t="shared" si="26"/>
        <v>0</v>
      </c>
      <c r="AI77" s="351">
        <f t="shared" si="26"/>
        <v>0</v>
      </c>
      <c r="AJ77" s="351">
        <f t="shared" si="26"/>
        <v>0</v>
      </c>
      <c r="AK77" s="351">
        <f t="shared" si="26"/>
        <v>0</v>
      </c>
      <c r="AL77" s="351">
        <f t="shared" si="26"/>
        <v>0</v>
      </c>
      <c r="AM77" s="351">
        <f t="shared" si="26"/>
        <v>0</v>
      </c>
      <c r="AN77" s="351">
        <f t="shared" si="26"/>
        <v>0</v>
      </c>
      <c r="AO77" s="351">
        <f t="shared" si="26"/>
        <v>0</v>
      </c>
      <c r="AP77" s="351">
        <f>AP69</f>
        <v>0</v>
      </c>
    </row>
    <row r="78" spans="1:45" x14ac:dyDescent="0.2">
      <c r="A78" s="123" t="s">
        <v>220</v>
      </c>
      <c r="B78" s="351">
        <f>IF(SUM($B$71:B71)+SUM($A$78:A78)&gt;0,0,SUM($B$71:B71)-SUM($A$78:A78))</f>
        <v>-436471.74000000005</v>
      </c>
      <c r="C78" s="351">
        <f>IF(SUM($B$71:C71)+SUM($A$78:B78)&gt;0,0,SUM($B$71:C71)-SUM($A$78:B78))</f>
        <v>-56759.216336181737</v>
      </c>
      <c r="D78" s="351">
        <f>IF(SUM($B$71:D71)+SUM($A$78:C78)&gt;0,0,SUM($B$71:D71)-SUM($A$78:C78))</f>
        <v>-142555.23783142801</v>
      </c>
      <c r="E78" s="351">
        <f>IF(SUM($B$71:E71)+SUM($A$78:D78)&gt;0,0,SUM($B$71:E71)-SUM($A$78:D78))</f>
        <v>-238039.30994120066</v>
      </c>
      <c r="F78" s="351">
        <f>IF(SUM($B$71:F71)+SUM($A$78:E78)&gt;0,0,SUM($B$71:F71)-SUM($A$78:E78))</f>
        <v>-248750.41971425118</v>
      </c>
      <c r="G78" s="351">
        <f>IF(SUM($B$71:G71)+SUM($A$78:F78)&gt;0,0,SUM($B$71:G71)-SUM($A$78:F78))</f>
        <v>-259911.39609776973</v>
      </c>
      <c r="H78" s="351">
        <f>IF(SUM($B$71:H71)+SUM($A$78:G78)&gt;0,0,SUM($B$71:H71)-SUM($A$78:G78))</f>
        <v>-271541.13348939596</v>
      </c>
      <c r="I78" s="351">
        <f>IF(SUM($B$71:I71)+SUM($A$78:H78)&gt;0,0,SUM($B$71:I71)-SUM($A$78:H78))</f>
        <v>-283659.31985147065</v>
      </c>
      <c r="J78" s="351">
        <f>IF(SUM($B$71:J71)+SUM($A$78:I78)&gt;0,0,SUM($B$71:J71)-SUM($A$78:I78))</f>
        <v>-296286.47004075255</v>
      </c>
      <c r="K78" s="351">
        <f>IF(SUM($B$71:K71)+SUM($A$78:J78)&gt;0,0,SUM($B$71:K71)-SUM($A$78:J78))</f>
        <v>-309443.96053798404</v>
      </c>
      <c r="L78" s="351">
        <f>IF(SUM($B$71:L71)+SUM($A$78:K78)&gt;0,0,SUM($B$71:L71)-SUM($A$78:K78))</f>
        <v>-323154.06563609932</v>
      </c>
      <c r="M78" s="351">
        <f>IF(SUM($B$71:M71)+SUM($A$78:L78)&gt;0,0,SUM($B$71:M71)-SUM($A$78:L78))</f>
        <v>-337439.99514833558</v>
      </c>
      <c r="N78" s="351">
        <f>IF(SUM($B$71:N71)+SUM($A$78:M78)&gt;0,0,SUM($B$71:N71)-SUM($A$78:M78))</f>
        <v>-352325.93370008562</v>
      </c>
      <c r="O78" s="351">
        <f>IF(SUM($B$71:O71)+SUM($A$78:N78)&gt;0,0,SUM($B$71:O71)-SUM($A$78:N78))</f>
        <v>-367837.08167100931</v>
      </c>
      <c r="P78" s="351">
        <f>IF(SUM($B$71:P71)+SUM($A$78:O78)&gt;0,0,SUM($B$71:P71)-SUM($A$78:O78))</f>
        <v>-383999.69785671169</v>
      </c>
      <c r="Q78" s="351">
        <f>IF(SUM($B$71:Q71)+SUM($A$78:P78)&gt;0,0,SUM($B$71:Q71)-SUM($A$78:P78))</f>
        <v>-400841.14392221346</v>
      </c>
      <c r="R78" s="351">
        <f>IF(SUM($B$71:R71)+SUM($A$78:Q78)&gt;0,0,SUM($B$71:R71)-SUM($A$78:Q78))</f>
        <v>-418389.93072246667</v>
      </c>
      <c r="S78" s="351">
        <f>IF(SUM($B$71:S71)+SUM($A$78:R78)&gt;0,0,SUM($B$71:S71)-SUM($A$78:R78))</f>
        <v>-436675.76656833012</v>
      </c>
      <c r="T78" s="351">
        <f>IF(SUM($B$71:T71)+SUM($A$78:S78)&gt;0,0,SUM($B$71:T71)-SUM($A$78:S78))</f>
        <v>-455729.60751971975</v>
      </c>
      <c r="U78" s="351">
        <f>IF(SUM($B$71:U71)+SUM($A$78:T78)&gt;0,0,SUM($B$71:U71)-SUM($A$78:T78))</f>
        <v>-475583.70979106799</v>
      </c>
      <c r="V78" s="351">
        <f>IF(SUM($B$71:V71)+SUM($A$78:U78)&gt;0,0,SUM($B$71:V71)-SUM($A$78:U78))</f>
        <v>-496271.68435781356</v>
      </c>
      <c r="W78" s="351">
        <f>IF(SUM($B$71:W71)+SUM($A$78:V78)&gt;0,0,SUM($B$71:W71)-SUM($A$78:V78))</f>
        <v>-517828.55385636166</v>
      </c>
      <c r="X78" s="351">
        <f>IF(SUM($B$71:X71)+SUM($A$78:W78)&gt;0,0,SUM($B$71:X71)-SUM($A$78:W78))</f>
        <v>-540290.81187384855</v>
      </c>
      <c r="Y78" s="351">
        <f>IF(SUM($B$71:Y71)+SUM($A$78:X78)&gt;0,0,SUM($B$71:Y71)-SUM($A$78:X78))</f>
        <v>-563696.48472806998</v>
      </c>
      <c r="Z78" s="351">
        <f>IF(SUM($B$71:Z71)+SUM($A$78:Y78)&gt;0,0,SUM($B$71:Z71)-SUM($A$78:Y78))</f>
        <v>-588085.19584216923</v>
      </c>
      <c r="AA78" s="351">
        <f>IF(SUM($B$71:AA71)+SUM($A$78:Z78)&gt;0,0,SUM($B$71:AA71)-SUM($A$78:Z78))</f>
        <v>-613498.23282306083</v>
      </c>
      <c r="AB78" s="351">
        <f>IF(SUM($B$71:AB71)+SUM($A$78:AA78)&gt;0,0,SUM($B$71:AB71)-SUM($A$78:AA78))</f>
        <v>-639978.61735714972</v>
      </c>
      <c r="AC78" s="351">
        <f>IF(SUM($B$71:AC71)+SUM($A$78:AB78)&gt;0,0,SUM($B$71:AC71)-SUM($A$78:AB78))</f>
        <v>-667571.17804166861</v>
      </c>
      <c r="AD78" s="351">
        <f>IF(SUM($B$71:AD71)+SUM($A$78:AC78)&gt;0,0,SUM($B$71:AD71)-SUM($A$78:AC78))</f>
        <v>-696322.62627493963</v>
      </c>
      <c r="AE78" s="351">
        <f>IF(SUM($B$71:AE71)+SUM($A$78:AD78)&gt;0,0,SUM($B$71:AE71)-SUM($A$78:AD78))</f>
        <v>-726281.63533400744</v>
      </c>
      <c r="AF78" s="351">
        <f>IF(SUM($B$71:AF71)+SUM($A$78:AE78)&gt;0,0,SUM($B$71:AF71)-SUM($A$78:AE78))</f>
        <v>-757498.92277355492</v>
      </c>
      <c r="AG78" s="351">
        <f>IF(SUM($B$71:AG71)+SUM($A$78:AF78)&gt;0,0,SUM($B$71:AG71)-SUM($A$78:AF78))</f>
        <v>-790027.33628556505</v>
      </c>
      <c r="AH78" s="351">
        <f>IF(SUM($B$71:AH71)+SUM($A$78:AG78)&gt;0,0,SUM($B$71:AH71)-SUM($A$78:AG78))</f>
        <v>-823921.94316507876</v>
      </c>
      <c r="AI78" s="351">
        <f>IF(SUM($B$71:AI71)+SUM($A$78:AH78)&gt;0,0,SUM($B$71:AI71)-SUM($A$78:AH78))</f>
        <v>-859240.12353353202</v>
      </c>
      <c r="AJ78" s="351">
        <f>IF(SUM($B$71:AJ71)+SUM($A$78:AI78)&gt;0,0,SUM($B$71:AJ71)-SUM($A$78:AI78))</f>
        <v>-896041.66747746058</v>
      </c>
      <c r="AK78" s="351">
        <f>IF(SUM($B$71:AK71)+SUM($A$78:AJ78)&gt;0,0,SUM($B$71:AK71)-SUM($A$78:AJ78))</f>
        <v>-934388.8762670327</v>
      </c>
      <c r="AL78" s="351">
        <f>IF(SUM($B$71:AL71)+SUM($A$78:AK78)&gt;0,0,SUM($B$71:AL71)-SUM($A$78:AK78))</f>
        <v>-974346.66782576963</v>
      </c>
      <c r="AM78" s="351">
        <f>IF(SUM($B$71:AM71)+SUM($A$78:AL78)&gt;0,0,SUM($B$71:AM71)-SUM($A$78:AL78))</f>
        <v>-1015982.6866299734</v>
      </c>
      <c r="AN78" s="351">
        <f>IF(SUM($B$71:AN71)+SUM($A$78:AM78)&gt;0,0,SUM($B$71:AN71)-SUM($A$78:AM78))</f>
        <v>-1059367.418223951</v>
      </c>
      <c r="AO78" s="351">
        <f>IF(SUM($B$71:AO71)+SUM($A$78:AN78)&gt;0,0,SUM($B$71:AO71)-SUM($A$78:AN78))</f>
        <v>-1104574.3085448779</v>
      </c>
      <c r="AP78" s="351">
        <f>IF(SUM($B$71:AP71)+SUM($A$78:AO78)&gt;0,0,SUM($B$71:AP71)-SUM($A$78:AO78))</f>
        <v>-1151679.8882592805</v>
      </c>
    </row>
    <row r="79" spans="1:45" x14ac:dyDescent="0.2">
      <c r="A79" s="123" t="s">
        <v>219</v>
      </c>
      <c r="B79" s="351">
        <f>IF(((SUM($B$59:B59)+SUM($B$61:B64))+SUM($B$81:B81))&lt;0,((SUM($B$59:B59)+SUM($B$61:B64))+SUM($B$81:B81))*0.18-SUM($A$79:A79),IF(SUM(A$79:$B79)&lt;0,0-SUM(A$79:$B79),0))</f>
        <v>-8.9999999664723863E-3</v>
      </c>
      <c r="C79" s="351">
        <f>IF(((SUM($B$59:C59)+SUM($B$61:C64))+SUM($B$81:C81))&lt;0,((SUM($B$59:C59)+SUM($B$61:C64))+SUM($B$81:C81))*0.18-SUM($A$79:B79),IF(SUM($B$79:B79)&lt;0,0-SUM($B$79:B79),0))</f>
        <v>8.9999999664723863E-3</v>
      </c>
      <c r="D79" s="351">
        <f>IF(((SUM($B$59:D59)+SUM($B$61:D64))+SUM($B$81:D81))&lt;0,((SUM($B$59:D59)+SUM($B$61:D64))+SUM($B$81:D81))*0.18-SUM($A$79:C79),IF(SUM($B$79:C79)&lt;0,0-SUM($B$79:C79),0))</f>
        <v>0</v>
      </c>
      <c r="E79" s="351">
        <f>IF(((SUM($B$59:E59)+SUM($B$61:E64))+SUM($B$81:E81))&lt;0,((SUM($B$59:E59)+SUM($B$61:E64))+SUM($B$81:E81))*0.18-SUM($A$79:D79),IF(SUM($B$79:D79)&lt;0,0-SUM($B$79:D79),0))</f>
        <v>0</v>
      </c>
      <c r="F79" s="351">
        <f>IF(((SUM($B$59:F59)+SUM($B$61:F64))+SUM($B$81:F81))&lt;0,((SUM($B$59:F59)+SUM($B$61:F64))+SUM($B$81:F81))*0.18-SUM($A$79:E79),IF(SUM($B$79:E79)&lt;0,0-SUM($B$79:E79),0))</f>
        <v>0</v>
      </c>
      <c r="G79" s="351">
        <f>IF(((SUM($B$59:G59)+SUM($B$61:G64))+SUM($B$81:G81))&lt;0,((SUM($B$59:G59)+SUM($B$61:G64))+SUM($B$81:G81))*0.18-SUM($A$79:F79),IF(SUM($B$79:F79)&lt;0,0-SUM($B$79:F79),0))</f>
        <v>0</v>
      </c>
      <c r="H79" s="351">
        <f>IF(((SUM($B$59:H59)+SUM($B$61:H64))+SUM($B$81:H81))&lt;0,((SUM($B$59:H59)+SUM($B$61:H64))+SUM($B$81:H81))*0.18-SUM($A$79:G79),IF(SUM($B$79:G79)&lt;0,0-SUM($B$79:G79),0))</f>
        <v>0</v>
      </c>
      <c r="I79" s="351">
        <f>IF(((SUM($B$59:I59)+SUM($B$61:I64))+SUM($B$81:I81))&lt;0,((SUM($B$59:I59)+SUM($B$61:I64))+SUM($B$81:I81))*0.18-SUM($A$79:H79),IF(SUM($B$79:H79)&lt;0,0-SUM($B$79:H79),0))</f>
        <v>0</v>
      </c>
      <c r="J79" s="351">
        <f>IF(((SUM($B$59:J59)+SUM($B$61:J64))+SUM($B$81:J81))&lt;0,((SUM($B$59:J59)+SUM($B$61:J64))+SUM($B$81:J81))*0.18-SUM($A$79:I79),IF(SUM($B$79:I79)&lt;0,0-SUM($B$79:I79),0))</f>
        <v>0</v>
      </c>
      <c r="K79" s="351">
        <f>IF(((SUM($B$59:K59)+SUM($B$61:K64))+SUM($B$81:K81))&lt;0,((SUM($B$59:K59)+SUM($B$61:K64))+SUM($B$81:K81))*0.18-SUM($A$79:J79),IF(SUM($B$79:J79)&lt;0,0-SUM($B$79:J79),0))</f>
        <v>0</v>
      </c>
      <c r="L79" s="351">
        <f>IF(((SUM($B$59:L59)+SUM($B$61:L64))+SUM($B$81:L81))&lt;0,((SUM($B$59:L59)+SUM($B$61:L64))+SUM($B$81:L81))*0.18-SUM($A$79:K79),IF(SUM($B$79:K79)&lt;0,0-SUM($B$79:K79),0))</f>
        <v>0</v>
      </c>
      <c r="M79" s="351">
        <f>IF(((SUM($B$59:M59)+SUM($B$61:M64))+SUM($B$81:M81))&lt;0,((SUM($B$59:M59)+SUM($B$61:M64))+SUM($B$81:M81))*0.18-SUM($A$79:L79),IF(SUM($B$79:L79)&lt;0,0-SUM($B$79:L79),0))</f>
        <v>0</v>
      </c>
      <c r="N79" s="351">
        <f>IF(((SUM($B$59:N59)+SUM($B$61:N64))+SUM($B$81:N81))&lt;0,((SUM($B$59:N59)+SUM($B$61:N64))+SUM($B$81:N81))*0.18-SUM($A$79:M79),IF(SUM($B$79:M79)&lt;0,0-SUM($B$79:M79),0))</f>
        <v>0</v>
      </c>
      <c r="O79" s="351">
        <f>IF(((SUM($B$59:O59)+SUM($B$61:O64))+SUM($B$81:O81))&lt;0,((SUM($B$59:O59)+SUM($B$61:O64))+SUM($B$81:O81))*0.18-SUM($A$79:N79),IF(SUM($B$79:N79)&lt;0,0-SUM($B$79:N79),0))</f>
        <v>0</v>
      </c>
      <c r="P79" s="351">
        <f>IF(((SUM($B$59:P59)+SUM($B$61:P64))+SUM($B$81:P81))&lt;0,((SUM($B$59:P59)+SUM($B$61:P64))+SUM($B$81:P81))*0.18-SUM($A$79:O79),IF(SUM($B$79:O79)&lt;0,0-SUM($B$79:O79),0))</f>
        <v>0</v>
      </c>
      <c r="Q79" s="351">
        <f>IF(((SUM($B$59:Q59)+SUM($B$61:Q64))+SUM($B$81:Q81))&lt;0,((SUM($B$59:Q59)+SUM($B$61:Q64))+SUM($B$81:Q81))*0.18-SUM($A$79:P79),IF(SUM($B$79:P79)&lt;0,0-SUM($B$79:P79),0))</f>
        <v>0</v>
      </c>
      <c r="R79" s="351">
        <f>IF(((SUM($B$59:R59)+SUM($B$61:R64))+SUM($B$81:R81))&lt;0,((SUM($B$59:R59)+SUM($B$61:R64))+SUM($B$81:R81))*0.18-SUM($A$79:Q79),IF(SUM($B$79:Q79)&lt;0,0-SUM($B$79:Q79),0))</f>
        <v>0</v>
      </c>
      <c r="S79" s="351">
        <f>IF(((SUM($B$59:S59)+SUM($B$61:S64))+SUM($B$81:S81))&lt;0,((SUM($B$59:S59)+SUM($B$61:S64))+SUM($B$81:S81))*0.18-SUM($A$79:R79),IF(SUM($B$79:R79)&lt;0,0-SUM($B$79:R79),0))</f>
        <v>0</v>
      </c>
      <c r="T79" s="351">
        <f>IF(((SUM($B$59:T59)+SUM($B$61:T64))+SUM($B$81:T81))&lt;0,((SUM($B$59:T59)+SUM($B$61:T64))+SUM($B$81:T81))*0.18-SUM($A$79:S79),IF(SUM($B$79:S79)&lt;0,0-SUM($B$79:S79),0))</f>
        <v>0</v>
      </c>
      <c r="U79" s="351">
        <f>IF(((SUM($B$59:U59)+SUM($B$61:U64))+SUM($B$81:U81))&lt;0,((SUM($B$59:U59)+SUM($B$61:U64))+SUM($B$81:U81))*0.18-SUM($A$79:T79),IF(SUM($B$79:T79)&lt;0,0-SUM($B$79:T79),0))</f>
        <v>0</v>
      </c>
      <c r="V79" s="351">
        <f>IF(((SUM($B$59:V59)+SUM($B$61:V64))+SUM($B$81:V81))&lt;0,((SUM($B$59:V59)+SUM($B$61:V64))+SUM($B$81:V81))*0.18-SUM($A$79:U79),IF(SUM($B$79:U79)&lt;0,0-SUM($B$79:U79),0))</f>
        <v>0</v>
      </c>
      <c r="W79" s="351">
        <f>IF(((SUM($B$59:W59)+SUM($B$61:W64))+SUM($B$81:W81))&lt;0,((SUM($B$59:W59)+SUM($B$61:W64))+SUM($B$81:W81))*0.18-SUM($A$79:V79),IF(SUM($B$79:V79)&lt;0,0-SUM($B$79:V79),0))</f>
        <v>0</v>
      </c>
      <c r="X79" s="351">
        <f>IF(((SUM($B$59:X59)+SUM($B$61:X64))+SUM($B$81:X81))&lt;0,((SUM($B$59:X59)+SUM($B$61:X64))+SUM($B$81:X81))*0.18-SUM($A$79:W79),IF(SUM($B$79:W79)&lt;0,0-SUM($B$79:W79),0))</f>
        <v>0</v>
      </c>
      <c r="Y79" s="351">
        <f>IF(((SUM($B$59:Y59)+SUM($B$61:Y64))+SUM($B$81:Y81))&lt;0,((SUM($B$59:Y59)+SUM($B$61:Y64))+SUM($B$81:Y81))*0.18-SUM($A$79:X79),IF(SUM($B$79:X79)&lt;0,0-SUM($B$79:X79),0))</f>
        <v>0</v>
      </c>
      <c r="Z79" s="351">
        <f>IF(((SUM($B$59:Z59)+SUM($B$61:Z64))+SUM($B$81:Z81))&lt;0,((SUM($B$59:Z59)+SUM($B$61:Z64))+SUM($B$81:Z81))*0.18-SUM($A$79:Y79),IF(SUM($B$79:Y79)&lt;0,0-SUM($B$79:Y79),0))</f>
        <v>0</v>
      </c>
      <c r="AA79" s="351">
        <f>IF(((SUM($B$59:AA59)+SUM($B$61:AA64))+SUM($B$81:AA81))&lt;0,((SUM($B$59:AA59)+SUM($B$61:AA64))+SUM($B$81:AA81))*0.18-SUM($A$79:Z79),IF(SUM($B$79:Z79)&lt;0,0-SUM($B$79:Z79),0))</f>
        <v>0</v>
      </c>
      <c r="AB79" s="351">
        <f>IF(((SUM($B$59:AB59)+SUM($B$61:AB64))+SUM($B$81:AB81))&lt;0,((SUM($B$59:AB59)+SUM($B$61:AB64))+SUM($B$81:AB81))*0.18-SUM($A$79:AA79),IF(SUM($B$79:AA79)&lt;0,0-SUM($B$79:AA79),0))</f>
        <v>0</v>
      </c>
      <c r="AC79" s="351">
        <f>IF(((SUM($B$59:AC59)+SUM($B$61:AC64))+SUM($B$81:AC81))&lt;0,((SUM($B$59:AC59)+SUM($B$61:AC64))+SUM($B$81:AC81))*0.18-SUM($A$79:AB79),IF(SUM($B$79:AB79)&lt;0,0-SUM($B$79:AB79),0))</f>
        <v>0</v>
      </c>
      <c r="AD79" s="351">
        <f>IF(((SUM($B$59:AD59)+SUM($B$61:AD64))+SUM($B$81:AD81))&lt;0,((SUM($B$59:AD59)+SUM($B$61:AD64))+SUM($B$81:AD81))*0.18-SUM($A$79:AC79),IF(SUM($B$79:AC79)&lt;0,0-SUM($B$79:AC79),0))</f>
        <v>0</v>
      </c>
      <c r="AE79" s="351">
        <f>IF(((SUM($B$59:AE59)+SUM($B$61:AE64))+SUM($B$81:AE81))&lt;0,((SUM($B$59:AE59)+SUM($B$61:AE64))+SUM($B$81:AE81))*0.18-SUM($A$79:AD79),IF(SUM($B$79:AD79)&lt;0,0-SUM($B$79:AD79),0))</f>
        <v>0</v>
      </c>
      <c r="AF79" s="351">
        <f>IF(((SUM($B$59:AF59)+SUM($B$61:AF64))+SUM($B$81:AF81))&lt;0,((SUM($B$59:AF59)+SUM($B$61:AF64))+SUM($B$81:AF81))*0.18-SUM($A$79:AE79),IF(SUM($B$79:AE79)&lt;0,0-SUM($B$79:AE79),0))</f>
        <v>0</v>
      </c>
      <c r="AG79" s="351">
        <f>IF(((SUM($B$59:AG59)+SUM($B$61:AG64))+SUM($B$81:AG81))&lt;0,((SUM($B$59:AG59)+SUM($B$61:AG64))+SUM($B$81:AG81))*0.18-SUM($A$79:AF79),IF(SUM($B$79:AF79)&lt;0,0-SUM($B$79:AF79),0))</f>
        <v>0</v>
      </c>
      <c r="AH79" s="351">
        <f>IF(((SUM($B$59:AH59)+SUM($B$61:AH64))+SUM($B$81:AH81))&lt;0,((SUM($B$59:AH59)+SUM($B$61:AH64))+SUM($B$81:AH81))*0.18-SUM($A$79:AG79),IF(SUM($B$79:AG79)&lt;0,0-SUM($B$79:AG79),0))</f>
        <v>0</v>
      </c>
      <c r="AI79" s="351">
        <f>IF(((SUM($B$59:AI59)+SUM($B$61:AI64))+SUM($B$81:AI81))&lt;0,((SUM($B$59:AI59)+SUM($B$61:AI64))+SUM($B$81:AI81))*0.18-SUM($A$79:AH79),IF(SUM($B$79:AH79)&lt;0,0-SUM($B$79:AH79),0))</f>
        <v>0</v>
      </c>
      <c r="AJ79" s="351">
        <f>IF(((SUM($B$59:AJ59)+SUM($B$61:AJ64))+SUM($B$81:AJ81))&lt;0,((SUM($B$59:AJ59)+SUM($B$61:AJ64))+SUM($B$81:AJ81))*0.18-SUM($A$79:AI79),IF(SUM($B$79:AI79)&lt;0,0-SUM($B$79:AI79),0))</f>
        <v>0</v>
      </c>
      <c r="AK79" s="351">
        <f>IF(((SUM($B$59:AK59)+SUM($B$61:AK64))+SUM($B$81:AK81))&lt;0,((SUM($B$59:AK59)+SUM($B$61:AK64))+SUM($B$81:AK81))*0.18-SUM($A$79:AJ79),IF(SUM($B$79:AJ79)&lt;0,0-SUM($B$79:AJ79),0))</f>
        <v>0</v>
      </c>
      <c r="AL79" s="351">
        <f>IF(((SUM($B$59:AL59)+SUM($B$61:AL64))+SUM($B$81:AL81))&lt;0,((SUM($B$59:AL59)+SUM($B$61:AL64))+SUM($B$81:AL81))*0.18-SUM($A$79:AK79),IF(SUM($B$79:AK79)&lt;0,0-SUM($B$79:AK79),0))</f>
        <v>0</v>
      </c>
      <c r="AM79" s="351">
        <f>IF(((SUM($B$59:AM59)+SUM($B$61:AM64))+SUM($B$81:AM81))&lt;0,((SUM($B$59:AM59)+SUM($B$61:AM64))+SUM($B$81:AM81))*0.18-SUM($A$79:AL79),IF(SUM($B$79:AL79)&lt;0,0-SUM($B$79:AL79),0))</f>
        <v>0</v>
      </c>
      <c r="AN79" s="351">
        <f>IF(((SUM($B$59:AN59)+SUM($B$61:AN64))+SUM($B$81:AN81))&lt;0,((SUM($B$59:AN59)+SUM($B$61:AN64))+SUM($B$81:AN81))*0.18-SUM($A$79:AM79),IF(SUM($B$79:AM79)&lt;0,0-SUM($B$79:AM79),0))</f>
        <v>0</v>
      </c>
      <c r="AO79" s="351">
        <f>IF(((SUM($B$59:AO59)+SUM($B$61:AO64))+SUM($B$81:AO81))&lt;0,((SUM($B$59:AO59)+SUM($B$61:AO64))+SUM($B$81:AO81))*0.18-SUM($A$79:AN79),IF(SUM($B$79:AN79)&lt;0,0-SUM($B$79:AN79),0))</f>
        <v>0</v>
      </c>
      <c r="AP79" s="351">
        <f>IF(((SUM($B$59:AP59)+SUM($B$61:AP64))+SUM($B$81:AP81))&lt;0,((SUM($B$59:AP59)+SUM($B$61:AP64))+SUM($B$81:AP81))*0.18-SUM($A$79:AO79),IF(SUM($B$79:AO79)&lt;0,0-SUM($B$79:AO79),0))</f>
        <v>0</v>
      </c>
    </row>
    <row r="80" spans="1:45" x14ac:dyDescent="0.2">
      <c r="A80" s="123" t="s">
        <v>218</v>
      </c>
      <c r="B80" s="351">
        <f>-B59*(B39)</f>
        <v>0</v>
      </c>
      <c r="C80" s="351">
        <f t="shared" ref="C80:AP80" si="27">-(C59-B59)*$B$39</f>
        <v>0</v>
      </c>
      <c r="D80" s="351">
        <f t="shared" si="27"/>
        <v>0</v>
      </c>
      <c r="E80" s="351">
        <f t="shared" si="27"/>
        <v>0</v>
      </c>
      <c r="F80" s="351">
        <f t="shared" si="27"/>
        <v>0</v>
      </c>
      <c r="G80" s="351">
        <f t="shared" si="27"/>
        <v>0</v>
      </c>
      <c r="H80" s="351">
        <f t="shared" si="27"/>
        <v>0</v>
      </c>
      <c r="I80" s="351">
        <f t="shared" si="27"/>
        <v>0</v>
      </c>
      <c r="J80" s="351">
        <f t="shared" si="27"/>
        <v>0</v>
      </c>
      <c r="K80" s="351">
        <f t="shared" si="27"/>
        <v>0</v>
      </c>
      <c r="L80" s="351">
        <f t="shared" si="27"/>
        <v>0</v>
      </c>
      <c r="M80" s="351">
        <f t="shared" si="27"/>
        <v>0</v>
      </c>
      <c r="N80" s="351">
        <f t="shared" si="27"/>
        <v>0</v>
      </c>
      <c r="O80" s="351">
        <f t="shared" si="27"/>
        <v>0</v>
      </c>
      <c r="P80" s="351">
        <f t="shared" si="27"/>
        <v>0</v>
      </c>
      <c r="Q80" s="351">
        <f t="shared" si="27"/>
        <v>0</v>
      </c>
      <c r="R80" s="351">
        <f t="shared" si="27"/>
        <v>0</v>
      </c>
      <c r="S80" s="351">
        <f t="shared" si="27"/>
        <v>0</v>
      </c>
      <c r="T80" s="351">
        <f t="shared" si="27"/>
        <v>0</v>
      </c>
      <c r="U80" s="351">
        <f t="shared" si="27"/>
        <v>0</v>
      </c>
      <c r="V80" s="351">
        <f t="shared" si="27"/>
        <v>0</v>
      </c>
      <c r="W80" s="351">
        <f t="shared" si="27"/>
        <v>0</v>
      </c>
      <c r="X80" s="351">
        <f t="shared" si="27"/>
        <v>0</v>
      </c>
      <c r="Y80" s="351">
        <f t="shared" si="27"/>
        <v>0</v>
      </c>
      <c r="Z80" s="351">
        <f t="shared" si="27"/>
        <v>0</v>
      </c>
      <c r="AA80" s="351">
        <f t="shared" si="27"/>
        <v>0</v>
      </c>
      <c r="AB80" s="351">
        <f t="shared" si="27"/>
        <v>0</v>
      </c>
      <c r="AC80" s="351">
        <f t="shared" si="27"/>
        <v>0</v>
      </c>
      <c r="AD80" s="351">
        <f t="shared" si="27"/>
        <v>0</v>
      </c>
      <c r="AE80" s="351">
        <f t="shared" si="27"/>
        <v>0</v>
      </c>
      <c r="AF80" s="351">
        <f t="shared" si="27"/>
        <v>0</v>
      </c>
      <c r="AG80" s="351">
        <f t="shared" si="27"/>
        <v>0</v>
      </c>
      <c r="AH80" s="351">
        <f t="shared" si="27"/>
        <v>0</v>
      </c>
      <c r="AI80" s="351">
        <f t="shared" si="27"/>
        <v>0</v>
      </c>
      <c r="AJ80" s="351">
        <f t="shared" si="27"/>
        <v>0</v>
      </c>
      <c r="AK80" s="351">
        <f t="shared" si="27"/>
        <v>0</v>
      </c>
      <c r="AL80" s="351">
        <f t="shared" si="27"/>
        <v>0</v>
      </c>
      <c r="AM80" s="351">
        <f t="shared" si="27"/>
        <v>0</v>
      </c>
      <c r="AN80" s="351">
        <f t="shared" si="27"/>
        <v>0</v>
      </c>
      <c r="AO80" s="351">
        <f t="shared" si="27"/>
        <v>0</v>
      </c>
      <c r="AP80" s="351">
        <f t="shared" si="27"/>
        <v>0</v>
      </c>
    </row>
    <row r="81" spans="1:45" x14ac:dyDescent="0.2">
      <c r="A81" s="123" t="s">
        <v>396</v>
      </c>
      <c r="B81" s="351">
        <f>-$B$126</f>
        <v>-2182358.75</v>
      </c>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1"/>
      <c r="AL81" s="351"/>
      <c r="AM81" s="351"/>
      <c r="AN81" s="351"/>
      <c r="AO81" s="351"/>
      <c r="AP81" s="351"/>
      <c r="AQ81" s="285">
        <f>SUM(B81:AP81)</f>
        <v>-2182358.75</v>
      </c>
      <c r="AR81" s="286"/>
    </row>
    <row r="82" spans="1:45" x14ac:dyDescent="0.2">
      <c r="A82" s="123" t="s">
        <v>217</v>
      </c>
      <c r="B82" s="351">
        <f t="shared" ref="B82:AO82" si="28">B54-B55</f>
        <v>0</v>
      </c>
      <c r="C82" s="351">
        <f t="shared" si="28"/>
        <v>0</v>
      </c>
      <c r="D82" s="351">
        <f t="shared" si="28"/>
        <v>0</v>
      </c>
      <c r="E82" s="351">
        <f t="shared" si="28"/>
        <v>0</v>
      </c>
      <c r="F82" s="351">
        <f t="shared" si="28"/>
        <v>0</v>
      </c>
      <c r="G82" s="351">
        <f t="shared" si="28"/>
        <v>0</v>
      </c>
      <c r="H82" s="351">
        <f t="shared" si="28"/>
        <v>0</v>
      </c>
      <c r="I82" s="351">
        <f t="shared" si="28"/>
        <v>0</v>
      </c>
      <c r="J82" s="351">
        <f t="shared" si="28"/>
        <v>0</v>
      </c>
      <c r="K82" s="351">
        <f t="shared" si="28"/>
        <v>0</v>
      </c>
      <c r="L82" s="351">
        <f t="shared" si="28"/>
        <v>0</v>
      </c>
      <c r="M82" s="351">
        <f t="shared" si="28"/>
        <v>0</v>
      </c>
      <c r="N82" s="351">
        <f t="shared" si="28"/>
        <v>0</v>
      </c>
      <c r="O82" s="351">
        <f t="shared" si="28"/>
        <v>0</v>
      </c>
      <c r="P82" s="351">
        <f t="shared" si="28"/>
        <v>0</v>
      </c>
      <c r="Q82" s="351">
        <f t="shared" si="28"/>
        <v>0</v>
      </c>
      <c r="R82" s="351">
        <f t="shared" si="28"/>
        <v>0</v>
      </c>
      <c r="S82" s="351">
        <f t="shared" si="28"/>
        <v>0</v>
      </c>
      <c r="T82" s="351">
        <f t="shared" si="28"/>
        <v>0</v>
      </c>
      <c r="U82" s="351">
        <f t="shared" si="28"/>
        <v>0</v>
      </c>
      <c r="V82" s="351">
        <f t="shared" si="28"/>
        <v>0</v>
      </c>
      <c r="W82" s="351">
        <f t="shared" si="28"/>
        <v>0</v>
      </c>
      <c r="X82" s="351">
        <f t="shared" si="28"/>
        <v>0</v>
      </c>
      <c r="Y82" s="351">
        <f t="shared" si="28"/>
        <v>0</v>
      </c>
      <c r="Z82" s="351">
        <f t="shared" si="28"/>
        <v>0</v>
      </c>
      <c r="AA82" s="351">
        <f t="shared" si="28"/>
        <v>0</v>
      </c>
      <c r="AB82" s="351">
        <f t="shared" si="28"/>
        <v>0</v>
      </c>
      <c r="AC82" s="351">
        <f t="shared" si="28"/>
        <v>0</v>
      </c>
      <c r="AD82" s="351">
        <f t="shared" si="28"/>
        <v>0</v>
      </c>
      <c r="AE82" s="351">
        <f t="shared" si="28"/>
        <v>0</v>
      </c>
      <c r="AF82" s="351">
        <f t="shared" si="28"/>
        <v>0</v>
      </c>
      <c r="AG82" s="351">
        <f t="shared" si="28"/>
        <v>0</v>
      </c>
      <c r="AH82" s="351">
        <f t="shared" si="28"/>
        <v>0</v>
      </c>
      <c r="AI82" s="351">
        <f t="shared" si="28"/>
        <v>0</v>
      </c>
      <c r="AJ82" s="351">
        <f t="shared" si="28"/>
        <v>0</v>
      </c>
      <c r="AK82" s="351">
        <f t="shared" si="28"/>
        <v>0</v>
      </c>
      <c r="AL82" s="351">
        <f t="shared" si="28"/>
        <v>0</v>
      </c>
      <c r="AM82" s="351">
        <f t="shared" si="28"/>
        <v>0</v>
      </c>
      <c r="AN82" s="351">
        <f t="shared" si="28"/>
        <v>0</v>
      </c>
      <c r="AO82" s="351">
        <f t="shared" si="28"/>
        <v>0</v>
      </c>
      <c r="AP82" s="351">
        <f>AP54-AP55</f>
        <v>0</v>
      </c>
    </row>
    <row r="83" spans="1:45" ht="14.25" x14ac:dyDescent="0.2">
      <c r="A83" s="284" t="s">
        <v>216</v>
      </c>
      <c r="B83" s="352">
        <f>SUM(B75:B82)</f>
        <v>-436471.79899999988</v>
      </c>
      <c r="C83" s="352">
        <f t="shared" ref="C83:V83" si="29">SUM(C75:C82)</f>
        <v>311972.44047806028</v>
      </c>
      <c r="D83" s="352">
        <f t="shared" si="29"/>
        <v>655156.51745904563</v>
      </c>
      <c r="E83" s="352">
        <f t="shared" si="29"/>
        <v>1037092.8058981361</v>
      </c>
      <c r="F83" s="352">
        <f t="shared" si="29"/>
        <v>1079937.2449903381</v>
      </c>
      <c r="G83" s="352">
        <f t="shared" si="29"/>
        <v>1124581.1505244125</v>
      </c>
      <c r="H83" s="352">
        <f t="shared" si="29"/>
        <v>1171100.1000909177</v>
      </c>
      <c r="I83" s="352">
        <f t="shared" si="29"/>
        <v>1219572.8455392164</v>
      </c>
      <c r="J83" s="352">
        <f t="shared" si="29"/>
        <v>1270081.4462963433</v>
      </c>
      <c r="K83" s="352">
        <f t="shared" si="29"/>
        <v>1322711.4082852702</v>
      </c>
      <c r="L83" s="352">
        <f t="shared" si="29"/>
        <v>1377551.8286777313</v>
      </c>
      <c r="M83" s="352">
        <f t="shared" si="29"/>
        <v>1434695.5467266762</v>
      </c>
      <c r="N83" s="352">
        <f t="shared" si="29"/>
        <v>1494239.3009336765</v>
      </c>
      <c r="O83" s="352">
        <f t="shared" si="29"/>
        <v>1556283.8928173711</v>
      </c>
      <c r="P83" s="352">
        <f t="shared" si="29"/>
        <v>1620934.3575601806</v>
      </c>
      <c r="Q83" s="352">
        <f t="shared" si="29"/>
        <v>1688300.1418221884</v>
      </c>
      <c r="R83" s="352">
        <f t="shared" si="29"/>
        <v>1758495.2890231996</v>
      </c>
      <c r="S83" s="352">
        <f t="shared" si="29"/>
        <v>1831638.6324066548</v>
      </c>
      <c r="T83" s="352">
        <f t="shared" si="29"/>
        <v>1907853.9962122142</v>
      </c>
      <c r="U83" s="352">
        <f t="shared" si="29"/>
        <v>1987270.4052976076</v>
      </c>
      <c r="V83" s="352">
        <f t="shared" si="29"/>
        <v>2070022.3035645862</v>
      </c>
      <c r="W83" s="352">
        <f>SUM(W75:W82)</f>
        <v>2156249.7815587791</v>
      </c>
      <c r="X83" s="352">
        <f>SUM(X75:X82)</f>
        <v>2246098.8136287285</v>
      </c>
      <c r="Y83" s="352">
        <f>SUM(Y75:Y82)</f>
        <v>2339721.5050456156</v>
      </c>
      <c r="Z83" s="352">
        <f>SUM(Z75:Z82)</f>
        <v>2437276.3495020112</v>
      </c>
      <c r="AA83" s="352">
        <f t="shared" ref="AA83:AP83" si="30">SUM(AA75:AA82)</f>
        <v>2538928.4974255757</v>
      </c>
      <c r="AB83" s="352">
        <f t="shared" si="30"/>
        <v>2644850.0355619299</v>
      </c>
      <c r="AC83" s="352">
        <f t="shared" si="30"/>
        <v>2755220.2783000125</v>
      </c>
      <c r="AD83" s="352">
        <f t="shared" si="30"/>
        <v>2870226.0712330923</v>
      </c>
      <c r="AE83" s="352">
        <f t="shared" si="30"/>
        <v>2990062.1074693617</v>
      </c>
      <c r="AF83" s="352">
        <f t="shared" si="30"/>
        <v>3114931.2572275554</v>
      </c>
      <c r="AG83" s="352">
        <f t="shared" si="30"/>
        <v>3245044.9112755922</v>
      </c>
      <c r="AH83" s="352">
        <f t="shared" si="30"/>
        <v>3380623.3387936475</v>
      </c>
      <c r="AI83" s="352">
        <f t="shared" si="30"/>
        <v>3521896.0602674596</v>
      </c>
      <c r="AJ83" s="352">
        <f t="shared" si="30"/>
        <v>3669102.2360431738</v>
      </c>
      <c r="AK83" s="352">
        <f t="shared" si="30"/>
        <v>3822491.0712014688</v>
      </c>
      <c r="AL83" s="352">
        <f t="shared" si="30"/>
        <v>3982322.2374364091</v>
      </c>
      <c r="AM83" s="352">
        <f t="shared" si="30"/>
        <v>4148866.3126532175</v>
      </c>
      <c r="AN83" s="352">
        <f t="shared" si="30"/>
        <v>4322405.2390291337</v>
      </c>
      <c r="AO83" s="352">
        <f t="shared" si="30"/>
        <v>4503232.8003128376</v>
      </c>
      <c r="AP83" s="352">
        <f t="shared" si="30"/>
        <v>4691655.1191704581</v>
      </c>
    </row>
    <row r="84" spans="1:45" ht="14.25" x14ac:dyDescent="0.2">
      <c r="A84" s="284" t="s">
        <v>545</v>
      </c>
      <c r="B84" s="352">
        <f>SUM($B$83:B83)</f>
        <v>-436471.79899999988</v>
      </c>
      <c r="C84" s="352">
        <f>SUM($B$83:C83)</f>
        <v>-124499.3585219396</v>
      </c>
      <c r="D84" s="352">
        <f>SUM($B$83:D83)</f>
        <v>530657.15893710603</v>
      </c>
      <c r="E84" s="352">
        <f>SUM($B$83:E83)</f>
        <v>1567749.9648352421</v>
      </c>
      <c r="F84" s="352">
        <f>SUM($B$83:F83)</f>
        <v>2647687.20982558</v>
      </c>
      <c r="G84" s="352">
        <f>SUM($B$83:G83)</f>
        <v>3772268.3603499923</v>
      </c>
      <c r="H84" s="352">
        <f>SUM($B$83:H83)</f>
        <v>4943368.4604409095</v>
      </c>
      <c r="I84" s="352">
        <f>SUM($B$83:I83)</f>
        <v>6162941.3059801254</v>
      </c>
      <c r="J84" s="352">
        <f>SUM($B$83:J83)</f>
        <v>7433022.752276469</v>
      </c>
      <c r="K84" s="352">
        <f>SUM($B$83:K83)</f>
        <v>8755734.1605617385</v>
      </c>
      <c r="L84" s="352">
        <f>SUM($B$83:L83)</f>
        <v>10133285.989239469</v>
      </c>
      <c r="M84" s="352">
        <f>SUM($B$83:M83)</f>
        <v>11567981.535966145</v>
      </c>
      <c r="N84" s="352">
        <f>SUM($B$83:N83)</f>
        <v>13062220.836899821</v>
      </c>
      <c r="O84" s="352">
        <f>SUM($B$83:O83)</f>
        <v>14618504.729717191</v>
      </c>
      <c r="P84" s="352">
        <f>SUM($B$83:P83)</f>
        <v>16239439.087277371</v>
      </c>
      <c r="Q84" s="352">
        <f>SUM($B$83:Q83)</f>
        <v>17927739.229099561</v>
      </c>
      <c r="R84" s="352">
        <f>SUM($B$83:R83)</f>
        <v>19686234.518122759</v>
      </c>
      <c r="S84" s="352">
        <f>SUM($B$83:S83)</f>
        <v>21517873.150529414</v>
      </c>
      <c r="T84" s="352">
        <f>SUM($B$83:T83)</f>
        <v>23425727.146741629</v>
      </c>
      <c r="U84" s="352">
        <f>SUM($B$83:U83)</f>
        <v>25412997.552039236</v>
      </c>
      <c r="V84" s="352">
        <f>SUM($B$83:V83)</f>
        <v>27483019.855603822</v>
      </c>
      <c r="W84" s="352">
        <f>SUM($B$83:W83)</f>
        <v>29639269.6371626</v>
      </c>
      <c r="X84" s="352">
        <f>SUM($B$83:X83)</f>
        <v>31885368.450791329</v>
      </c>
      <c r="Y84" s="352">
        <f>SUM($B$83:Y83)</f>
        <v>34225089.955836944</v>
      </c>
      <c r="Z84" s="352">
        <f>SUM($B$83:Z83)</f>
        <v>36662366.305338956</v>
      </c>
      <c r="AA84" s="352">
        <f>SUM($B$83:AA83)</f>
        <v>39201294.802764535</v>
      </c>
      <c r="AB84" s="352">
        <f>SUM($B$83:AB83)</f>
        <v>41846144.838326462</v>
      </c>
      <c r="AC84" s="352">
        <f>SUM($B$83:AC83)</f>
        <v>44601365.116626471</v>
      </c>
      <c r="AD84" s="352">
        <f>SUM($B$83:AD83)</f>
        <v>47471591.187859565</v>
      </c>
      <c r="AE84" s="352">
        <f>SUM($B$83:AE83)</f>
        <v>50461653.29532893</v>
      </c>
      <c r="AF84" s="352">
        <f>SUM($B$83:AF83)</f>
        <v>53576584.552556485</v>
      </c>
      <c r="AG84" s="352">
        <f>SUM($B$83:AG83)</f>
        <v>56821629.46383208</v>
      </c>
      <c r="AH84" s="352">
        <f>SUM($B$83:AH83)</f>
        <v>60202252.802625731</v>
      </c>
      <c r="AI84" s="352">
        <f>SUM($B$83:AI83)</f>
        <v>63724148.862893194</v>
      </c>
      <c r="AJ84" s="352">
        <f>SUM($B$83:AJ83)</f>
        <v>67393251.098936364</v>
      </c>
      <c r="AK84" s="352">
        <f>SUM($B$83:AK83)</f>
        <v>71215742.170137838</v>
      </c>
      <c r="AL84" s="352">
        <f>SUM($B$83:AL83)</f>
        <v>75198064.407574251</v>
      </c>
      <c r="AM84" s="352">
        <f>SUM($B$83:AM83)</f>
        <v>79346930.720227465</v>
      </c>
      <c r="AN84" s="352">
        <f>SUM($B$83:AN83)</f>
        <v>83669335.959256604</v>
      </c>
      <c r="AO84" s="352">
        <f>SUM($B$83:AO83)</f>
        <v>88172568.759569436</v>
      </c>
      <c r="AP84" s="352">
        <f>SUM($B$83:AP83)</f>
        <v>92864223.878739893</v>
      </c>
    </row>
    <row r="85" spans="1:45" x14ac:dyDescent="0.2">
      <c r="A85" s="123" t="s">
        <v>397</v>
      </c>
      <c r="B85" s="353">
        <f t="shared" ref="B85:AP85" si="31">1/POWER((1+$B$44),B73)</f>
        <v>0.43207415462612664</v>
      </c>
      <c r="C85" s="353">
        <f t="shared" si="31"/>
        <v>0.35856776317520883</v>
      </c>
      <c r="D85" s="353">
        <f t="shared" si="31"/>
        <v>0.29756660844415667</v>
      </c>
      <c r="E85" s="353">
        <f t="shared" si="31"/>
        <v>0.24694324352212174</v>
      </c>
      <c r="F85" s="353">
        <f t="shared" si="31"/>
        <v>0.20493215230051592</v>
      </c>
      <c r="G85" s="353">
        <f t="shared" si="31"/>
        <v>0.1700681761830008</v>
      </c>
      <c r="H85" s="353">
        <f t="shared" si="31"/>
        <v>0.14113541591950271</v>
      </c>
      <c r="I85" s="353">
        <f t="shared" si="31"/>
        <v>0.11712482648921385</v>
      </c>
      <c r="J85" s="353">
        <f t="shared" si="31"/>
        <v>9.719902613212765E-2</v>
      </c>
      <c r="K85" s="353">
        <f t="shared" si="31"/>
        <v>8.0663092225832109E-2</v>
      </c>
      <c r="L85" s="353">
        <f t="shared" si="31"/>
        <v>6.6940325498615838E-2</v>
      </c>
      <c r="M85" s="353">
        <f t="shared" si="31"/>
        <v>5.5552137343249659E-2</v>
      </c>
      <c r="N85" s="353">
        <f t="shared" si="31"/>
        <v>4.6101358791078552E-2</v>
      </c>
      <c r="O85" s="353">
        <f t="shared" si="31"/>
        <v>3.825838903823945E-2</v>
      </c>
      <c r="P85" s="353">
        <f t="shared" si="31"/>
        <v>3.174970044667174E-2</v>
      </c>
      <c r="Q85" s="353">
        <f t="shared" si="31"/>
        <v>2.6348299125868668E-2</v>
      </c>
      <c r="R85" s="353">
        <f t="shared" si="31"/>
        <v>2.1865808403210511E-2</v>
      </c>
      <c r="S85" s="353">
        <f t="shared" si="31"/>
        <v>1.814589908980126E-2</v>
      </c>
      <c r="T85" s="353">
        <f t="shared" si="31"/>
        <v>1.5058837418922204E-2</v>
      </c>
      <c r="U85" s="353">
        <f t="shared" si="31"/>
        <v>1.2496960513628384E-2</v>
      </c>
      <c r="V85" s="353">
        <f t="shared" si="31"/>
        <v>1.0370921588073345E-2</v>
      </c>
      <c r="W85" s="353">
        <f t="shared" si="31"/>
        <v>8.6065739320110735E-3</v>
      </c>
      <c r="X85" s="353">
        <f t="shared" si="31"/>
        <v>7.1423850058183183E-3</v>
      </c>
      <c r="Y85" s="353">
        <f t="shared" si="31"/>
        <v>5.9272904612600145E-3</v>
      </c>
      <c r="Z85" s="353">
        <f t="shared" si="31"/>
        <v>4.9189132458589318E-3</v>
      </c>
      <c r="AA85" s="353">
        <f t="shared" si="31"/>
        <v>4.082085681210732E-3</v>
      </c>
      <c r="AB85" s="353">
        <f t="shared" si="31"/>
        <v>3.3876229719591129E-3</v>
      </c>
      <c r="AC85" s="353">
        <f t="shared" si="31"/>
        <v>2.8113053709204251E-3</v>
      </c>
      <c r="AD85" s="353">
        <f t="shared" si="31"/>
        <v>2.3330335028385286E-3</v>
      </c>
      <c r="AE85" s="353">
        <f t="shared" si="31"/>
        <v>1.9361273882477412E-3</v>
      </c>
      <c r="AF85" s="353">
        <f t="shared" si="31"/>
        <v>1.6067447205375444E-3</v>
      </c>
      <c r="AG85" s="353">
        <f t="shared" si="31"/>
        <v>1.3333981083299121E-3</v>
      </c>
      <c r="AH85" s="353">
        <f t="shared" si="31"/>
        <v>1.1065544467468149E-3</v>
      </c>
      <c r="AI85" s="353">
        <f t="shared" si="31"/>
        <v>9.1830244543304122E-4</v>
      </c>
      <c r="AJ85" s="353">
        <f t="shared" si="31"/>
        <v>7.6207671820169396E-4</v>
      </c>
      <c r="AK85" s="353">
        <f t="shared" si="31"/>
        <v>6.3242881178563804E-4</v>
      </c>
      <c r="AL85" s="353">
        <f t="shared" si="31"/>
        <v>5.2483718820384888E-4</v>
      </c>
      <c r="AM85" s="353">
        <f t="shared" si="31"/>
        <v>4.3554953377912764E-4</v>
      </c>
      <c r="AN85" s="353">
        <f t="shared" si="31"/>
        <v>3.6145189525238806E-4</v>
      </c>
      <c r="AO85" s="353">
        <f t="shared" si="31"/>
        <v>2.9996007904762516E-4</v>
      </c>
      <c r="AP85" s="353">
        <f t="shared" si="31"/>
        <v>2.4892952618060153E-4</v>
      </c>
    </row>
    <row r="86" spans="1:45" ht="28.5" x14ac:dyDescent="0.2">
      <c r="A86" s="283" t="s">
        <v>546</v>
      </c>
      <c r="B86" s="352">
        <f>B83*B85</f>
        <v>-188588.18357106962</v>
      </c>
      <c r="C86" s="352">
        <f>C83*C85</f>
        <v>111863.26015452905</v>
      </c>
      <c r="D86" s="352">
        <f t="shared" ref="D86:AO86" si="32">D83*D85</f>
        <v>194952.70290037311</v>
      </c>
      <c r="E86" s="352">
        <f t="shared" si="32"/>
        <v>256103.06132194397</v>
      </c>
      <c r="F86" s="352">
        <f t="shared" si="32"/>
        <v>221313.86396535955</v>
      </c>
      <c r="G86" s="352">
        <f t="shared" si="32"/>
        <v>191255.46523946754</v>
      </c>
      <c r="H86" s="352">
        <f t="shared" si="32"/>
        <v>165283.69970970292</v>
      </c>
      <c r="I86" s="352">
        <f t="shared" si="32"/>
        <v>142842.25792473753</v>
      </c>
      <c r="J86" s="352">
        <f t="shared" si="32"/>
        <v>123450.67968848876</v>
      </c>
      <c r="K86" s="352">
        <f t="shared" si="32"/>
        <v>106693.99231467502</v>
      </c>
      <c r="L86" s="352">
        <f t="shared" si="32"/>
        <v>92213.767802900809</v>
      </c>
      <c r="M86" s="352">
        <f t="shared" si="32"/>
        <v>79700.404057508975</v>
      </c>
      <c r="N86" s="352">
        <f t="shared" si="32"/>
        <v>68886.462132073822</v>
      </c>
      <c r="O86" s="352">
        <f t="shared" si="32"/>
        <v>59540.914625352729</v>
      </c>
      <c r="P86" s="352">
        <f t="shared" si="32"/>
        <v>51464.180296254039</v>
      </c>
      <c r="Q86" s="352">
        <f t="shared" si="32"/>
        <v>44483.837150977517</v>
      </c>
      <c r="R86" s="352">
        <f t="shared" si="32"/>
        <v>38450.92106772957</v>
      </c>
      <c r="S86" s="352">
        <f t="shared" si="32"/>
        <v>33236.729792632745</v>
      </c>
      <c r="T86" s="352">
        <f t="shared" si="32"/>
        <v>28730.063148000754</v>
      </c>
      <c r="U86" s="352">
        <f t="shared" si="32"/>
        <v>24834.839784906479</v>
      </c>
      <c r="V86" s="352">
        <f t="shared" si="32"/>
        <v>21468.038995831284</v>
      </c>
      <c r="W86" s="352">
        <f t="shared" si="32"/>
        <v>18557.923160868359</v>
      </c>
      <c r="X86" s="352">
        <f t="shared" si="32"/>
        <v>16042.502488048143</v>
      </c>
      <c r="Y86" s="352">
        <f t="shared" si="32"/>
        <v>13868.208958861802</v>
      </c>
      <c r="Z86" s="352">
        <f t="shared" si="32"/>
        <v>11988.750919384147</v>
      </c>
      <c r="AA86" s="352">
        <f t="shared" si="32"/>
        <v>10364.123664958821</v>
      </c>
      <c r="AB86" s="352">
        <f t="shared" si="32"/>
        <v>8959.7547378564705</v>
      </c>
      <c r="AC86" s="352">
        <f t="shared" si="32"/>
        <v>7745.7655664536933</v>
      </c>
      <c r="AD86" s="352">
        <f t="shared" si="32"/>
        <v>6696.3335849074092</v>
      </c>
      <c r="AE86" s="352">
        <f t="shared" si="32"/>
        <v>5789.1411388331926</v>
      </c>
      <c r="AF86" s="352">
        <f t="shared" si="32"/>
        <v>5004.8993523877498</v>
      </c>
      <c r="AG86" s="352">
        <f t="shared" si="32"/>
        <v>4326.9367461404818</v>
      </c>
      <c r="AH86" s="352">
        <f t="shared" si="32"/>
        <v>3740.843788318175</v>
      </c>
      <c r="AI86" s="352">
        <f t="shared" si="32"/>
        <v>3234.1657647046018</v>
      </c>
      <c r="AJ86" s="352">
        <f t="shared" si="32"/>
        <v>2796.1373907902789</v>
      </c>
      <c r="AK86" s="352">
        <f t="shared" si="32"/>
        <v>2417.4534862211558</v>
      </c>
      <c r="AL86" s="352">
        <f t="shared" si="32"/>
        <v>2090.070805617785</v>
      </c>
      <c r="AM86" s="352">
        <f t="shared" si="32"/>
        <v>1807.0367881880372</v>
      </c>
      <c r="AN86" s="352">
        <f t="shared" si="32"/>
        <v>1562.3415656959319</v>
      </c>
      <c r="AO86" s="352">
        <f t="shared" si="32"/>
        <v>1350.7900667516972</v>
      </c>
      <c r="AP86" s="352">
        <f>AP83*AP85</f>
        <v>1167.8914858178957</v>
      </c>
    </row>
    <row r="87" spans="1:45" ht="14.25" x14ac:dyDescent="0.2">
      <c r="A87" s="283" t="s">
        <v>547</v>
      </c>
      <c r="B87" s="352">
        <f>SUM($B$86:B86)</f>
        <v>-188588.18357106962</v>
      </c>
      <c r="C87" s="352">
        <f>SUM($B$86:C86)</f>
        <v>-76724.923416540565</v>
      </c>
      <c r="D87" s="352">
        <f>SUM($B$86:D86)</f>
        <v>118227.77948383255</v>
      </c>
      <c r="E87" s="352">
        <f>SUM($B$86:E86)</f>
        <v>374330.84080577653</v>
      </c>
      <c r="F87" s="352">
        <f>SUM($B$86:F86)</f>
        <v>595644.70477113605</v>
      </c>
      <c r="G87" s="352">
        <f>SUM($B$86:G86)</f>
        <v>786900.17001060362</v>
      </c>
      <c r="H87" s="352">
        <f>SUM($B$86:H86)</f>
        <v>952183.86972030648</v>
      </c>
      <c r="I87" s="352">
        <f>SUM($B$86:I86)</f>
        <v>1095026.1276450441</v>
      </c>
      <c r="J87" s="352">
        <f>SUM($B$86:J86)</f>
        <v>1218476.807333533</v>
      </c>
      <c r="K87" s="352">
        <f>SUM($B$86:K86)</f>
        <v>1325170.7996482081</v>
      </c>
      <c r="L87" s="352">
        <f>SUM($B$86:L86)</f>
        <v>1417384.5674511089</v>
      </c>
      <c r="M87" s="352">
        <f>SUM($B$86:M86)</f>
        <v>1497084.971508618</v>
      </c>
      <c r="N87" s="352">
        <f>SUM($B$86:N86)</f>
        <v>1565971.4336406919</v>
      </c>
      <c r="O87" s="352">
        <f>SUM($B$86:O86)</f>
        <v>1625512.3482660446</v>
      </c>
      <c r="P87" s="352">
        <f>SUM($B$86:P86)</f>
        <v>1676976.5285622987</v>
      </c>
      <c r="Q87" s="352">
        <f>SUM($B$86:Q86)</f>
        <v>1721460.3657132762</v>
      </c>
      <c r="R87" s="352">
        <f>SUM($B$86:R86)</f>
        <v>1759911.2867810058</v>
      </c>
      <c r="S87" s="352">
        <f>SUM($B$86:S86)</f>
        <v>1793148.0165736387</v>
      </c>
      <c r="T87" s="352">
        <f>SUM($B$86:T86)</f>
        <v>1821878.0797216394</v>
      </c>
      <c r="U87" s="352">
        <f>SUM($B$86:U86)</f>
        <v>1846712.9195065459</v>
      </c>
      <c r="V87" s="352">
        <f>SUM($B$86:V86)</f>
        <v>1868180.9585023772</v>
      </c>
      <c r="W87" s="352">
        <f>SUM($B$86:W86)</f>
        <v>1886738.8816632456</v>
      </c>
      <c r="X87" s="352">
        <f>SUM($B$86:X86)</f>
        <v>1902781.3841512937</v>
      </c>
      <c r="Y87" s="352">
        <f>SUM($B$86:Y86)</f>
        <v>1916649.5931101555</v>
      </c>
      <c r="Z87" s="352">
        <f>SUM($B$86:Z86)</f>
        <v>1928638.3440295397</v>
      </c>
      <c r="AA87" s="352">
        <f>SUM($B$86:AA86)</f>
        <v>1939002.4676944986</v>
      </c>
      <c r="AB87" s="352">
        <f>SUM($B$86:AB86)</f>
        <v>1947962.2224323552</v>
      </c>
      <c r="AC87" s="352">
        <f>SUM($B$86:AC86)</f>
        <v>1955707.987998809</v>
      </c>
      <c r="AD87" s="352">
        <f>SUM($B$86:AD86)</f>
        <v>1962404.3215837164</v>
      </c>
      <c r="AE87" s="352">
        <f>SUM($B$86:AE86)</f>
        <v>1968193.4627225497</v>
      </c>
      <c r="AF87" s="352">
        <f>SUM($B$86:AF86)</f>
        <v>1973198.3620749374</v>
      </c>
      <c r="AG87" s="352">
        <f>SUM($B$86:AG86)</f>
        <v>1977525.2988210779</v>
      </c>
      <c r="AH87" s="352">
        <f>SUM($B$86:AH86)</f>
        <v>1981266.142609396</v>
      </c>
      <c r="AI87" s="352">
        <f>SUM($B$86:AI86)</f>
        <v>1984500.3083741006</v>
      </c>
      <c r="AJ87" s="352">
        <f>SUM($B$86:AJ86)</f>
        <v>1987296.4457648909</v>
      </c>
      <c r="AK87" s="352">
        <f>SUM($B$86:AK86)</f>
        <v>1989713.899251112</v>
      </c>
      <c r="AL87" s="352">
        <f>SUM($B$86:AL86)</f>
        <v>1991803.9700567299</v>
      </c>
      <c r="AM87" s="352">
        <f>SUM($B$86:AM86)</f>
        <v>1993611.0068449178</v>
      </c>
      <c r="AN87" s="352">
        <f>SUM($B$86:AN86)</f>
        <v>1995173.3484106136</v>
      </c>
      <c r="AO87" s="352">
        <f>SUM($B$86:AO86)</f>
        <v>1996524.1384773653</v>
      </c>
      <c r="AP87" s="352">
        <f>SUM($B$86:AP86)</f>
        <v>1997692.0299631832</v>
      </c>
    </row>
    <row r="88" spans="1:45" ht="14.25" x14ac:dyDescent="0.2">
      <c r="A88" s="283" t="s">
        <v>548</v>
      </c>
      <c r="B88" s="354">
        <f>IF((ISERR(IRR($B$83:B83))),0,IF(IRR($B$83:B83)&lt;0,0,IRR($B$83:B83)))</f>
        <v>0</v>
      </c>
      <c r="C88" s="354">
        <f>IF((ISERR(IRR($B$83:C83))),0,IF(IRR($B$83:C83)&lt;0,0,IRR($B$83:C83)))</f>
        <v>0</v>
      </c>
      <c r="D88" s="354">
        <f>IF((ISERR(IRR($B$83:D83))),0,IF(IRR($B$83:D83)&lt;0,0,IRR($B$83:D83)))</f>
        <v>0.633604204182044</v>
      </c>
      <c r="E88" s="354">
        <f>IF((ISERR(IRR($B$83:E83))),0,IF(IRR($B$83:E83)&lt;0,0,IRR($B$83:E83)))</f>
        <v>1.0304013626502191</v>
      </c>
      <c r="F88" s="354">
        <f>IF((ISERR(IRR($B$83:F83))),0,IF(IRR($B$83:F83)&lt;0,0,IRR($B$83:F83)))</f>
        <v>1.1620977779428512</v>
      </c>
      <c r="G88" s="354">
        <f>IF((ISERR(IRR($B$83:G83))),0,IF(IRR($B$83:G83)&lt;0,0,IRR($B$83:G83)))</f>
        <v>1.2134155445896337</v>
      </c>
      <c r="H88" s="354">
        <f>IF((ISERR(IRR($B$83:H83))),0,IF(IRR($B$83:H83)&lt;0,0,IRR($B$83:H83)))</f>
        <v>1.2350093311079453</v>
      </c>
      <c r="I88" s="354">
        <f>IF((ISERR(IRR($B$83:I83))),0,IF(IRR($B$83:I83)&lt;0,0,IRR($B$83:I83)))</f>
        <v>1.2444856356166261</v>
      </c>
      <c r="J88" s="354">
        <f>IF((ISERR(IRR($B$83:J83))),0,IF(IRR($B$83:J83)&lt;0,0,IRR($B$83:J83)))</f>
        <v>1.2487433022324961</v>
      </c>
      <c r="K88" s="354">
        <f>IF((ISERR(IRR($B$83:K83))),0,IF(IRR($B$83:K83)&lt;0,0,IRR($B$83:K83)))</f>
        <v>1.250681580505995</v>
      </c>
      <c r="L88" s="354">
        <f>IF((ISERR(IRR($B$83:L83))),0,IF(IRR($B$83:L83)&lt;0,0,IRR($B$83:L83)))</f>
        <v>1.2515704022850658</v>
      </c>
      <c r="M88" s="354">
        <f>IF((ISERR(IRR($B$83:M83))),0,IF(IRR($B$83:M83)&lt;0,0,IRR($B$83:M83)))</f>
        <v>1.2519795969096008</v>
      </c>
      <c r="N88" s="354">
        <f>IF((ISERR(IRR($B$83:N83))),0,IF(IRR($B$83:N83)&lt;0,0,IRR($B$83:N83)))</f>
        <v>1.2521683815593656</v>
      </c>
      <c r="O88" s="354">
        <f>IF((ISERR(IRR($B$83:O83))),0,IF(IRR($B$83:O83)&lt;0,0,IRR($B$83:O83)))</f>
        <v>1.2522555767825305</v>
      </c>
      <c r="P88" s="354">
        <f>IF((ISERR(IRR($B$83:P83))),0,IF(IRR($B$83:P83)&lt;0,0,IRR($B$83:P83)))</f>
        <v>1.2522958741635102</v>
      </c>
      <c r="Q88" s="354">
        <f>IF((ISERR(IRR($B$83:Q83))),0,IF(IRR($B$83:Q83)&lt;0,0,IRR($B$83:Q83)))</f>
        <v>1.2523145034940724</v>
      </c>
      <c r="R88" s="354">
        <f>IF((ISERR(IRR($B$83:R83))),0,IF(IRR($B$83:R83)&lt;0,0,IRR($B$83:R83)))</f>
        <v>1.2523231172101403</v>
      </c>
      <c r="S88" s="354">
        <f>IF((ISERR(IRR($B$83:S83))),0,IF(IRR($B$83:S83)&lt;0,0,IRR($B$83:S83)))</f>
        <v>1.2523271003358314</v>
      </c>
      <c r="T88" s="354">
        <f>IF((ISERR(IRR($B$83:T83))),0,IF(IRR($B$83:T83)&lt;0,0,IRR($B$83:T83)))</f>
        <v>1.2523289422985839</v>
      </c>
      <c r="U88" s="354">
        <f>IF((ISERR(IRR($B$83:U83))),0,IF(IRR($B$83:U83)&lt;0,0,IRR($B$83:U83)))</f>
        <v>1.252329794127637</v>
      </c>
      <c r="V88" s="354">
        <f>IF((ISERR(IRR($B$83:V83))),0,IF(IRR($B$83:V83)&lt;0,0,IRR($B$83:V83)))</f>
        <v>1.2523301880715279</v>
      </c>
      <c r="W88" s="354">
        <f>IF((ISERR(IRR($B$83:W83))),0,IF(IRR($B$83:W83)&lt;0,0,IRR($B$83:W83)))</f>
        <v>1.2523303702613751</v>
      </c>
      <c r="X88" s="354">
        <f>IF((ISERR(IRR($B$83:X83))),0,IF(IRR($B$83:X83)&lt;0,0,IRR($B$83:X83)))</f>
        <v>1.2523304545214375</v>
      </c>
      <c r="Y88" s="354">
        <f>IF((ISERR(IRR($B$83:Y83))),0,IF(IRR($B$83:Y83)&lt;0,0,IRR($B$83:Y83)))</f>
        <v>1.2523304934908448</v>
      </c>
      <c r="Z88" s="354">
        <f>IF((ISERR(IRR($B$83:Z83))),0,IF(IRR($B$83:Z83)&lt;0,0,IRR($B$83:Z83)))</f>
        <v>1.2523305115140513</v>
      </c>
      <c r="AA88" s="354">
        <f>IF((ISERR(IRR($B$83:AA83))),0,IF(IRR($B$83:AA83)&lt;0,0,IRR($B$83:AA83)))</f>
        <v>1.2523305198498171</v>
      </c>
      <c r="AB88" s="354">
        <f>IF((ISERR(IRR($B$83:AB83))),0,IF(IRR($B$83:AB83)&lt;0,0,IRR($B$83:AB83)))</f>
        <v>1.2523305237051683</v>
      </c>
      <c r="AC88" s="354">
        <f>IF((ISERR(IRR($B$83:AC83))),0,IF(IRR($B$83:AC83)&lt;0,0,IRR($B$83:AC83)))</f>
        <v>1.2523305254883152</v>
      </c>
      <c r="AD88" s="354">
        <f>IF((ISERR(IRR($B$83:AD83))),0,IF(IRR($B$83:AD83)&lt;0,0,IRR($B$83:AD83)))</f>
        <v>1.2523305263130506</v>
      </c>
      <c r="AE88" s="354">
        <f>IF((ISERR(IRR($B$83:AE83))),0,IF(IRR($B$83:AE83)&lt;0,0,IRR($B$83:AE83)))</f>
        <v>1.2523305266945086</v>
      </c>
      <c r="AF88" s="354">
        <f>IF((ISERR(IRR($B$83:AF83))),0,IF(IRR($B$83:AF83)&lt;0,0,IRR($B$83:AF83)))</f>
        <v>1.252330526870943</v>
      </c>
      <c r="AG88" s="354">
        <f>IF((ISERR(IRR($B$83:AG83))),0,IF(IRR($B$83:AG83)&lt;0,0,IRR($B$83:AG83)))</f>
        <v>1.2523305269525489</v>
      </c>
      <c r="AH88" s="354">
        <f>IF((ISERR(IRR($B$83:AH83))),0,IF(IRR($B$83:AH83)&lt;0,0,IRR($B$83:AH83)))</f>
        <v>1.2523305269902951</v>
      </c>
      <c r="AI88" s="354">
        <f>IF((ISERR(IRR($B$83:AI83))),0,IF(IRR($B$83:AI83)&lt;0,0,IRR($B$83:AI83)))</f>
        <v>1.2523305270077536</v>
      </c>
      <c r="AJ88" s="354">
        <f>IF((ISERR(IRR($B$83:AJ83))),0,IF(IRR($B$83:AJ83)&lt;0,0,IRR($B$83:AJ83)))</f>
        <v>1.2523305270158289</v>
      </c>
      <c r="AK88" s="354">
        <f>IF((ISERR(IRR($B$83:AK83))),0,IF(IRR($B$83:AK83)&lt;0,0,IRR($B$83:AK83)))</f>
        <v>1.2523305270195642</v>
      </c>
      <c r="AL88" s="354">
        <f>IF((ISERR(IRR($B$83:AL83))),0,IF(IRR($B$83:AL83)&lt;0,0,IRR($B$83:AL83)))</f>
        <v>1.2523305270212917</v>
      </c>
      <c r="AM88" s="354">
        <f>IF((ISERR(IRR($B$83:AM83))),0,IF(IRR($B$83:AM83)&lt;0,0,IRR($B$83:AM83)))</f>
        <v>1.252330527022091</v>
      </c>
      <c r="AN88" s="354">
        <f>IF((ISERR(IRR($B$83:AN83))),0,IF(IRR($B$83:AN83)&lt;0,0,IRR($B$83:AN83)))</f>
        <v>1.2523305270224596</v>
      </c>
      <c r="AO88" s="354">
        <f>IF((ISERR(IRR($B$83:AO83))),0,IF(IRR($B$83:AO83)&lt;0,0,IRR($B$83:AO83)))</f>
        <v>1.252330527022631</v>
      </c>
      <c r="AP88" s="354">
        <f>IF((ISERR(IRR($B$83:AP83))),0,IF(IRR($B$83:AP83)&lt;0,0,IRR($B$83:AP83)))</f>
        <v>1.2523305270227092</v>
      </c>
    </row>
    <row r="89" spans="1:45" ht="14.25" x14ac:dyDescent="0.2">
      <c r="A89" s="283" t="s">
        <v>549</v>
      </c>
      <c r="B89" s="355">
        <f>IF(AND(B84&gt;0,A84&lt;0),(B74-(B84/(B84-A84))),0)</f>
        <v>0</v>
      </c>
      <c r="C89" s="355">
        <f t="shared" ref="C89:AP89" si="33">IF(AND(C84&gt;0,B84&lt;0),(C74-(C84/(C84-B84))),0)</f>
        <v>0</v>
      </c>
      <c r="D89" s="355">
        <f t="shared" si="33"/>
        <v>2.1900299473548657</v>
      </c>
      <c r="E89" s="355">
        <f t="shared" si="33"/>
        <v>0</v>
      </c>
      <c r="F89" s="355">
        <f t="shared" si="33"/>
        <v>0</v>
      </c>
      <c r="G89" s="355">
        <f t="shared" si="33"/>
        <v>0</v>
      </c>
      <c r="H89" s="355">
        <f>IF(AND(H84&gt;0,G84&lt;0),(H74-(H84/(H84-G84))),0)</f>
        <v>0</v>
      </c>
      <c r="I89" s="355">
        <f t="shared" si="33"/>
        <v>0</v>
      </c>
      <c r="J89" s="355">
        <f t="shared" si="33"/>
        <v>0</v>
      </c>
      <c r="K89" s="355">
        <f t="shared" si="33"/>
        <v>0</v>
      </c>
      <c r="L89" s="355">
        <f t="shared" si="33"/>
        <v>0</v>
      </c>
      <c r="M89" s="355">
        <f t="shared" si="33"/>
        <v>0</v>
      </c>
      <c r="N89" s="355">
        <f t="shared" si="33"/>
        <v>0</v>
      </c>
      <c r="O89" s="355">
        <f t="shared" si="33"/>
        <v>0</v>
      </c>
      <c r="P89" s="355">
        <f t="shared" si="33"/>
        <v>0</v>
      </c>
      <c r="Q89" s="355">
        <f t="shared" si="33"/>
        <v>0</v>
      </c>
      <c r="R89" s="355">
        <f t="shared" si="33"/>
        <v>0</v>
      </c>
      <c r="S89" s="355">
        <f t="shared" si="33"/>
        <v>0</v>
      </c>
      <c r="T89" s="355">
        <f t="shared" si="33"/>
        <v>0</v>
      </c>
      <c r="U89" s="355">
        <f t="shared" si="33"/>
        <v>0</v>
      </c>
      <c r="V89" s="355">
        <f t="shared" si="33"/>
        <v>0</v>
      </c>
      <c r="W89" s="355">
        <f t="shared" si="33"/>
        <v>0</v>
      </c>
      <c r="X89" s="355">
        <f t="shared" si="33"/>
        <v>0</v>
      </c>
      <c r="Y89" s="355">
        <f t="shared" si="33"/>
        <v>0</v>
      </c>
      <c r="Z89" s="355">
        <f t="shared" si="33"/>
        <v>0</v>
      </c>
      <c r="AA89" s="355">
        <f t="shared" si="33"/>
        <v>0</v>
      </c>
      <c r="AB89" s="355">
        <f t="shared" si="33"/>
        <v>0</v>
      </c>
      <c r="AC89" s="355">
        <f t="shared" si="33"/>
        <v>0</v>
      </c>
      <c r="AD89" s="355">
        <f t="shared" si="33"/>
        <v>0</v>
      </c>
      <c r="AE89" s="355">
        <f t="shared" si="33"/>
        <v>0</v>
      </c>
      <c r="AF89" s="355">
        <f t="shared" si="33"/>
        <v>0</v>
      </c>
      <c r="AG89" s="355">
        <f t="shared" si="33"/>
        <v>0</v>
      </c>
      <c r="AH89" s="355">
        <f t="shared" si="33"/>
        <v>0</v>
      </c>
      <c r="AI89" s="355">
        <f t="shared" si="33"/>
        <v>0</v>
      </c>
      <c r="AJ89" s="355">
        <f t="shared" si="33"/>
        <v>0</v>
      </c>
      <c r="AK89" s="355">
        <f t="shared" si="33"/>
        <v>0</v>
      </c>
      <c r="AL89" s="355">
        <f t="shared" si="33"/>
        <v>0</v>
      </c>
      <c r="AM89" s="355">
        <f t="shared" si="33"/>
        <v>0</v>
      </c>
      <c r="AN89" s="355">
        <f t="shared" si="33"/>
        <v>0</v>
      </c>
      <c r="AO89" s="355">
        <f t="shared" si="33"/>
        <v>0</v>
      </c>
      <c r="AP89" s="355">
        <f t="shared" si="33"/>
        <v>0</v>
      </c>
    </row>
    <row r="90" spans="1:45" ht="15" thickBot="1" x14ac:dyDescent="0.25">
      <c r="A90" s="290" t="s">
        <v>550</v>
      </c>
      <c r="B90" s="124">
        <f t="shared" ref="B90:AP90" si="34">IF(AND(B87&gt;0,A87&lt;0),(B74-(B87/(B87-A87))),0)</f>
        <v>0</v>
      </c>
      <c r="C90" s="124">
        <f t="shared" si="34"/>
        <v>0</v>
      </c>
      <c r="D90" s="124">
        <f t="shared" si="34"/>
        <v>2.3935566025763153</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73" customFormat="1" x14ac:dyDescent="0.2">
      <c r="A91" s="253"/>
      <c r="B91" s="291">
        <v>2022</v>
      </c>
      <c r="C91" s="291">
        <f>B91+1</f>
        <v>2023</v>
      </c>
      <c r="D91" s="229">
        <f t="shared" ref="D91:AP91" si="35">C91+1</f>
        <v>2024</v>
      </c>
      <c r="E91" s="229">
        <f t="shared" si="35"/>
        <v>2025</v>
      </c>
      <c r="F91" s="229">
        <f t="shared" si="35"/>
        <v>2026</v>
      </c>
      <c r="G91" s="229">
        <f t="shared" si="35"/>
        <v>2027</v>
      </c>
      <c r="H91" s="229">
        <f t="shared" si="35"/>
        <v>2028</v>
      </c>
      <c r="I91" s="229">
        <f t="shared" si="35"/>
        <v>2029</v>
      </c>
      <c r="J91" s="229">
        <f t="shared" si="35"/>
        <v>2030</v>
      </c>
      <c r="K91" s="229">
        <f t="shared" si="35"/>
        <v>2031</v>
      </c>
      <c r="L91" s="229">
        <f t="shared" si="35"/>
        <v>2032</v>
      </c>
      <c r="M91" s="229">
        <f t="shared" si="35"/>
        <v>2033</v>
      </c>
      <c r="N91" s="229">
        <f t="shared" si="35"/>
        <v>2034</v>
      </c>
      <c r="O91" s="229">
        <f t="shared" si="35"/>
        <v>2035</v>
      </c>
      <c r="P91" s="229">
        <f t="shared" si="35"/>
        <v>2036</v>
      </c>
      <c r="Q91" s="229">
        <f t="shared" si="35"/>
        <v>2037</v>
      </c>
      <c r="R91" s="229">
        <f t="shared" si="35"/>
        <v>2038</v>
      </c>
      <c r="S91" s="229">
        <f t="shared" si="35"/>
        <v>2039</v>
      </c>
      <c r="T91" s="229">
        <f t="shared" si="35"/>
        <v>2040</v>
      </c>
      <c r="U91" s="229">
        <f t="shared" si="35"/>
        <v>2041</v>
      </c>
      <c r="V91" s="229">
        <f t="shared" si="35"/>
        <v>2042</v>
      </c>
      <c r="W91" s="229">
        <f t="shared" si="35"/>
        <v>2043</v>
      </c>
      <c r="X91" s="229">
        <f t="shared" si="35"/>
        <v>2044</v>
      </c>
      <c r="Y91" s="229">
        <f t="shared" si="35"/>
        <v>2045</v>
      </c>
      <c r="Z91" s="229">
        <f t="shared" si="35"/>
        <v>2046</v>
      </c>
      <c r="AA91" s="229">
        <f t="shared" si="35"/>
        <v>2047</v>
      </c>
      <c r="AB91" s="229">
        <f t="shared" si="35"/>
        <v>2048</v>
      </c>
      <c r="AC91" s="229">
        <f t="shared" si="35"/>
        <v>2049</v>
      </c>
      <c r="AD91" s="229">
        <f t="shared" si="35"/>
        <v>2050</v>
      </c>
      <c r="AE91" s="229">
        <f t="shared" si="35"/>
        <v>2051</v>
      </c>
      <c r="AF91" s="229">
        <f t="shared" si="35"/>
        <v>2052</v>
      </c>
      <c r="AG91" s="229">
        <f t="shared" si="35"/>
        <v>2053</v>
      </c>
      <c r="AH91" s="229">
        <f t="shared" si="35"/>
        <v>2054</v>
      </c>
      <c r="AI91" s="229">
        <f t="shared" si="35"/>
        <v>2055</v>
      </c>
      <c r="AJ91" s="229">
        <f t="shared" si="35"/>
        <v>2056</v>
      </c>
      <c r="AK91" s="229">
        <f t="shared" si="35"/>
        <v>2057</v>
      </c>
      <c r="AL91" s="229">
        <f t="shared" si="35"/>
        <v>2058</v>
      </c>
      <c r="AM91" s="229">
        <f t="shared" si="35"/>
        <v>2059</v>
      </c>
      <c r="AN91" s="229">
        <f t="shared" si="35"/>
        <v>2060</v>
      </c>
      <c r="AO91" s="229">
        <f t="shared" si="35"/>
        <v>2061</v>
      </c>
      <c r="AP91" s="229">
        <f t="shared" si="35"/>
        <v>2062</v>
      </c>
      <c r="AQ91" s="231"/>
      <c r="AR91" s="231"/>
      <c r="AS91" s="231"/>
    </row>
    <row r="92" spans="1:45" ht="15.6" customHeight="1" x14ac:dyDescent="0.2">
      <c r="A92" s="292" t="s">
        <v>551</v>
      </c>
      <c r="B92" s="293"/>
      <c r="C92" s="293"/>
      <c r="D92" s="293"/>
      <c r="E92" s="293"/>
      <c r="F92" s="293"/>
      <c r="G92" s="293"/>
      <c r="H92" s="293"/>
      <c r="I92" s="293"/>
      <c r="J92" s="293"/>
      <c r="K92" s="293"/>
      <c r="L92" s="294">
        <v>10</v>
      </c>
      <c r="M92" s="293"/>
      <c r="N92" s="293"/>
      <c r="O92" s="293"/>
      <c r="P92" s="293"/>
      <c r="Q92" s="293"/>
      <c r="R92" s="293"/>
      <c r="S92" s="293"/>
      <c r="T92" s="293"/>
      <c r="U92" s="293"/>
      <c r="V92" s="293"/>
      <c r="W92" s="293"/>
      <c r="X92" s="293"/>
      <c r="Y92" s="293"/>
      <c r="Z92" s="293"/>
      <c r="AA92" s="293">
        <v>25</v>
      </c>
      <c r="AB92" s="293"/>
      <c r="AC92" s="293"/>
      <c r="AD92" s="293"/>
      <c r="AE92" s="293"/>
      <c r="AF92" s="293">
        <v>30</v>
      </c>
      <c r="AG92" s="293"/>
      <c r="AH92" s="293"/>
      <c r="AI92" s="293"/>
      <c r="AJ92" s="293"/>
      <c r="AK92" s="293"/>
      <c r="AL92" s="293"/>
      <c r="AM92" s="293"/>
      <c r="AN92" s="293"/>
      <c r="AO92" s="293"/>
      <c r="AP92" s="293">
        <v>40</v>
      </c>
    </row>
    <row r="93" spans="1:45" ht="12.75" x14ac:dyDescent="0.2">
      <c r="A93" s="295" t="s">
        <v>552</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553</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554</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555</v>
      </c>
      <c r="B96" s="293"/>
      <c r="C96" s="293"/>
      <c r="D96" s="293"/>
      <c r="E96" s="293"/>
      <c r="F96" s="293"/>
      <c r="G96" s="293"/>
      <c r="H96" s="293"/>
      <c r="I96" s="293"/>
      <c r="J96" s="293"/>
      <c r="K96" s="293"/>
      <c r="L96" s="293"/>
      <c r="M96" s="293"/>
      <c r="N96" s="293"/>
      <c r="O96" s="293"/>
      <c r="P96" s="293"/>
      <c r="Q96" s="293"/>
      <c r="R96" s="293"/>
      <c r="S96" s="293"/>
      <c r="T96" s="293"/>
      <c r="U96" s="293"/>
      <c r="V96" s="293"/>
      <c r="W96" s="293"/>
      <c r="X96" s="293"/>
      <c r="Y96" s="293"/>
      <c r="Z96" s="293"/>
      <c r="AA96" s="293"/>
      <c r="AB96" s="293"/>
      <c r="AC96" s="293"/>
      <c r="AD96" s="293"/>
      <c r="AE96" s="293"/>
      <c r="AF96" s="293"/>
      <c r="AG96" s="293"/>
      <c r="AH96" s="293"/>
      <c r="AI96" s="293"/>
      <c r="AJ96" s="293"/>
      <c r="AK96" s="293"/>
      <c r="AL96" s="293"/>
      <c r="AM96" s="293"/>
      <c r="AN96" s="293"/>
      <c r="AO96" s="293"/>
      <c r="AP96" s="293"/>
    </row>
    <row r="97" spans="1:71" ht="33" customHeight="1" x14ac:dyDescent="0.2">
      <c r="A97" s="466" t="s">
        <v>556</v>
      </c>
      <c r="B97" s="466"/>
      <c r="C97" s="466"/>
      <c r="D97" s="466"/>
      <c r="E97" s="466"/>
      <c r="F97" s="466"/>
      <c r="G97" s="466"/>
      <c r="H97" s="466"/>
      <c r="I97" s="466"/>
      <c r="J97" s="466"/>
      <c r="K97" s="466"/>
      <c r="L97" s="466"/>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97"/>
    </row>
    <row r="99" spans="1:71" s="303" customFormat="1" ht="16.5" thickTop="1" x14ac:dyDescent="0.2">
      <c r="A99" s="298" t="s">
        <v>557</v>
      </c>
      <c r="B99" s="299">
        <f>B81*B85</f>
        <v>-942940.81199718046</v>
      </c>
      <c r="C99" s="300">
        <f>C81*C85</f>
        <v>0</v>
      </c>
      <c r="D99" s="300">
        <f t="shared" ref="D99:AP99" si="36">D81*D85</f>
        <v>0</v>
      </c>
      <c r="E99" s="300">
        <f t="shared" si="36"/>
        <v>0</v>
      </c>
      <c r="F99" s="300">
        <f t="shared" si="36"/>
        <v>0</v>
      </c>
      <c r="G99" s="300">
        <f t="shared" si="36"/>
        <v>0</v>
      </c>
      <c r="H99" s="300">
        <f t="shared" si="36"/>
        <v>0</v>
      </c>
      <c r="I99" s="300">
        <f t="shared" si="36"/>
        <v>0</v>
      </c>
      <c r="J99" s="300">
        <f>J81*J85</f>
        <v>0</v>
      </c>
      <c r="K99" s="300">
        <f t="shared" si="36"/>
        <v>0</v>
      </c>
      <c r="L99" s="300">
        <f>L81*L85</f>
        <v>0</v>
      </c>
      <c r="M99" s="300">
        <f t="shared" si="36"/>
        <v>0</v>
      </c>
      <c r="N99" s="300">
        <f t="shared" si="36"/>
        <v>0</v>
      </c>
      <c r="O99" s="300">
        <f t="shared" si="36"/>
        <v>0</v>
      </c>
      <c r="P99" s="300">
        <f t="shared" si="36"/>
        <v>0</v>
      </c>
      <c r="Q99" s="300">
        <f t="shared" si="36"/>
        <v>0</v>
      </c>
      <c r="R99" s="300">
        <f t="shared" si="36"/>
        <v>0</v>
      </c>
      <c r="S99" s="300">
        <f t="shared" si="36"/>
        <v>0</v>
      </c>
      <c r="T99" s="300">
        <f t="shared" si="36"/>
        <v>0</v>
      </c>
      <c r="U99" s="300">
        <f t="shared" si="36"/>
        <v>0</v>
      </c>
      <c r="V99" s="300">
        <f t="shared" si="36"/>
        <v>0</v>
      </c>
      <c r="W99" s="300">
        <f t="shared" si="36"/>
        <v>0</v>
      </c>
      <c r="X99" s="300">
        <f t="shared" si="36"/>
        <v>0</v>
      </c>
      <c r="Y99" s="300">
        <f t="shared" si="36"/>
        <v>0</v>
      </c>
      <c r="Z99" s="300">
        <f t="shared" si="36"/>
        <v>0</v>
      </c>
      <c r="AA99" s="300">
        <f t="shared" si="36"/>
        <v>0</v>
      </c>
      <c r="AB99" s="300">
        <f t="shared" si="36"/>
        <v>0</v>
      </c>
      <c r="AC99" s="300">
        <f t="shared" si="36"/>
        <v>0</v>
      </c>
      <c r="AD99" s="300">
        <f t="shared" si="36"/>
        <v>0</v>
      </c>
      <c r="AE99" s="300">
        <f t="shared" si="36"/>
        <v>0</v>
      </c>
      <c r="AF99" s="300">
        <f t="shared" si="36"/>
        <v>0</v>
      </c>
      <c r="AG99" s="300">
        <f t="shared" si="36"/>
        <v>0</v>
      </c>
      <c r="AH99" s="300">
        <f t="shared" si="36"/>
        <v>0</v>
      </c>
      <c r="AI99" s="300">
        <f t="shared" si="36"/>
        <v>0</v>
      </c>
      <c r="AJ99" s="300">
        <f t="shared" si="36"/>
        <v>0</v>
      </c>
      <c r="AK99" s="300">
        <f t="shared" si="36"/>
        <v>0</v>
      </c>
      <c r="AL99" s="300">
        <f t="shared" si="36"/>
        <v>0</v>
      </c>
      <c r="AM99" s="300">
        <f t="shared" si="36"/>
        <v>0</v>
      </c>
      <c r="AN99" s="300">
        <f t="shared" si="36"/>
        <v>0</v>
      </c>
      <c r="AO99" s="300">
        <f t="shared" si="36"/>
        <v>0</v>
      </c>
      <c r="AP99" s="300">
        <f t="shared" si="36"/>
        <v>0</v>
      </c>
      <c r="AQ99" s="301">
        <f>SUM(B99:AP99)</f>
        <v>-942940.81199718046</v>
      </c>
      <c r="AR99" s="302"/>
      <c r="AS99" s="302"/>
    </row>
    <row r="100" spans="1:71" s="306" customFormat="1" x14ac:dyDescent="0.2">
      <c r="A100" s="304">
        <f>AQ99</f>
        <v>-942940.81199718046</v>
      </c>
      <c r="B100" s="305"/>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1"/>
      <c r="AR100" s="231"/>
      <c r="AS100" s="231"/>
    </row>
    <row r="101" spans="1:71" s="306" customFormat="1" x14ac:dyDescent="0.2">
      <c r="A101" s="304">
        <f>AP87</f>
        <v>1997692.0299631832</v>
      </c>
      <c r="B101" s="305"/>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1"/>
      <c r="AR101" s="231"/>
      <c r="AS101" s="231"/>
    </row>
    <row r="102" spans="1:71" s="306" customFormat="1" x14ac:dyDescent="0.2">
      <c r="A102" s="307" t="s">
        <v>558</v>
      </c>
      <c r="B102" s="356">
        <f>(A101+-A100)/-A100</f>
        <v>3.1185762717513561</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1"/>
      <c r="AR102" s="231"/>
      <c r="AS102" s="231"/>
    </row>
    <row r="103" spans="1:71" s="306" customFormat="1" x14ac:dyDescent="0.2">
      <c r="A103" s="308"/>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1"/>
      <c r="AR103" s="231"/>
      <c r="AS103" s="231"/>
    </row>
    <row r="104" spans="1:71" ht="12.75" x14ac:dyDescent="0.2">
      <c r="A104" s="357" t="s">
        <v>559</v>
      </c>
      <c r="B104" s="357" t="s">
        <v>560</v>
      </c>
      <c r="C104" s="357" t="s">
        <v>561</v>
      </c>
      <c r="D104" s="357" t="s">
        <v>562</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x14ac:dyDescent="0.2">
      <c r="A105" s="358">
        <f>G30/1000/1000</f>
        <v>1.417384567451109</v>
      </c>
      <c r="B105" s="359">
        <f>L88</f>
        <v>1.2515704022850658</v>
      </c>
      <c r="C105" s="360">
        <f>G28</f>
        <v>2.1900299473548657</v>
      </c>
      <c r="D105" s="360">
        <f>G29</f>
        <v>2.3935566025763153</v>
      </c>
      <c r="E105" s="311" t="s">
        <v>563</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x14ac:dyDescent="0.2">
      <c r="A107" s="361"/>
      <c r="B107" s="362">
        <v>2016</v>
      </c>
      <c r="C107" s="362">
        <v>2017</v>
      </c>
      <c r="D107" s="363">
        <f t="shared" ref="D107:AP107" si="37">C107+1</f>
        <v>2018</v>
      </c>
      <c r="E107" s="363">
        <f t="shared" si="37"/>
        <v>2019</v>
      </c>
      <c r="F107" s="363">
        <f t="shared" si="37"/>
        <v>2020</v>
      </c>
      <c r="G107" s="363">
        <f t="shared" si="37"/>
        <v>2021</v>
      </c>
      <c r="H107" s="363">
        <f t="shared" si="37"/>
        <v>2022</v>
      </c>
      <c r="I107" s="363">
        <f t="shared" si="37"/>
        <v>2023</v>
      </c>
      <c r="J107" s="363">
        <f t="shared" si="37"/>
        <v>2024</v>
      </c>
      <c r="K107" s="363">
        <f t="shared" si="37"/>
        <v>2025</v>
      </c>
      <c r="L107" s="363">
        <f t="shared" si="37"/>
        <v>2026</v>
      </c>
      <c r="M107" s="363">
        <f t="shared" si="37"/>
        <v>2027</v>
      </c>
      <c r="N107" s="363">
        <f t="shared" si="37"/>
        <v>2028</v>
      </c>
      <c r="O107" s="363">
        <f t="shared" si="37"/>
        <v>2029</v>
      </c>
      <c r="P107" s="363">
        <f t="shared" si="37"/>
        <v>2030</v>
      </c>
      <c r="Q107" s="363">
        <f t="shared" si="37"/>
        <v>2031</v>
      </c>
      <c r="R107" s="363">
        <f t="shared" si="37"/>
        <v>2032</v>
      </c>
      <c r="S107" s="363">
        <f t="shared" si="37"/>
        <v>2033</v>
      </c>
      <c r="T107" s="363">
        <f t="shared" si="37"/>
        <v>2034</v>
      </c>
      <c r="U107" s="363">
        <f t="shared" si="37"/>
        <v>2035</v>
      </c>
      <c r="V107" s="363">
        <f t="shared" si="37"/>
        <v>2036</v>
      </c>
      <c r="W107" s="363">
        <f t="shared" si="37"/>
        <v>2037</v>
      </c>
      <c r="X107" s="363">
        <f t="shared" si="37"/>
        <v>2038</v>
      </c>
      <c r="Y107" s="363">
        <f t="shared" si="37"/>
        <v>2039</v>
      </c>
      <c r="Z107" s="363">
        <f t="shared" si="37"/>
        <v>2040</v>
      </c>
      <c r="AA107" s="363">
        <f t="shared" si="37"/>
        <v>2041</v>
      </c>
      <c r="AB107" s="363">
        <f t="shared" si="37"/>
        <v>2042</v>
      </c>
      <c r="AC107" s="363">
        <f t="shared" si="37"/>
        <v>2043</v>
      </c>
      <c r="AD107" s="363">
        <f t="shared" si="37"/>
        <v>2044</v>
      </c>
      <c r="AE107" s="363">
        <f t="shared" si="37"/>
        <v>2045</v>
      </c>
      <c r="AF107" s="363">
        <f t="shared" si="37"/>
        <v>2046</v>
      </c>
      <c r="AG107" s="363">
        <f t="shared" si="37"/>
        <v>2047</v>
      </c>
      <c r="AH107" s="363">
        <f t="shared" si="37"/>
        <v>2048</v>
      </c>
      <c r="AI107" s="363">
        <f t="shared" si="37"/>
        <v>2049</v>
      </c>
      <c r="AJ107" s="363">
        <f t="shared" si="37"/>
        <v>2050</v>
      </c>
      <c r="AK107" s="363">
        <f t="shared" si="37"/>
        <v>2051</v>
      </c>
      <c r="AL107" s="363">
        <f t="shared" si="37"/>
        <v>2052</v>
      </c>
      <c r="AM107" s="363">
        <f t="shared" si="37"/>
        <v>2053</v>
      </c>
      <c r="AN107" s="363">
        <f t="shared" si="37"/>
        <v>2054</v>
      </c>
      <c r="AO107" s="363">
        <f t="shared" si="37"/>
        <v>2055</v>
      </c>
      <c r="AP107" s="363">
        <f t="shared" si="37"/>
        <v>2056</v>
      </c>
      <c r="AT107" s="306"/>
      <c r="AU107" s="306"/>
      <c r="AV107" s="306"/>
      <c r="AW107" s="306"/>
      <c r="AX107" s="306"/>
      <c r="AY107" s="306"/>
      <c r="AZ107" s="306"/>
      <c r="BA107" s="306"/>
      <c r="BB107" s="306"/>
      <c r="BC107" s="306"/>
      <c r="BD107" s="306"/>
      <c r="BE107" s="306"/>
      <c r="BF107" s="306"/>
      <c r="BG107" s="306"/>
    </row>
    <row r="108" spans="1:71" ht="12.75" x14ac:dyDescent="0.2">
      <c r="A108" s="364" t="s">
        <v>564</v>
      </c>
      <c r="B108" s="365"/>
      <c r="C108" s="365">
        <f>C109*$B$111*$B$112*1000</f>
        <v>308246.23526400008</v>
      </c>
      <c r="D108" s="365">
        <f t="shared" ref="D108:AP108" si="38">D109*$B$111*$B$112*1000</f>
        <v>616492.47052800015</v>
      </c>
      <c r="E108" s="365">
        <f>E109*$B$111*$B$112*1000</f>
        <v>934079.50080000027</v>
      </c>
      <c r="F108" s="365">
        <f t="shared" si="38"/>
        <v>934079.50080000027</v>
      </c>
      <c r="G108" s="365">
        <f t="shared" si="38"/>
        <v>934079.50080000027</v>
      </c>
      <c r="H108" s="365">
        <f t="shared" si="38"/>
        <v>934079.50080000027</v>
      </c>
      <c r="I108" s="365">
        <f t="shared" si="38"/>
        <v>934079.50080000027</v>
      </c>
      <c r="J108" s="365">
        <f t="shared" si="38"/>
        <v>934079.50080000027</v>
      </c>
      <c r="K108" s="365">
        <f t="shared" si="38"/>
        <v>934079.50080000027</v>
      </c>
      <c r="L108" s="365">
        <f t="shared" si="38"/>
        <v>934079.50080000027</v>
      </c>
      <c r="M108" s="365">
        <f t="shared" si="38"/>
        <v>934079.50080000027</v>
      </c>
      <c r="N108" s="365">
        <f t="shared" si="38"/>
        <v>934079.50080000027</v>
      </c>
      <c r="O108" s="365">
        <f t="shared" si="38"/>
        <v>934079.50080000027</v>
      </c>
      <c r="P108" s="365">
        <f t="shared" si="38"/>
        <v>934079.50080000027</v>
      </c>
      <c r="Q108" s="365">
        <f t="shared" si="38"/>
        <v>934079.50080000027</v>
      </c>
      <c r="R108" s="365">
        <f t="shared" si="38"/>
        <v>934079.50080000027</v>
      </c>
      <c r="S108" s="365">
        <f t="shared" si="38"/>
        <v>934079.50080000027</v>
      </c>
      <c r="T108" s="365">
        <f t="shared" si="38"/>
        <v>934079.50080000027</v>
      </c>
      <c r="U108" s="365">
        <f t="shared" si="38"/>
        <v>934079.50080000027</v>
      </c>
      <c r="V108" s="365">
        <f t="shared" si="38"/>
        <v>934079.50080000027</v>
      </c>
      <c r="W108" s="365">
        <f t="shared" si="38"/>
        <v>934079.50080000027</v>
      </c>
      <c r="X108" s="365">
        <f t="shared" si="38"/>
        <v>934079.50080000027</v>
      </c>
      <c r="Y108" s="365">
        <f t="shared" si="38"/>
        <v>934079.50080000027</v>
      </c>
      <c r="Z108" s="365">
        <f t="shared" si="38"/>
        <v>934079.50080000027</v>
      </c>
      <c r="AA108" s="365">
        <f t="shared" si="38"/>
        <v>934079.50080000027</v>
      </c>
      <c r="AB108" s="365">
        <f t="shared" si="38"/>
        <v>934079.50080000027</v>
      </c>
      <c r="AC108" s="365">
        <f t="shared" si="38"/>
        <v>934079.50080000027</v>
      </c>
      <c r="AD108" s="365">
        <f t="shared" si="38"/>
        <v>934079.50080000027</v>
      </c>
      <c r="AE108" s="365">
        <f t="shared" si="38"/>
        <v>934079.50080000027</v>
      </c>
      <c r="AF108" s="365">
        <f t="shared" si="38"/>
        <v>934079.50080000027</v>
      </c>
      <c r="AG108" s="365">
        <f t="shared" si="38"/>
        <v>934079.50080000027</v>
      </c>
      <c r="AH108" s="365">
        <f t="shared" si="38"/>
        <v>934079.50080000027</v>
      </c>
      <c r="AI108" s="365">
        <f t="shared" si="38"/>
        <v>934079.50080000027</v>
      </c>
      <c r="AJ108" s="365">
        <f t="shared" si="38"/>
        <v>934079.50080000027</v>
      </c>
      <c r="AK108" s="365">
        <f t="shared" si="38"/>
        <v>934079.50080000027</v>
      </c>
      <c r="AL108" s="365">
        <f t="shared" si="38"/>
        <v>934079.50080000027</v>
      </c>
      <c r="AM108" s="365">
        <f t="shared" si="38"/>
        <v>934079.50080000027</v>
      </c>
      <c r="AN108" s="365">
        <f t="shared" si="38"/>
        <v>934079.50080000027</v>
      </c>
      <c r="AO108" s="365">
        <f t="shared" si="38"/>
        <v>934079.50080000027</v>
      </c>
      <c r="AP108" s="365">
        <f t="shared" si="38"/>
        <v>934079.50080000027</v>
      </c>
      <c r="AT108" s="306"/>
      <c r="AU108" s="306"/>
      <c r="AV108" s="306"/>
      <c r="AW108" s="306"/>
      <c r="AX108" s="306"/>
      <c r="AY108" s="306"/>
      <c r="AZ108" s="306"/>
      <c r="BA108" s="306"/>
      <c r="BB108" s="306"/>
      <c r="BC108" s="306"/>
      <c r="BD108" s="306"/>
      <c r="BE108" s="306"/>
      <c r="BF108" s="306"/>
      <c r="BG108" s="306"/>
    </row>
    <row r="109" spans="1:71" ht="12.75" x14ac:dyDescent="0.2">
      <c r="A109" s="364" t="s">
        <v>565</v>
      </c>
      <c r="B109" s="363"/>
      <c r="C109" s="363">
        <f>B109+$I$120*C113</f>
        <v>4.9104000000000009E-2</v>
      </c>
      <c r="D109" s="363">
        <f>C109+$I$120*D113</f>
        <v>9.8208000000000018E-2</v>
      </c>
      <c r="E109" s="363">
        <f t="shared" ref="E109:AP109" si="39">D109+$I$120*E113</f>
        <v>0.14880000000000004</v>
      </c>
      <c r="F109" s="363">
        <f t="shared" si="39"/>
        <v>0.14880000000000004</v>
      </c>
      <c r="G109" s="363">
        <f t="shared" si="39"/>
        <v>0.14880000000000004</v>
      </c>
      <c r="H109" s="363">
        <f t="shared" si="39"/>
        <v>0.14880000000000004</v>
      </c>
      <c r="I109" s="363">
        <f t="shared" si="39"/>
        <v>0.14880000000000004</v>
      </c>
      <c r="J109" s="363">
        <f t="shared" si="39"/>
        <v>0.14880000000000004</v>
      </c>
      <c r="K109" s="363">
        <f t="shared" si="39"/>
        <v>0.14880000000000004</v>
      </c>
      <c r="L109" s="363">
        <f t="shared" si="39"/>
        <v>0.14880000000000004</v>
      </c>
      <c r="M109" s="363">
        <f t="shared" si="39"/>
        <v>0.14880000000000004</v>
      </c>
      <c r="N109" s="363">
        <f t="shared" si="39"/>
        <v>0.14880000000000004</v>
      </c>
      <c r="O109" s="363">
        <f t="shared" si="39"/>
        <v>0.14880000000000004</v>
      </c>
      <c r="P109" s="363">
        <f t="shared" si="39"/>
        <v>0.14880000000000004</v>
      </c>
      <c r="Q109" s="363">
        <f t="shared" si="39"/>
        <v>0.14880000000000004</v>
      </c>
      <c r="R109" s="363">
        <f t="shared" si="39"/>
        <v>0.14880000000000004</v>
      </c>
      <c r="S109" s="363">
        <f t="shared" si="39"/>
        <v>0.14880000000000004</v>
      </c>
      <c r="T109" s="363">
        <f t="shared" si="39"/>
        <v>0.14880000000000004</v>
      </c>
      <c r="U109" s="363">
        <f t="shared" si="39"/>
        <v>0.14880000000000004</v>
      </c>
      <c r="V109" s="363">
        <f t="shared" si="39"/>
        <v>0.14880000000000004</v>
      </c>
      <c r="W109" s="363">
        <f t="shared" si="39"/>
        <v>0.14880000000000004</v>
      </c>
      <c r="X109" s="363">
        <f t="shared" si="39"/>
        <v>0.14880000000000004</v>
      </c>
      <c r="Y109" s="363">
        <f t="shared" si="39"/>
        <v>0.14880000000000004</v>
      </c>
      <c r="Z109" s="363">
        <f t="shared" si="39"/>
        <v>0.14880000000000004</v>
      </c>
      <c r="AA109" s="363">
        <f t="shared" si="39"/>
        <v>0.14880000000000004</v>
      </c>
      <c r="AB109" s="363">
        <f t="shared" si="39"/>
        <v>0.14880000000000004</v>
      </c>
      <c r="AC109" s="363">
        <f t="shared" si="39"/>
        <v>0.14880000000000004</v>
      </c>
      <c r="AD109" s="363">
        <f t="shared" si="39"/>
        <v>0.14880000000000004</v>
      </c>
      <c r="AE109" s="363">
        <f t="shared" si="39"/>
        <v>0.14880000000000004</v>
      </c>
      <c r="AF109" s="363">
        <f t="shared" si="39"/>
        <v>0.14880000000000004</v>
      </c>
      <c r="AG109" s="363">
        <f t="shared" si="39"/>
        <v>0.14880000000000004</v>
      </c>
      <c r="AH109" s="363">
        <f t="shared" si="39"/>
        <v>0.14880000000000004</v>
      </c>
      <c r="AI109" s="363">
        <f t="shared" si="39"/>
        <v>0.14880000000000004</v>
      </c>
      <c r="AJ109" s="363">
        <f t="shared" si="39"/>
        <v>0.14880000000000004</v>
      </c>
      <c r="AK109" s="363">
        <f t="shared" si="39"/>
        <v>0.14880000000000004</v>
      </c>
      <c r="AL109" s="363">
        <f t="shared" si="39"/>
        <v>0.14880000000000004</v>
      </c>
      <c r="AM109" s="363">
        <f t="shared" si="39"/>
        <v>0.14880000000000004</v>
      </c>
      <c r="AN109" s="363">
        <f t="shared" si="39"/>
        <v>0.14880000000000004</v>
      </c>
      <c r="AO109" s="363">
        <f t="shared" si="39"/>
        <v>0.14880000000000004</v>
      </c>
      <c r="AP109" s="363">
        <f t="shared" si="39"/>
        <v>0.14880000000000004</v>
      </c>
      <c r="AT109" s="306"/>
      <c r="AU109" s="306"/>
      <c r="AV109" s="306"/>
      <c r="AW109" s="306"/>
      <c r="AX109" s="306"/>
      <c r="AY109" s="306"/>
      <c r="AZ109" s="306"/>
      <c r="BA109" s="306"/>
      <c r="BB109" s="306"/>
      <c r="BC109" s="306"/>
      <c r="BD109" s="306"/>
      <c r="BE109" s="306"/>
      <c r="BF109" s="306"/>
      <c r="BG109" s="306"/>
    </row>
    <row r="110" spans="1:71" ht="12.75" x14ac:dyDescent="0.2">
      <c r="A110" s="364" t="s">
        <v>566</v>
      </c>
      <c r="B110" s="366">
        <v>0.93</v>
      </c>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3"/>
      <c r="AJ110" s="363"/>
      <c r="AK110" s="363"/>
      <c r="AL110" s="363"/>
      <c r="AM110" s="363"/>
      <c r="AN110" s="363"/>
      <c r="AO110" s="363"/>
      <c r="AP110" s="363"/>
      <c r="AT110" s="306"/>
      <c r="AU110" s="306"/>
      <c r="AV110" s="306"/>
      <c r="AW110" s="306"/>
      <c r="AX110" s="306"/>
      <c r="AY110" s="306"/>
      <c r="AZ110" s="306"/>
      <c r="BA110" s="306"/>
      <c r="BB110" s="306"/>
      <c r="BC110" s="306"/>
      <c r="BD110" s="306"/>
      <c r="BE110" s="306"/>
      <c r="BF110" s="306"/>
      <c r="BG110" s="306"/>
    </row>
    <row r="111" spans="1:71" ht="12.75" x14ac:dyDescent="0.2">
      <c r="A111" s="364" t="s">
        <v>567</v>
      </c>
      <c r="B111" s="366">
        <v>4380</v>
      </c>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3"/>
      <c r="AI111" s="363"/>
      <c r="AJ111" s="363"/>
      <c r="AK111" s="363"/>
      <c r="AL111" s="363"/>
      <c r="AM111" s="363"/>
      <c r="AN111" s="363"/>
      <c r="AO111" s="363"/>
      <c r="AP111" s="363"/>
      <c r="AT111" s="306"/>
      <c r="AU111" s="306"/>
      <c r="AV111" s="306"/>
      <c r="AW111" s="306"/>
      <c r="AX111" s="306"/>
      <c r="AY111" s="306"/>
      <c r="AZ111" s="306"/>
      <c r="BA111" s="306"/>
      <c r="BB111" s="306"/>
      <c r="BC111" s="306"/>
      <c r="BD111" s="306"/>
      <c r="BE111" s="306"/>
      <c r="BF111" s="306"/>
      <c r="BG111" s="306"/>
    </row>
    <row r="112" spans="1:71" ht="12.75" x14ac:dyDescent="0.2">
      <c r="A112" s="364" t="s">
        <v>568</v>
      </c>
      <c r="B112" s="362">
        <f>$B$131</f>
        <v>1.4332</v>
      </c>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c r="AA112" s="363"/>
      <c r="AB112" s="363"/>
      <c r="AC112" s="363"/>
      <c r="AD112" s="363"/>
      <c r="AE112" s="363"/>
      <c r="AF112" s="363"/>
      <c r="AG112" s="363"/>
      <c r="AH112" s="363"/>
      <c r="AI112" s="363"/>
      <c r="AJ112" s="363"/>
      <c r="AK112" s="363"/>
      <c r="AL112" s="363"/>
      <c r="AM112" s="363"/>
      <c r="AN112" s="363"/>
      <c r="AO112" s="363"/>
      <c r="AP112" s="363"/>
      <c r="AT112" s="306"/>
      <c r="AU112" s="306"/>
      <c r="AV112" s="306"/>
      <c r="AW112" s="306"/>
      <c r="AX112" s="306"/>
      <c r="AY112" s="306"/>
      <c r="AZ112" s="306"/>
      <c r="BA112" s="306"/>
      <c r="BB112" s="306"/>
      <c r="BC112" s="306"/>
      <c r="BD112" s="306"/>
      <c r="BE112" s="306"/>
      <c r="BF112" s="306"/>
      <c r="BG112" s="306"/>
    </row>
    <row r="113" spans="1:71" ht="15" x14ac:dyDescent="0.2">
      <c r="A113" s="367" t="s">
        <v>569</v>
      </c>
      <c r="B113" s="368">
        <v>0</v>
      </c>
      <c r="C113" s="369">
        <v>0.33</v>
      </c>
      <c r="D113" s="369">
        <v>0.33</v>
      </c>
      <c r="E113" s="369">
        <v>0.34</v>
      </c>
      <c r="F113" s="368">
        <v>0</v>
      </c>
      <c r="G113" s="368">
        <v>0</v>
      </c>
      <c r="H113" s="368">
        <v>0</v>
      </c>
      <c r="I113" s="368">
        <v>0</v>
      </c>
      <c r="J113" s="368">
        <v>0</v>
      </c>
      <c r="K113" s="368">
        <v>0</v>
      </c>
      <c r="L113" s="368">
        <v>0</v>
      </c>
      <c r="M113" s="368">
        <v>0</v>
      </c>
      <c r="N113" s="368">
        <v>0</v>
      </c>
      <c r="O113" s="368">
        <v>0</v>
      </c>
      <c r="P113" s="368">
        <v>0</v>
      </c>
      <c r="Q113" s="368">
        <v>0</v>
      </c>
      <c r="R113" s="368">
        <v>0</v>
      </c>
      <c r="S113" s="368">
        <v>0</v>
      </c>
      <c r="T113" s="368">
        <v>0</v>
      </c>
      <c r="U113" s="368">
        <v>0</v>
      </c>
      <c r="V113" s="368">
        <v>0</v>
      </c>
      <c r="W113" s="368">
        <v>0</v>
      </c>
      <c r="X113" s="368">
        <v>0</v>
      </c>
      <c r="Y113" s="368">
        <v>0</v>
      </c>
      <c r="Z113" s="368">
        <v>0</v>
      </c>
      <c r="AA113" s="368">
        <v>0</v>
      </c>
      <c r="AB113" s="368">
        <v>0</v>
      </c>
      <c r="AC113" s="368">
        <v>0</v>
      </c>
      <c r="AD113" s="368">
        <v>0</v>
      </c>
      <c r="AE113" s="368">
        <v>0</v>
      </c>
      <c r="AF113" s="368">
        <v>0</v>
      </c>
      <c r="AG113" s="368">
        <v>0</v>
      </c>
      <c r="AH113" s="368">
        <v>0</v>
      </c>
      <c r="AI113" s="368">
        <v>0</v>
      </c>
      <c r="AJ113" s="368">
        <v>0</v>
      </c>
      <c r="AK113" s="368">
        <v>0</v>
      </c>
      <c r="AL113" s="368">
        <v>0</v>
      </c>
      <c r="AM113" s="368">
        <v>0</v>
      </c>
      <c r="AN113" s="368">
        <v>0</v>
      </c>
      <c r="AO113" s="368">
        <v>0</v>
      </c>
      <c r="AP113" s="368">
        <v>0</v>
      </c>
      <c r="AT113" s="306"/>
      <c r="AU113" s="306"/>
      <c r="AV113" s="306"/>
      <c r="AW113" s="306"/>
      <c r="AX113" s="306"/>
      <c r="AY113" s="306"/>
      <c r="AZ113" s="306"/>
      <c r="BA113" s="306"/>
      <c r="BB113" s="306"/>
      <c r="BC113" s="306"/>
      <c r="BD113" s="306"/>
      <c r="BE113" s="306"/>
      <c r="BF113" s="306"/>
      <c r="BG113" s="306"/>
    </row>
    <row r="114" spans="1:71" ht="12.75"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x14ac:dyDescent="0.2">
      <c r="A116" s="361"/>
      <c r="B116" s="467" t="s">
        <v>570</v>
      </c>
      <c r="C116" s="468"/>
      <c r="D116" s="467" t="s">
        <v>571</v>
      </c>
      <c r="E116" s="468"/>
      <c r="F116" s="361"/>
      <c r="G116" s="361"/>
      <c r="H116" s="361"/>
      <c r="I116" s="361"/>
      <c r="J116" s="361"/>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x14ac:dyDescent="0.2">
      <c r="A117" s="364" t="s">
        <v>572</v>
      </c>
      <c r="B117" s="370"/>
      <c r="C117" s="361" t="s">
        <v>573</v>
      </c>
      <c r="D117" s="370">
        <f>'3.1. паспорт Техсостояние ПС'!O24</f>
        <v>0.16</v>
      </c>
      <c r="E117" s="361" t="s">
        <v>573</v>
      </c>
      <c r="F117" s="361"/>
      <c r="G117" s="361"/>
      <c r="H117" s="361"/>
      <c r="I117" s="361"/>
      <c r="J117" s="361"/>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x14ac:dyDescent="0.2">
      <c r="A118" s="364" t="s">
        <v>572</v>
      </c>
      <c r="B118" s="361">
        <f>$B$110*B117</f>
        <v>0</v>
      </c>
      <c r="C118" s="361" t="s">
        <v>125</v>
      </c>
      <c r="D118" s="361">
        <f>$B$110*D117</f>
        <v>0.14880000000000002</v>
      </c>
      <c r="E118" s="361" t="s">
        <v>125</v>
      </c>
      <c r="F118" s="364" t="s">
        <v>574</v>
      </c>
      <c r="G118" s="361">
        <f>D117-B117</f>
        <v>0.16</v>
      </c>
      <c r="H118" s="361" t="s">
        <v>573</v>
      </c>
      <c r="I118" s="371">
        <f>$B$110*G118</f>
        <v>0.14880000000000002</v>
      </c>
      <c r="J118" s="361"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x14ac:dyDescent="0.2">
      <c r="A119" s="361"/>
      <c r="B119" s="361"/>
      <c r="C119" s="361"/>
      <c r="D119" s="361"/>
      <c r="E119" s="361"/>
      <c r="F119" s="364" t="s">
        <v>575</v>
      </c>
      <c r="G119" s="361">
        <f>I119/$B$110</f>
        <v>0</v>
      </c>
      <c r="H119" s="361" t="s">
        <v>573</v>
      </c>
      <c r="I119" s="370"/>
      <c r="J119" s="361"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x14ac:dyDescent="0.2">
      <c r="A120" s="372"/>
      <c r="B120" s="373"/>
      <c r="C120" s="373"/>
      <c r="D120" s="373"/>
      <c r="E120" s="373"/>
      <c r="F120" s="374" t="s">
        <v>576</v>
      </c>
      <c r="G120" s="371">
        <f>G118</f>
        <v>0.16</v>
      </c>
      <c r="H120" s="361" t="s">
        <v>573</v>
      </c>
      <c r="I120" s="366">
        <f>I118</f>
        <v>0.14880000000000002</v>
      </c>
      <c r="J120" s="361"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x14ac:dyDescent="0.2">
      <c r="A122" s="375" t="s">
        <v>577</v>
      </c>
      <c r="B122" s="376">
        <f>'6.2. Паспорт фин осв ввод'!U24</f>
        <v>2.1823587499999997</v>
      </c>
      <c r="C122" s="311"/>
      <c r="D122" s="469" t="s">
        <v>251</v>
      </c>
      <c r="E122" s="314" t="s">
        <v>578</v>
      </c>
      <c r="F122" s="315">
        <v>35</v>
      </c>
      <c r="G122" s="470" t="s">
        <v>579</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x14ac:dyDescent="0.2">
      <c r="A123" s="375" t="s">
        <v>251</v>
      </c>
      <c r="B123" s="377">
        <v>30</v>
      </c>
      <c r="C123" s="311"/>
      <c r="D123" s="469"/>
      <c r="E123" s="314" t="s">
        <v>538</v>
      </c>
      <c r="F123" s="315">
        <v>30</v>
      </c>
      <c r="G123" s="470"/>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x14ac:dyDescent="0.2">
      <c r="A124" s="375" t="s">
        <v>580</v>
      </c>
      <c r="B124" s="377" t="s">
        <v>535</v>
      </c>
      <c r="C124" s="316" t="s">
        <v>581</v>
      </c>
      <c r="D124" s="469"/>
      <c r="E124" s="314" t="s">
        <v>582</v>
      </c>
      <c r="F124" s="315">
        <v>30</v>
      </c>
      <c r="G124" s="470"/>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3" customFormat="1" x14ac:dyDescent="0.2">
      <c r="A125" s="378"/>
      <c r="B125" s="379"/>
      <c r="C125" s="317"/>
      <c r="D125" s="469"/>
      <c r="E125" s="314" t="s">
        <v>583</v>
      </c>
      <c r="F125" s="315">
        <v>30</v>
      </c>
      <c r="G125" s="470"/>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x14ac:dyDescent="0.2">
      <c r="A126" s="375" t="s">
        <v>584</v>
      </c>
      <c r="B126" s="380">
        <f>$B$122*1000*1000</f>
        <v>2182358.75</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x14ac:dyDescent="0.2">
      <c r="A127" s="375" t="s">
        <v>585</v>
      </c>
      <c r="B127" s="381">
        <v>0.01</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x14ac:dyDescent="0.2">
      <c r="A128" s="313"/>
      <c r="B128" s="319"/>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x14ac:dyDescent="0.2">
      <c r="A129" s="375" t="s">
        <v>586</v>
      </c>
      <c r="B129" s="382">
        <v>0.20499999999999999</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x14ac:dyDescent="0.2">
      <c r="A130" s="383"/>
      <c r="B130" s="384"/>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12.75" x14ac:dyDescent="0.2">
      <c r="A131" s="385" t="s">
        <v>587</v>
      </c>
      <c r="B131" s="386">
        <v>1.4332</v>
      </c>
      <c r="C131" s="318"/>
      <c r="D131" s="311"/>
      <c r="E131" s="311"/>
      <c r="F131" s="311"/>
      <c r="G131" s="311"/>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x14ac:dyDescent="0.2">
      <c r="A132" s="311"/>
      <c r="B132" s="311"/>
      <c r="C132" s="311"/>
      <c r="D132" s="311"/>
      <c r="E132" s="311"/>
      <c r="F132" s="311"/>
      <c r="G132" s="311"/>
      <c r="H132" s="311"/>
      <c r="I132" s="311"/>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x14ac:dyDescent="0.2">
      <c r="A133" s="313"/>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3"/>
      <c r="AR133" s="273"/>
      <c r="AS133" s="273"/>
      <c r="BH133" s="311"/>
      <c r="BI133" s="311"/>
      <c r="BJ133" s="311"/>
      <c r="BK133" s="311"/>
      <c r="BL133" s="311"/>
      <c r="BM133" s="311"/>
      <c r="BN133" s="311"/>
      <c r="BO133" s="311"/>
      <c r="BP133" s="311"/>
      <c r="BQ133" s="311"/>
      <c r="BR133" s="311"/>
      <c r="BS133" s="311"/>
    </row>
    <row r="134" spans="1:71" x14ac:dyDescent="0.2">
      <c r="A134" s="375" t="s">
        <v>588</v>
      </c>
      <c r="C134" s="318" t="s">
        <v>589</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3"/>
      <c r="AR134" s="273"/>
      <c r="AS134" s="273"/>
      <c r="BH134" s="318"/>
      <c r="BI134" s="318"/>
      <c r="BJ134" s="318"/>
      <c r="BK134" s="318"/>
      <c r="BL134" s="318"/>
      <c r="BM134" s="318"/>
      <c r="BN134" s="318"/>
      <c r="BO134" s="318"/>
      <c r="BP134" s="318"/>
      <c r="BQ134" s="318"/>
      <c r="BR134" s="318"/>
      <c r="BS134" s="318"/>
    </row>
    <row r="135" spans="1:71" ht="12.75" x14ac:dyDescent="0.2">
      <c r="A135" s="375"/>
      <c r="B135" s="387">
        <v>2016</v>
      </c>
      <c r="C135" s="387">
        <f>B135+1</f>
        <v>2017</v>
      </c>
      <c r="D135" s="387">
        <f t="shared" ref="D135:AY135" si="40">C135+1</f>
        <v>2018</v>
      </c>
      <c r="E135" s="387">
        <f t="shared" si="40"/>
        <v>2019</v>
      </c>
      <c r="F135" s="387">
        <f t="shared" si="40"/>
        <v>2020</v>
      </c>
      <c r="G135" s="387">
        <f t="shared" si="40"/>
        <v>2021</v>
      </c>
      <c r="H135" s="387">
        <f t="shared" si="40"/>
        <v>2022</v>
      </c>
      <c r="I135" s="387">
        <f t="shared" si="40"/>
        <v>2023</v>
      </c>
      <c r="J135" s="387">
        <f t="shared" si="40"/>
        <v>2024</v>
      </c>
      <c r="K135" s="387">
        <f t="shared" si="40"/>
        <v>2025</v>
      </c>
      <c r="L135" s="387">
        <f t="shared" si="40"/>
        <v>2026</v>
      </c>
      <c r="M135" s="387">
        <f t="shared" si="40"/>
        <v>2027</v>
      </c>
      <c r="N135" s="387">
        <f t="shared" si="40"/>
        <v>2028</v>
      </c>
      <c r="O135" s="387">
        <f t="shared" si="40"/>
        <v>2029</v>
      </c>
      <c r="P135" s="387">
        <f t="shared" si="40"/>
        <v>2030</v>
      </c>
      <c r="Q135" s="387">
        <f t="shared" si="40"/>
        <v>2031</v>
      </c>
      <c r="R135" s="387">
        <f t="shared" si="40"/>
        <v>2032</v>
      </c>
      <c r="S135" s="387">
        <f t="shared" si="40"/>
        <v>2033</v>
      </c>
      <c r="T135" s="387">
        <f t="shared" si="40"/>
        <v>2034</v>
      </c>
      <c r="U135" s="387">
        <f t="shared" si="40"/>
        <v>2035</v>
      </c>
      <c r="V135" s="387">
        <f t="shared" si="40"/>
        <v>2036</v>
      </c>
      <c r="W135" s="387">
        <f t="shared" si="40"/>
        <v>2037</v>
      </c>
      <c r="X135" s="387">
        <f t="shared" si="40"/>
        <v>2038</v>
      </c>
      <c r="Y135" s="387">
        <f t="shared" si="40"/>
        <v>2039</v>
      </c>
      <c r="Z135" s="387">
        <f t="shared" si="40"/>
        <v>2040</v>
      </c>
      <c r="AA135" s="387">
        <f t="shared" si="40"/>
        <v>2041</v>
      </c>
      <c r="AB135" s="387">
        <f t="shared" si="40"/>
        <v>2042</v>
      </c>
      <c r="AC135" s="387">
        <f t="shared" si="40"/>
        <v>2043</v>
      </c>
      <c r="AD135" s="387">
        <f t="shared" si="40"/>
        <v>2044</v>
      </c>
      <c r="AE135" s="387">
        <f t="shared" si="40"/>
        <v>2045</v>
      </c>
      <c r="AF135" s="387">
        <f t="shared" si="40"/>
        <v>2046</v>
      </c>
      <c r="AG135" s="387">
        <f t="shared" si="40"/>
        <v>2047</v>
      </c>
      <c r="AH135" s="387">
        <f t="shared" si="40"/>
        <v>2048</v>
      </c>
      <c r="AI135" s="387">
        <f t="shared" si="40"/>
        <v>2049</v>
      </c>
      <c r="AJ135" s="387">
        <f t="shared" si="40"/>
        <v>2050</v>
      </c>
      <c r="AK135" s="387">
        <f t="shared" si="40"/>
        <v>2051</v>
      </c>
      <c r="AL135" s="387">
        <f t="shared" si="40"/>
        <v>2052</v>
      </c>
      <c r="AM135" s="387">
        <f t="shared" si="40"/>
        <v>2053</v>
      </c>
      <c r="AN135" s="387">
        <f t="shared" si="40"/>
        <v>2054</v>
      </c>
      <c r="AO135" s="387">
        <f t="shared" si="40"/>
        <v>2055</v>
      </c>
      <c r="AP135" s="387">
        <f t="shared" si="40"/>
        <v>2056</v>
      </c>
      <c r="AQ135" s="387">
        <f t="shared" si="40"/>
        <v>2057</v>
      </c>
      <c r="AR135" s="387">
        <f t="shared" si="40"/>
        <v>2058</v>
      </c>
      <c r="AS135" s="387">
        <f t="shared" si="40"/>
        <v>2059</v>
      </c>
      <c r="AT135" s="387">
        <f t="shared" si="40"/>
        <v>2060</v>
      </c>
      <c r="AU135" s="387">
        <f t="shared" si="40"/>
        <v>2061</v>
      </c>
      <c r="AV135" s="387">
        <f t="shared" si="40"/>
        <v>2062</v>
      </c>
      <c r="AW135" s="387">
        <f t="shared" si="40"/>
        <v>2063</v>
      </c>
      <c r="AX135" s="387">
        <f t="shared" si="40"/>
        <v>2064</v>
      </c>
      <c r="AY135" s="387">
        <f t="shared" si="40"/>
        <v>2065</v>
      </c>
    </row>
    <row r="136" spans="1:71" ht="12.75" x14ac:dyDescent="0.2">
      <c r="A136" s="375" t="s">
        <v>590</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273" customFormat="1" ht="15" x14ac:dyDescent="0.2">
      <c r="A137" s="375" t="s">
        <v>591</v>
      </c>
      <c r="B137" s="390"/>
      <c r="C137" s="391">
        <f>(1+B137)*(1+C136)-1</f>
        <v>0</v>
      </c>
      <c r="D137" s="391">
        <f>(1+C137)*(1+D136)-1</f>
        <v>4.6000000000000041E-2</v>
      </c>
      <c r="E137" s="391">
        <f>(1+D137)*(1+E136)-1</f>
        <v>9.2024000000000106E-2</v>
      </c>
      <c r="F137" s="391">
        <f t="shared" ref="F137:AY137" si="42">(1+E137)*(1+F136)-1</f>
        <v>0.13788900800000015</v>
      </c>
      <c r="G137" s="391">
        <f>(1+F137)*(1+G136)-1</f>
        <v>0.18568034633600017</v>
      </c>
      <c r="H137" s="391">
        <f t="shared" si="42"/>
        <v>0.2354789208821122</v>
      </c>
      <c r="I137" s="391">
        <f t="shared" si="42"/>
        <v>0.28736903555916093</v>
      </c>
      <c r="J137" s="391">
        <f t="shared" si="42"/>
        <v>0.34143853505264565</v>
      </c>
      <c r="K137" s="391">
        <f t="shared" si="42"/>
        <v>0.39777895352485682</v>
      </c>
      <c r="L137" s="391">
        <f t="shared" si="42"/>
        <v>0.45648566957290093</v>
      </c>
      <c r="M137" s="391">
        <f t="shared" si="42"/>
        <v>0.51765806769496292</v>
      </c>
      <c r="N137" s="391">
        <f t="shared" si="42"/>
        <v>0.58139970653815132</v>
      </c>
      <c r="O137" s="391">
        <f t="shared" si="42"/>
        <v>0.64781849421275384</v>
      </c>
      <c r="P137" s="391">
        <f t="shared" si="42"/>
        <v>0.71702687096968964</v>
      </c>
      <c r="Q137" s="391">
        <f t="shared" si="42"/>
        <v>0.78914199955041675</v>
      </c>
      <c r="R137" s="391">
        <f t="shared" si="42"/>
        <v>0.86428596353153431</v>
      </c>
      <c r="S137" s="391">
        <f t="shared" si="42"/>
        <v>0.94258597399985877</v>
      </c>
      <c r="T137" s="391">
        <f t="shared" si="42"/>
        <v>1.0241745849078527</v>
      </c>
      <c r="U137" s="391">
        <f t="shared" si="42"/>
        <v>1.1091899174739828</v>
      </c>
      <c r="V137" s="391">
        <f t="shared" si="42"/>
        <v>1.19777589400789</v>
      </c>
      <c r="W137" s="391">
        <f t="shared" si="42"/>
        <v>1.2900824815562215</v>
      </c>
      <c r="X137" s="391">
        <f t="shared" si="42"/>
        <v>1.3862659457815827</v>
      </c>
      <c r="Y137" s="391">
        <f t="shared" si="42"/>
        <v>1.4864891155044093</v>
      </c>
      <c r="Z137" s="391">
        <f t="shared" si="42"/>
        <v>1.5909216583555947</v>
      </c>
      <c r="AA137" s="391">
        <f t="shared" si="42"/>
        <v>1.6997403680065299</v>
      </c>
      <c r="AB137" s="391">
        <f t="shared" si="42"/>
        <v>1.8131294634628041</v>
      </c>
      <c r="AC137" s="391">
        <f t="shared" si="42"/>
        <v>1.9312809009282419</v>
      </c>
      <c r="AD137" s="391">
        <f t="shared" si="42"/>
        <v>2.0543946987672284</v>
      </c>
      <c r="AE137" s="391">
        <f t="shared" si="42"/>
        <v>2.1826792761154521</v>
      </c>
      <c r="AF137" s="391">
        <f t="shared" si="42"/>
        <v>2.3163518057123014</v>
      </c>
      <c r="AG137" s="391">
        <f t="shared" si="42"/>
        <v>2.4556385815522184</v>
      </c>
      <c r="AH137" s="391">
        <f t="shared" si="42"/>
        <v>2.6007754019774119</v>
      </c>
      <c r="AI137" s="391">
        <f t="shared" si="42"/>
        <v>2.7520079688604633</v>
      </c>
      <c r="AJ137" s="391">
        <f t="shared" si="42"/>
        <v>2.909592303552603</v>
      </c>
      <c r="AK137" s="391">
        <f t="shared" si="42"/>
        <v>3.0737951803018122</v>
      </c>
      <c r="AL137" s="391">
        <f t="shared" si="42"/>
        <v>3.2448945778744882</v>
      </c>
      <c r="AM137" s="391">
        <f t="shared" si="42"/>
        <v>3.4231801501452166</v>
      </c>
      <c r="AN137" s="391">
        <f t="shared" si="42"/>
        <v>3.6089537164513157</v>
      </c>
      <c r="AO137" s="391">
        <f t="shared" si="42"/>
        <v>3.8025297725422709</v>
      </c>
      <c r="AP137" s="391">
        <f t="shared" si="42"/>
        <v>4.0042360229890468</v>
      </c>
      <c r="AQ137" s="391">
        <f t="shared" si="42"/>
        <v>4.2144139359545871</v>
      </c>
      <c r="AR137" s="391">
        <f t="shared" si="42"/>
        <v>4.4334193212646804</v>
      </c>
      <c r="AS137" s="391">
        <f t="shared" si="42"/>
        <v>4.6616229327577976</v>
      </c>
      <c r="AT137" s="391">
        <f t="shared" si="42"/>
        <v>4.8994110959336252</v>
      </c>
      <c r="AU137" s="391">
        <f t="shared" si="42"/>
        <v>5.147186361962838</v>
      </c>
      <c r="AV137" s="391">
        <f t="shared" si="42"/>
        <v>5.4053681891652774</v>
      </c>
      <c r="AW137" s="391">
        <f>(1+AV137)*(1+AW136)-1</f>
        <v>5.6743936531102195</v>
      </c>
      <c r="AX137" s="391">
        <f t="shared" si="42"/>
        <v>5.9547181865408492</v>
      </c>
      <c r="AY137" s="391">
        <f t="shared" si="42"/>
        <v>6.2468163503755649</v>
      </c>
    </row>
    <row r="138" spans="1:71" s="273" customFormat="1" x14ac:dyDescent="0.2">
      <c r="A138" s="320"/>
      <c r="B138" s="392"/>
      <c r="C138" s="393"/>
      <c r="D138" s="393"/>
      <c r="E138" s="393"/>
      <c r="F138" s="393"/>
      <c r="G138" s="393"/>
      <c r="H138" s="393"/>
      <c r="I138" s="393"/>
      <c r="J138" s="393"/>
      <c r="K138" s="393"/>
      <c r="L138" s="393"/>
      <c r="M138" s="393"/>
      <c r="N138" s="393"/>
      <c r="O138" s="393"/>
      <c r="P138" s="393"/>
      <c r="Q138" s="393"/>
      <c r="R138" s="393"/>
      <c r="S138" s="393"/>
      <c r="T138" s="393"/>
      <c r="U138" s="393"/>
      <c r="V138" s="393"/>
      <c r="W138" s="393"/>
      <c r="X138" s="393"/>
      <c r="Y138" s="393"/>
      <c r="Z138" s="393"/>
      <c r="AA138" s="393"/>
      <c r="AB138" s="393"/>
      <c r="AC138" s="393"/>
      <c r="AD138" s="393"/>
      <c r="AE138" s="393"/>
      <c r="AF138" s="393"/>
      <c r="AG138" s="393"/>
      <c r="AH138" s="393"/>
      <c r="AI138" s="393"/>
      <c r="AJ138" s="393"/>
      <c r="AK138" s="393"/>
      <c r="AL138" s="393"/>
      <c r="AM138" s="393"/>
      <c r="AN138" s="393"/>
      <c r="AO138" s="393"/>
      <c r="AP138" s="393"/>
      <c r="AQ138" s="231"/>
    </row>
    <row r="139" spans="1:71" ht="12.75" x14ac:dyDescent="0.2">
      <c r="A139" s="313"/>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x14ac:dyDescent="0.2">
      <c r="A140" s="313"/>
      <c r="B140" s="394">
        <v>0</v>
      </c>
      <c r="C140" s="394">
        <v>0</v>
      </c>
      <c r="D140" s="394">
        <v>1</v>
      </c>
      <c r="E140" s="394">
        <f>D140+1</f>
        <v>2</v>
      </c>
      <c r="F140" s="394">
        <f t="shared" si="43"/>
        <v>3</v>
      </c>
      <c r="G140" s="394">
        <f t="shared" si="43"/>
        <v>4</v>
      </c>
      <c r="H140" s="394">
        <f t="shared" si="43"/>
        <v>5</v>
      </c>
      <c r="I140" s="394">
        <f t="shared" si="43"/>
        <v>6</v>
      </c>
      <c r="J140" s="394">
        <f t="shared" si="43"/>
        <v>7</v>
      </c>
      <c r="K140" s="394">
        <f t="shared" si="43"/>
        <v>8</v>
      </c>
      <c r="L140" s="394">
        <f t="shared" si="43"/>
        <v>9</v>
      </c>
      <c r="M140" s="394">
        <f t="shared" si="43"/>
        <v>10</v>
      </c>
      <c r="N140" s="394">
        <f t="shared" si="43"/>
        <v>11</v>
      </c>
      <c r="O140" s="394">
        <f t="shared" si="43"/>
        <v>12</v>
      </c>
      <c r="P140" s="394">
        <f t="shared" si="43"/>
        <v>13</v>
      </c>
      <c r="Q140" s="394">
        <f t="shared" si="43"/>
        <v>14</v>
      </c>
      <c r="R140" s="394">
        <f t="shared" si="43"/>
        <v>15</v>
      </c>
      <c r="S140" s="394">
        <f t="shared" si="43"/>
        <v>16</v>
      </c>
      <c r="T140" s="394">
        <f t="shared" si="44"/>
        <v>17</v>
      </c>
      <c r="U140" s="394">
        <f t="shared" si="44"/>
        <v>18</v>
      </c>
      <c r="V140" s="394">
        <f t="shared" si="44"/>
        <v>19</v>
      </c>
      <c r="W140" s="394">
        <f t="shared" si="44"/>
        <v>20</v>
      </c>
      <c r="X140" s="394">
        <f t="shared" si="44"/>
        <v>21</v>
      </c>
      <c r="Y140" s="394">
        <f t="shared" si="44"/>
        <v>22</v>
      </c>
      <c r="Z140" s="394">
        <f t="shared" si="44"/>
        <v>23</v>
      </c>
      <c r="AA140" s="394">
        <f t="shared" si="44"/>
        <v>24</v>
      </c>
      <c r="AB140" s="394">
        <f t="shared" si="44"/>
        <v>25</v>
      </c>
      <c r="AC140" s="394">
        <f t="shared" si="44"/>
        <v>26</v>
      </c>
      <c r="AD140" s="394">
        <f t="shared" si="44"/>
        <v>27</v>
      </c>
      <c r="AE140" s="394">
        <f t="shared" si="44"/>
        <v>28</v>
      </c>
      <c r="AF140" s="394">
        <f t="shared" si="44"/>
        <v>29</v>
      </c>
      <c r="AG140" s="394">
        <f t="shared" si="44"/>
        <v>30</v>
      </c>
      <c r="AH140" s="394">
        <f t="shared" si="44"/>
        <v>31</v>
      </c>
      <c r="AI140" s="394">
        <f t="shared" si="44"/>
        <v>32</v>
      </c>
      <c r="AJ140" s="394">
        <f t="shared" si="45"/>
        <v>33</v>
      </c>
      <c r="AK140" s="394">
        <f t="shared" si="45"/>
        <v>34</v>
      </c>
      <c r="AL140" s="394">
        <f t="shared" si="45"/>
        <v>35</v>
      </c>
      <c r="AM140" s="394">
        <f t="shared" si="45"/>
        <v>36</v>
      </c>
      <c r="AN140" s="394">
        <f t="shared" si="45"/>
        <v>37</v>
      </c>
      <c r="AO140" s="394">
        <f t="shared" si="45"/>
        <v>38</v>
      </c>
      <c r="AP140" s="394">
        <f>AO140+1</f>
        <v>39</v>
      </c>
      <c r="AQ140" s="394">
        <f t="shared" si="45"/>
        <v>40</v>
      </c>
      <c r="AR140" s="394">
        <f t="shared" si="45"/>
        <v>41</v>
      </c>
      <c r="AS140" s="394">
        <f t="shared" si="45"/>
        <v>42</v>
      </c>
      <c r="AT140" s="394">
        <f t="shared" si="45"/>
        <v>43</v>
      </c>
      <c r="AU140" s="394">
        <f t="shared" si="45"/>
        <v>44</v>
      </c>
      <c r="AV140" s="394">
        <f t="shared" si="45"/>
        <v>45</v>
      </c>
      <c r="AW140" s="394">
        <f t="shared" si="45"/>
        <v>46</v>
      </c>
      <c r="AX140" s="394">
        <f t="shared" si="45"/>
        <v>47</v>
      </c>
      <c r="AY140" s="394">
        <f t="shared" si="45"/>
        <v>48</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x14ac:dyDescent="0.2">
      <c r="A141" s="313"/>
      <c r="B141" s="395">
        <f>AVERAGE(A140:B140)</f>
        <v>0</v>
      </c>
      <c r="C141" s="395">
        <f>AVERAGE(B140:C140)</f>
        <v>0</v>
      </c>
      <c r="D141" s="395">
        <f>AVERAGE(C140:D140)</f>
        <v>0.5</v>
      </c>
      <c r="E141" s="395">
        <f>AVERAGE(D140:E140)</f>
        <v>1.5</v>
      </c>
      <c r="F141" s="395">
        <f t="shared" ref="F141:AO141" si="46">AVERAGE(E140:F140)</f>
        <v>2.5</v>
      </c>
      <c r="G141" s="395">
        <f t="shared" si="46"/>
        <v>3.5</v>
      </c>
      <c r="H141" s="395">
        <f t="shared" si="46"/>
        <v>4.5</v>
      </c>
      <c r="I141" s="395">
        <f t="shared" si="46"/>
        <v>5.5</v>
      </c>
      <c r="J141" s="395">
        <f t="shared" si="46"/>
        <v>6.5</v>
      </c>
      <c r="K141" s="395">
        <f t="shared" si="46"/>
        <v>7.5</v>
      </c>
      <c r="L141" s="395">
        <f t="shared" si="46"/>
        <v>8.5</v>
      </c>
      <c r="M141" s="395">
        <f t="shared" si="46"/>
        <v>9.5</v>
      </c>
      <c r="N141" s="395">
        <f t="shared" si="46"/>
        <v>10.5</v>
      </c>
      <c r="O141" s="395">
        <f t="shared" si="46"/>
        <v>11.5</v>
      </c>
      <c r="P141" s="395">
        <f t="shared" si="46"/>
        <v>12.5</v>
      </c>
      <c r="Q141" s="395">
        <f t="shared" si="46"/>
        <v>13.5</v>
      </c>
      <c r="R141" s="395">
        <f t="shared" si="46"/>
        <v>14.5</v>
      </c>
      <c r="S141" s="395">
        <f t="shared" si="46"/>
        <v>15.5</v>
      </c>
      <c r="T141" s="395">
        <f t="shared" si="46"/>
        <v>16.5</v>
      </c>
      <c r="U141" s="395">
        <f t="shared" si="46"/>
        <v>17.5</v>
      </c>
      <c r="V141" s="395">
        <f t="shared" si="46"/>
        <v>18.5</v>
      </c>
      <c r="W141" s="395">
        <f t="shared" si="46"/>
        <v>19.5</v>
      </c>
      <c r="X141" s="395">
        <f t="shared" si="46"/>
        <v>20.5</v>
      </c>
      <c r="Y141" s="395">
        <f t="shared" si="46"/>
        <v>21.5</v>
      </c>
      <c r="Z141" s="395">
        <f t="shared" si="46"/>
        <v>22.5</v>
      </c>
      <c r="AA141" s="395">
        <f t="shared" si="46"/>
        <v>23.5</v>
      </c>
      <c r="AB141" s="395">
        <f t="shared" si="46"/>
        <v>24.5</v>
      </c>
      <c r="AC141" s="395">
        <f t="shared" si="46"/>
        <v>25.5</v>
      </c>
      <c r="AD141" s="395">
        <f t="shared" si="46"/>
        <v>26.5</v>
      </c>
      <c r="AE141" s="395">
        <f t="shared" si="46"/>
        <v>27.5</v>
      </c>
      <c r="AF141" s="395">
        <f t="shared" si="46"/>
        <v>28.5</v>
      </c>
      <c r="AG141" s="395">
        <f t="shared" si="46"/>
        <v>29.5</v>
      </c>
      <c r="AH141" s="395">
        <f t="shared" si="46"/>
        <v>30.5</v>
      </c>
      <c r="AI141" s="395">
        <f t="shared" si="46"/>
        <v>31.5</v>
      </c>
      <c r="AJ141" s="395">
        <f t="shared" si="46"/>
        <v>32.5</v>
      </c>
      <c r="AK141" s="395">
        <f t="shared" si="46"/>
        <v>33.5</v>
      </c>
      <c r="AL141" s="395">
        <f t="shared" si="46"/>
        <v>34.5</v>
      </c>
      <c r="AM141" s="395">
        <f t="shared" si="46"/>
        <v>35.5</v>
      </c>
      <c r="AN141" s="395">
        <f t="shared" si="46"/>
        <v>36.5</v>
      </c>
      <c r="AO141" s="395">
        <f t="shared" si="46"/>
        <v>37.5</v>
      </c>
      <c r="AP141" s="395">
        <f>AVERAGE(AO140:AP140)</f>
        <v>38.5</v>
      </c>
      <c r="AQ141" s="395">
        <f t="shared" ref="AQ141:AY141" si="47">AVERAGE(AP140:AQ140)</f>
        <v>39.5</v>
      </c>
      <c r="AR141" s="395">
        <f t="shared" si="47"/>
        <v>40.5</v>
      </c>
      <c r="AS141" s="395">
        <f t="shared" si="47"/>
        <v>41.5</v>
      </c>
      <c r="AT141" s="395">
        <f t="shared" si="47"/>
        <v>42.5</v>
      </c>
      <c r="AU141" s="395">
        <f t="shared" si="47"/>
        <v>43.5</v>
      </c>
      <c r="AV141" s="395">
        <f t="shared" si="47"/>
        <v>44.5</v>
      </c>
      <c r="AW141" s="395">
        <f t="shared" si="47"/>
        <v>45.5</v>
      </c>
      <c r="AX141" s="395">
        <f t="shared" si="47"/>
        <v>46.5</v>
      </c>
      <c r="AY141" s="395">
        <f t="shared" si="47"/>
        <v>47.5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43" zoomScale="70" zoomScaleNormal="100" zoomScaleSheetLayoutView="70" workbookViewId="0">
      <selection activeCell="J53" sqref="J53"/>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04" t="str">
        <f>'5. анализ эконом эфф'!A5</f>
        <v>Год раскрытия информации: 2023 год</v>
      </c>
      <c r="B5" s="404"/>
      <c r="C5" s="404"/>
      <c r="D5" s="404"/>
      <c r="E5" s="404"/>
      <c r="F5" s="404"/>
      <c r="G5" s="404"/>
      <c r="H5" s="404"/>
      <c r="I5" s="404"/>
      <c r="J5" s="404"/>
      <c r="K5" s="404"/>
    </row>
    <row r="6" spans="1:11" ht="15.75" x14ac:dyDescent="0.25">
      <c r="A6" s="16"/>
      <c r="B6" s="16"/>
      <c r="C6" s="51"/>
      <c r="D6" s="51"/>
      <c r="E6" s="51"/>
      <c r="F6" s="51"/>
      <c r="G6" s="51"/>
      <c r="H6" s="51"/>
      <c r="I6" s="51"/>
      <c r="J6" s="16"/>
      <c r="K6" s="16"/>
    </row>
    <row r="7" spans="1:11" ht="18.75" x14ac:dyDescent="0.25">
      <c r="A7" s="485" t="s">
        <v>7</v>
      </c>
      <c r="B7" s="485"/>
      <c r="C7" s="485"/>
      <c r="D7" s="485"/>
      <c r="E7" s="485"/>
      <c r="F7" s="485"/>
      <c r="G7" s="485"/>
      <c r="H7" s="485"/>
      <c r="I7" s="485"/>
      <c r="J7" s="485"/>
      <c r="K7" s="485"/>
    </row>
    <row r="8" spans="1:11" ht="18.75" x14ac:dyDescent="0.25">
      <c r="A8" s="485"/>
      <c r="B8" s="485"/>
      <c r="C8" s="485"/>
      <c r="D8" s="485"/>
      <c r="E8" s="485"/>
      <c r="F8" s="485"/>
      <c r="G8" s="485"/>
      <c r="H8" s="485"/>
      <c r="I8" s="485"/>
      <c r="J8" s="485"/>
      <c r="K8" s="485"/>
    </row>
    <row r="9" spans="1:11" ht="15.75" x14ac:dyDescent="0.25">
      <c r="A9" s="486" t="str">
        <f>'5. анализ эконом эфф'!A9</f>
        <v>Акционерное общество "Россети Янтарь"</v>
      </c>
      <c r="B9" s="486"/>
      <c r="C9" s="486"/>
      <c r="D9" s="486"/>
      <c r="E9" s="486"/>
      <c r="F9" s="486"/>
      <c r="G9" s="486"/>
      <c r="H9" s="486"/>
      <c r="I9" s="486"/>
      <c r="J9" s="486"/>
      <c r="K9" s="486"/>
    </row>
    <row r="10" spans="1:11" ht="15.75" x14ac:dyDescent="0.25">
      <c r="A10" s="472" t="s">
        <v>6</v>
      </c>
      <c r="B10" s="472"/>
      <c r="C10" s="472"/>
      <c r="D10" s="472"/>
      <c r="E10" s="472"/>
      <c r="F10" s="472"/>
      <c r="G10" s="472"/>
      <c r="H10" s="472"/>
      <c r="I10" s="472"/>
      <c r="J10" s="472"/>
      <c r="K10" s="472"/>
    </row>
    <row r="11" spans="1:11" ht="18.75" x14ac:dyDescent="0.25">
      <c r="A11" s="485"/>
      <c r="B11" s="485"/>
      <c r="C11" s="485"/>
      <c r="D11" s="485"/>
      <c r="E11" s="485"/>
      <c r="F11" s="485"/>
      <c r="G11" s="485"/>
      <c r="H11" s="485"/>
      <c r="I11" s="485"/>
      <c r="J11" s="485"/>
      <c r="K11" s="485"/>
    </row>
    <row r="12" spans="1:11" ht="15.75" x14ac:dyDescent="0.25">
      <c r="A12" s="486" t="str">
        <f>'5. анализ эконом эфф'!A12</f>
        <v>M_21-0733</v>
      </c>
      <c r="B12" s="486"/>
      <c r="C12" s="486"/>
      <c r="D12" s="486"/>
      <c r="E12" s="486"/>
      <c r="F12" s="486"/>
      <c r="G12" s="486"/>
      <c r="H12" s="486"/>
      <c r="I12" s="486"/>
      <c r="J12" s="486"/>
      <c r="K12" s="486"/>
    </row>
    <row r="13" spans="1:11" ht="15.75" x14ac:dyDescent="0.25">
      <c r="A13" s="472" t="s">
        <v>5</v>
      </c>
      <c r="B13" s="472"/>
      <c r="C13" s="472"/>
      <c r="D13" s="472"/>
      <c r="E13" s="472"/>
      <c r="F13" s="472"/>
      <c r="G13" s="472"/>
      <c r="H13" s="472"/>
      <c r="I13" s="472"/>
      <c r="J13" s="472"/>
      <c r="K13" s="472"/>
    </row>
    <row r="14" spans="1:11" ht="18.75" x14ac:dyDescent="0.25">
      <c r="A14" s="417"/>
      <c r="B14" s="417"/>
      <c r="C14" s="417"/>
      <c r="D14" s="417"/>
      <c r="E14" s="417"/>
      <c r="F14" s="417"/>
      <c r="G14" s="417"/>
      <c r="H14" s="417"/>
      <c r="I14" s="417"/>
      <c r="J14" s="417"/>
      <c r="K14" s="417"/>
    </row>
    <row r="15" spans="1:11" ht="15.75" x14ac:dyDescent="0.25">
      <c r="A15" s="473" t="str">
        <f>'5. анализ эконом эфф'!A15</f>
        <v>Строительство ТП 15/0,4 кВ, ЛЭП 15 кВ от ВЛ 15-141 (инв. № 5114675), организация системы учета электроэнергии в п. Кумачево, ул. Березовая Гурьевского района</v>
      </c>
      <c r="B15" s="473"/>
      <c r="C15" s="473"/>
      <c r="D15" s="473"/>
      <c r="E15" s="473"/>
      <c r="F15" s="473"/>
      <c r="G15" s="473"/>
      <c r="H15" s="473"/>
      <c r="I15" s="473"/>
      <c r="J15" s="473"/>
      <c r="K15" s="473"/>
    </row>
    <row r="16" spans="1:11" ht="15.75" x14ac:dyDescent="0.25">
      <c r="A16" s="472" t="s">
        <v>4</v>
      </c>
      <c r="B16" s="472"/>
      <c r="C16" s="472"/>
      <c r="D16" s="472"/>
      <c r="E16" s="472"/>
      <c r="F16" s="472"/>
      <c r="G16" s="472"/>
      <c r="H16" s="472"/>
      <c r="I16" s="472"/>
      <c r="J16" s="472"/>
      <c r="K16" s="47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0" t="s">
        <v>358</v>
      </c>
      <c r="B19" s="480"/>
      <c r="C19" s="480"/>
      <c r="D19" s="480"/>
      <c r="E19" s="480"/>
      <c r="F19" s="480"/>
      <c r="G19" s="480"/>
      <c r="H19" s="480"/>
      <c r="I19" s="480"/>
      <c r="J19" s="480"/>
      <c r="K19" s="480"/>
    </row>
    <row r="20" spans="1:12" ht="15.75" x14ac:dyDescent="0.25">
      <c r="A20" s="52"/>
      <c r="K20" s="51"/>
    </row>
    <row r="21" spans="1:12" ht="15.75" x14ac:dyDescent="0.25">
      <c r="A21" s="474" t="s">
        <v>193</v>
      </c>
      <c r="B21" s="474" t="s">
        <v>398</v>
      </c>
      <c r="C21" s="474" t="s">
        <v>403</v>
      </c>
      <c r="D21" s="474"/>
      <c r="E21" s="474"/>
      <c r="F21" s="474"/>
      <c r="G21" s="474"/>
      <c r="H21" s="474"/>
      <c r="I21" s="475" t="s">
        <v>192</v>
      </c>
      <c r="J21" s="476" t="s">
        <v>404</v>
      </c>
      <c r="K21" s="474" t="s">
        <v>191</v>
      </c>
      <c r="L21" s="471" t="s">
        <v>466</v>
      </c>
    </row>
    <row r="22" spans="1:12" ht="32.25" customHeight="1" x14ac:dyDescent="0.25">
      <c r="A22" s="474"/>
      <c r="B22" s="474"/>
      <c r="C22" s="479" t="s">
        <v>2</v>
      </c>
      <c r="D22" s="479"/>
      <c r="E22" s="483" t="s">
        <v>9</v>
      </c>
      <c r="F22" s="484"/>
      <c r="G22" s="481" t="s">
        <v>465</v>
      </c>
      <c r="H22" s="482"/>
      <c r="I22" s="475"/>
      <c r="J22" s="477"/>
      <c r="K22" s="474"/>
      <c r="L22" s="471"/>
    </row>
    <row r="23" spans="1:12" ht="31.5" x14ac:dyDescent="0.25">
      <c r="A23" s="474"/>
      <c r="B23" s="474"/>
      <c r="C23" s="137" t="s">
        <v>190</v>
      </c>
      <c r="D23" s="137" t="s">
        <v>189</v>
      </c>
      <c r="E23" s="137" t="s">
        <v>190</v>
      </c>
      <c r="F23" s="137" t="s">
        <v>189</v>
      </c>
      <c r="G23" s="137" t="s">
        <v>190</v>
      </c>
      <c r="H23" s="137" t="s">
        <v>189</v>
      </c>
      <c r="I23" s="475"/>
      <c r="J23" s="478"/>
      <c r="K23" s="474"/>
      <c r="L23" s="471"/>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396">
        <v>1</v>
      </c>
      <c r="B25" s="397" t="s">
        <v>188</v>
      </c>
      <c r="C25" s="148"/>
      <c r="D25" s="138"/>
      <c r="E25" s="138"/>
      <c r="F25" s="138"/>
      <c r="G25" s="138"/>
      <c r="H25" s="148"/>
      <c r="I25" s="148"/>
      <c r="J25" s="140"/>
      <c r="K25" s="141"/>
      <c r="L25" s="142"/>
    </row>
    <row r="26" spans="1:12" ht="15.75" x14ac:dyDescent="0.25">
      <c r="A26" s="396" t="s">
        <v>405</v>
      </c>
      <c r="B26" s="398" t="s">
        <v>406</v>
      </c>
      <c r="C26" s="157" t="s">
        <v>471</v>
      </c>
      <c r="D26" s="158" t="s">
        <v>471</v>
      </c>
      <c r="E26" s="158">
        <v>44298</v>
      </c>
      <c r="F26" s="158">
        <v>44298</v>
      </c>
      <c r="G26" s="158"/>
      <c r="H26" s="158"/>
      <c r="I26" s="322">
        <v>100</v>
      </c>
      <c r="J26" s="322"/>
      <c r="K26" s="141"/>
      <c r="L26" s="141"/>
    </row>
    <row r="27" spans="1:12" ht="31.5" x14ac:dyDescent="0.25">
      <c r="A27" s="396" t="s">
        <v>408</v>
      </c>
      <c r="B27" s="398" t="s">
        <v>409</v>
      </c>
      <c r="C27" s="157" t="s">
        <v>471</v>
      </c>
      <c r="D27" s="158" t="s">
        <v>471</v>
      </c>
      <c r="E27" s="158" t="s">
        <v>407</v>
      </c>
      <c r="F27" s="158" t="s">
        <v>407</v>
      </c>
      <c r="G27" s="158"/>
      <c r="H27" s="158"/>
      <c r="I27" s="322"/>
      <c r="J27" s="322"/>
      <c r="K27" s="141"/>
      <c r="L27" s="141"/>
    </row>
    <row r="28" spans="1:12" ht="47.25" x14ac:dyDescent="0.25">
      <c r="A28" s="396" t="s">
        <v>638</v>
      </c>
      <c r="B28" s="398" t="s">
        <v>410</v>
      </c>
      <c r="C28" s="157" t="s">
        <v>471</v>
      </c>
      <c r="D28" s="158" t="s">
        <v>471</v>
      </c>
      <c r="E28" s="158" t="s">
        <v>407</v>
      </c>
      <c r="F28" s="158" t="s">
        <v>407</v>
      </c>
      <c r="G28" s="158"/>
      <c r="H28" s="158"/>
      <c r="I28" s="322"/>
      <c r="J28" s="322"/>
      <c r="K28" s="141"/>
      <c r="L28" s="141"/>
    </row>
    <row r="29" spans="1:12" ht="31.5" x14ac:dyDescent="0.25">
      <c r="A29" s="396" t="s">
        <v>411</v>
      </c>
      <c r="B29" s="398" t="s">
        <v>412</v>
      </c>
      <c r="C29" s="157" t="s">
        <v>471</v>
      </c>
      <c r="D29" s="158" t="s">
        <v>471</v>
      </c>
      <c r="E29" s="158" t="s">
        <v>407</v>
      </c>
      <c r="F29" s="158" t="s">
        <v>407</v>
      </c>
      <c r="G29" s="158"/>
      <c r="H29" s="158"/>
      <c r="I29" s="322"/>
      <c r="J29" s="322"/>
      <c r="K29" s="141"/>
      <c r="L29" s="141"/>
    </row>
    <row r="30" spans="1:12" ht="31.5" x14ac:dyDescent="0.25">
      <c r="A30" s="396" t="s">
        <v>413</v>
      </c>
      <c r="B30" s="398" t="s">
        <v>414</v>
      </c>
      <c r="C30" s="157" t="s">
        <v>471</v>
      </c>
      <c r="D30" s="158" t="s">
        <v>471</v>
      </c>
      <c r="E30" s="158" t="s">
        <v>407</v>
      </c>
      <c r="F30" s="158" t="s">
        <v>407</v>
      </c>
      <c r="G30" s="158"/>
      <c r="H30" s="158"/>
      <c r="I30" s="322"/>
      <c r="J30" s="322"/>
      <c r="K30" s="141"/>
      <c r="L30" s="141"/>
    </row>
    <row r="31" spans="1:12" ht="31.5" x14ac:dyDescent="0.25">
      <c r="A31" s="396" t="s">
        <v>415</v>
      </c>
      <c r="B31" s="399" t="s">
        <v>322</v>
      </c>
      <c r="C31" s="157" t="s">
        <v>471</v>
      </c>
      <c r="D31" s="158" t="s">
        <v>471</v>
      </c>
      <c r="E31" s="158">
        <v>44614</v>
      </c>
      <c r="F31" s="158">
        <v>44614</v>
      </c>
      <c r="G31" s="158"/>
      <c r="H31" s="158"/>
      <c r="I31" s="322">
        <v>100</v>
      </c>
      <c r="J31" s="322"/>
      <c r="K31" s="141"/>
      <c r="L31" s="141"/>
    </row>
    <row r="32" spans="1:12" ht="31.5" x14ac:dyDescent="0.25">
      <c r="A32" s="396" t="s">
        <v>416</v>
      </c>
      <c r="B32" s="399" t="s">
        <v>417</v>
      </c>
      <c r="C32" s="157" t="s">
        <v>471</v>
      </c>
      <c r="D32" s="158" t="s">
        <v>471</v>
      </c>
      <c r="E32" s="158">
        <v>44893</v>
      </c>
      <c r="F32" s="158">
        <v>44893</v>
      </c>
      <c r="G32" s="158"/>
      <c r="H32" s="158"/>
      <c r="I32" s="322">
        <v>100</v>
      </c>
      <c r="J32" s="322"/>
      <c r="K32" s="141"/>
      <c r="L32" s="141"/>
    </row>
    <row r="33" spans="1:12" ht="47.25" x14ac:dyDescent="0.25">
      <c r="A33" s="396" t="s">
        <v>418</v>
      </c>
      <c r="B33" s="399" t="s">
        <v>419</v>
      </c>
      <c r="C33" s="157" t="s">
        <v>471</v>
      </c>
      <c r="D33" s="158" t="s">
        <v>471</v>
      </c>
      <c r="E33" s="158" t="s">
        <v>407</v>
      </c>
      <c r="F33" s="158" t="s">
        <v>407</v>
      </c>
      <c r="G33" s="158"/>
      <c r="H33" s="158"/>
      <c r="I33" s="322"/>
      <c r="J33" s="322"/>
      <c r="K33" s="141"/>
      <c r="L33" s="141"/>
    </row>
    <row r="34" spans="1:12" ht="63" x14ac:dyDescent="0.25">
      <c r="A34" s="396" t="s">
        <v>420</v>
      </c>
      <c r="B34" s="399" t="s">
        <v>421</v>
      </c>
      <c r="C34" s="157" t="s">
        <v>471</v>
      </c>
      <c r="D34" s="158" t="s">
        <v>471</v>
      </c>
      <c r="E34" s="158" t="s">
        <v>407</v>
      </c>
      <c r="F34" s="158" t="s">
        <v>407</v>
      </c>
      <c r="G34" s="158"/>
      <c r="H34" s="158"/>
      <c r="I34" s="322"/>
      <c r="J34" s="322"/>
      <c r="K34" s="143"/>
      <c r="L34" s="141"/>
    </row>
    <row r="35" spans="1:12" ht="31.5" x14ac:dyDescent="0.25">
      <c r="A35" s="396" t="s">
        <v>422</v>
      </c>
      <c r="B35" s="399" t="s">
        <v>187</v>
      </c>
      <c r="C35" s="157" t="s">
        <v>471</v>
      </c>
      <c r="D35" s="158" t="s">
        <v>471</v>
      </c>
      <c r="E35" s="158">
        <v>44903</v>
      </c>
      <c r="F35" s="158">
        <v>44903</v>
      </c>
      <c r="G35" s="158"/>
      <c r="H35" s="158"/>
      <c r="I35" s="322">
        <v>100</v>
      </c>
      <c r="J35" s="322"/>
      <c r="K35" s="143"/>
      <c r="L35" s="141"/>
    </row>
    <row r="36" spans="1:12" ht="31.5" x14ac:dyDescent="0.25">
      <c r="A36" s="396" t="s">
        <v>423</v>
      </c>
      <c r="B36" s="399" t="s">
        <v>424</v>
      </c>
      <c r="C36" s="157" t="s">
        <v>471</v>
      </c>
      <c r="D36" s="158" t="s">
        <v>471</v>
      </c>
      <c r="E36" s="158" t="s">
        <v>407</v>
      </c>
      <c r="F36" s="158" t="s">
        <v>407</v>
      </c>
      <c r="G36" s="158"/>
      <c r="H36" s="158"/>
      <c r="I36" s="322"/>
      <c r="J36" s="322"/>
      <c r="K36" s="144"/>
      <c r="L36" s="141"/>
    </row>
    <row r="37" spans="1:12" ht="15.75" x14ac:dyDescent="0.25">
      <c r="A37" s="396" t="s">
        <v>425</v>
      </c>
      <c r="B37" s="399" t="s">
        <v>186</v>
      </c>
      <c r="C37" s="157" t="s">
        <v>471</v>
      </c>
      <c r="D37" s="158" t="s">
        <v>471</v>
      </c>
      <c r="E37" s="158">
        <v>44893</v>
      </c>
      <c r="F37" s="158">
        <v>44893</v>
      </c>
      <c r="G37" s="158"/>
      <c r="H37" s="158"/>
      <c r="I37" s="322">
        <v>100</v>
      </c>
      <c r="J37" s="322"/>
      <c r="K37" s="144"/>
      <c r="L37" s="141"/>
    </row>
    <row r="38" spans="1:12" ht="15.75" x14ac:dyDescent="0.25">
      <c r="A38" s="396" t="s">
        <v>426</v>
      </c>
      <c r="B38" s="397" t="s">
        <v>185</v>
      </c>
      <c r="C38" s="157" t="s">
        <v>471</v>
      </c>
      <c r="D38" s="158" t="s">
        <v>471</v>
      </c>
      <c r="E38" s="158"/>
      <c r="F38" s="158"/>
      <c r="G38" s="158"/>
      <c r="H38" s="158"/>
      <c r="I38" s="322"/>
      <c r="J38" s="322"/>
      <c r="K38" s="141"/>
      <c r="L38" s="141"/>
    </row>
    <row r="39" spans="1:12" ht="63" x14ac:dyDescent="0.25">
      <c r="A39" s="396">
        <v>2</v>
      </c>
      <c r="B39" s="399" t="s">
        <v>427</v>
      </c>
      <c r="C39" s="157" t="s">
        <v>471</v>
      </c>
      <c r="D39" s="158" t="s">
        <v>471</v>
      </c>
      <c r="E39" s="158">
        <v>44614</v>
      </c>
      <c r="F39" s="158">
        <v>44614</v>
      </c>
      <c r="G39" s="158"/>
      <c r="H39" s="158"/>
      <c r="I39" s="322">
        <v>100</v>
      </c>
      <c r="J39" s="322"/>
      <c r="K39" s="141"/>
      <c r="L39" s="141"/>
    </row>
    <row r="40" spans="1:12" ht="15.75" x14ac:dyDescent="0.25">
      <c r="A40" s="396" t="s">
        <v>428</v>
      </c>
      <c r="B40" s="399" t="s">
        <v>429</v>
      </c>
      <c r="C40" s="157" t="s">
        <v>471</v>
      </c>
      <c r="D40" s="158" t="s">
        <v>471</v>
      </c>
      <c r="E40" s="158" t="s">
        <v>407</v>
      </c>
      <c r="F40" s="158" t="s">
        <v>407</v>
      </c>
      <c r="G40" s="158"/>
      <c r="H40" s="159"/>
      <c r="I40" s="322"/>
      <c r="J40" s="322"/>
      <c r="K40" s="141"/>
      <c r="L40" s="141"/>
    </row>
    <row r="41" spans="1:12" ht="47.25" x14ac:dyDescent="0.25">
      <c r="A41" s="396" t="s">
        <v>430</v>
      </c>
      <c r="B41" s="397" t="s">
        <v>431</v>
      </c>
      <c r="C41" s="157" t="s">
        <v>471</v>
      </c>
      <c r="D41" s="158" t="s">
        <v>471</v>
      </c>
      <c r="E41" s="158"/>
      <c r="F41" s="321"/>
      <c r="G41" s="158"/>
      <c r="H41" s="160"/>
      <c r="I41" s="322"/>
      <c r="J41" s="322"/>
      <c r="K41" s="141"/>
      <c r="L41" s="141"/>
    </row>
    <row r="42" spans="1:12" ht="31.5" x14ac:dyDescent="0.25">
      <c r="A42" s="396">
        <v>3</v>
      </c>
      <c r="B42" s="399" t="s">
        <v>432</v>
      </c>
      <c r="C42" s="157" t="s">
        <v>471</v>
      </c>
      <c r="D42" s="158" t="s">
        <v>471</v>
      </c>
      <c r="E42" s="158" t="s">
        <v>407</v>
      </c>
      <c r="F42" s="158" t="s">
        <v>407</v>
      </c>
      <c r="G42" s="158"/>
      <c r="H42" s="158"/>
      <c r="I42" s="322"/>
      <c r="J42" s="322"/>
      <c r="K42" s="141"/>
      <c r="L42" s="141"/>
    </row>
    <row r="43" spans="1:12" ht="15.75" x14ac:dyDescent="0.25">
      <c r="A43" s="396" t="s">
        <v>433</v>
      </c>
      <c r="B43" s="399" t="s">
        <v>184</v>
      </c>
      <c r="C43" s="157" t="s">
        <v>471</v>
      </c>
      <c r="D43" s="158" t="s">
        <v>471</v>
      </c>
      <c r="E43" s="158" t="s">
        <v>407</v>
      </c>
      <c r="F43" s="158" t="s">
        <v>407</v>
      </c>
      <c r="G43" s="158"/>
      <c r="H43" s="158"/>
      <c r="I43" s="322"/>
      <c r="J43" s="322"/>
      <c r="K43" s="141"/>
      <c r="L43" s="141"/>
    </row>
    <row r="44" spans="1:12" ht="15.75" x14ac:dyDescent="0.25">
      <c r="A44" s="396" t="s">
        <v>434</v>
      </c>
      <c r="B44" s="399" t="s">
        <v>435</v>
      </c>
      <c r="C44" s="157" t="s">
        <v>471</v>
      </c>
      <c r="D44" s="158" t="s">
        <v>471</v>
      </c>
      <c r="E44" s="158"/>
      <c r="F44" s="158"/>
      <c r="G44" s="158"/>
      <c r="H44" s="158"/>
      <c r="I44" s="322"/>
      <c r="J44" s="322"/>
      <c r="K44" s="141"/>
      <c r="L44" s="141"/>
    </row>
    <row r="45" spans="1:12" ht="78.75" x14ac:dyDescent="0.25">
      <c r="A45" s="396" t="s">
        <v>436</v>
      </c>
      <c r="B45" s="399" t="s">
        <v>437</v>
      </c>
      <c r="C45" s="157" t="s">
        <v>471</v>
      </c>
      <c r="D45" s="158" t="s">
        <v>471</v>
      </c>
      <c r="E45" s="158" t="s">
        <v>407</v>
      </c>
      <c r="F45" s="158" t="s">
        <v>407</v>
      </c>
      <c r="G45" s="158"/>
      <c r="H45" s="158"/>
      <c r="I45" s="322"/>
      <c r="J45" s="322"/>
      <c r="K45" s="141"/>
      <c r="L45" s="141"/>
    </row>
    <row r="46" spans="1:12" ht="157.5" x14ac:dyDescent="0.25">
      <c r="A46" s="396" t="s">
        <v>438</v>
      </c>
      <c r="B46" s="399" t="s">
        <v>439</v>
      </c>
      <c r="C46" s="157" t="s">
        <v>471</v>
      </c>
      <c r="D46" s="158" t="s">
        <v>471</v>
      </c>
      <c r="E46" s="158" t="s">
        <v>407</v>
      </c>
      <c r="F46" s="158" t="s">
        <v>407</v>
      </c>
      <c r="G46" s="158"/>
      <c r="H46" s="158"/>
      <c r="I46" s="322"/>
      <c r="J46" s="322"/>
      <c r="K46" s="141"/>
      <c r="L46" s="141"/>
    </row>
    <row r="47" spans="1:12" ht="15.75" x14ac:dyDescent="0.25">
      <c r="A47" s="396" t="s">
        <v>440</v>
      </c>
      <c r="B47" s="399" t="s">
        <v>441</v>
      </c>
      <c r="C47" s="157" t="s">
        <v>471</v>
      </c>
      <c r="D47" s="158" t="s">
        <v>471</v>
      </c>
      <c r="E47" s="158">
        <v>44922</v>
      </c>
      <c r="F47" s="158">
        <v>44925</v>
      </c>
      <c r="G47" s="158"/>
      <c r="H47" s="158"/>
      <c r="I47" s="322">
        <v>100</v>
      </c>
      <c r="J47" s="322"/>
      <c r="K47" s="141"/>
      <c r="L47" s="141"/>
    </row>
    <row r="48" spans="1:12" ht="15.75" x14ac:dyDescent="0.25">
      <c r="A48" s="396" t="s">
        <v>639</v>
      </c>
      <c r="B48" s="397" t="s">
        <v>183</v>
      </c>
      <c r="C48" s="157" t="s">
        <v>471</v>
      </c>
      <c r="D48" s="158" t="s">
        <v>471</v>
      </c>
      <c r="E48" s="158"/>
      <c r="F48" s="321"/>
      <c r="G48" s="158"/>
      <c r="H48" s="160"/>
      <c r="I48" s="322"/>
      <c r="J48" s="322"/>
      <c r="K48" s="141"/>
      <c r="L48" s="141"/>
    </row>
    <row r="49" spans="1:12" ht="31.5" x14ac:dyDescent="0.25">
      <c r="A49" s="396">
        <v>4</v>
      </c>
      <c r="B49" s="399" t="s">
        <v>182</v>
      </c>
      <c r="C49" s="157" t="s">
        <v>471</v>
      </c>
      <c r="D49" s="158" t="s">
        <v>471</v>
      </c>
      <c r="E49" s="158">
        <v>44922</v>
      </c>
      <c r="F49" s="158">
        <v>44925</v>
      </c>
      <c r="G49" s="158"/>
      <c r="H49" s="158"/>
      <c r="I49" s="322">
        <v>100</v>
      </c>
      <c r="J49" s="322"/>
      <c r="K49" s="141"/>
      <c r="L49" s="141"/>
    </row>
    <row r="50" spans="1:12" ht="78.75" x14ac:dyDescent="0.25">
      <c r="A50" s="396" t="s">
        <v>640</v>
      </c>
      <c r="B50" s="399" t="s">
        <v>442</v>
      </c>
      <c r="C50" s="157" t="s">
        <v>471</v>
      </c>
      <c r="D50" s="158" t="s">
        <v>471</v>
      </c>
      <c r="E50" s="158">
        <v>44926</v>
      </c>
      <c r="F50" s="158">
        <v>44926</v>
      </c>
      <c r="G50" s="158"/>
      <c r="H50" s="158"/>
      <c r="I50" s="322">
        <v>100</v>
      </c>
      <c r="J50" s="322"/>
      <c r="K50" s="141"/>
      <c r="L50" s="141"/>
    </row>
    <row r="51" spans="1:12" ht="63" x14ac:dyDescent="0.25">
      <c r="A51" s="396" t="s">
        <v>443</v>
      </c>
      <c r="B51" s="399" t="s">
        <v>444</v>
      </c>
      <c r="C51" s="157" t="s">
        <v>471</v>
      </c>
      <c r="D51" s="158" t="s">
        <v>471</v>
      </c>
      <c r="E51" s="158" t="s">
        <v>407</v>
      </c>
      <c r="F51" s="158" t="s">
        <v>407</v>
      </c>
      <c r="G51" s="158"/>
      <c r="H51" s="158"/>
      <c r="I51" s="322"/>
      <c r="J51" s="322"/>
      <c r="K51" s="141"/>
      <c r="L51" s="141"/>
    </row>
    <row r="52" spans="1:12" ht="63" x14ac:dyDescent="0.25">
      <c r="A52" s="396" t="s">
        <v>445</v>
      </c>
      <c r="B52" s="399" t="s">
        <v>446</v>
      </c>
      <c r="C52" s="157" t="s">
        <v>471</v>
      </c>
      <c r="D52" s="158" t="s">
        <v>471</v>
      </c>
      <c r="E52" s="158">
        <v>44925</v>
      </c>
      <c r="F52" s="158">
        <v>44925</v>
      </c>
      <c r="G52" s="158"/>
      <c r="H52" s="158"/>
      <c r="I52" s="322">
        <v>100</v>
      </c>
      <c r="J52" s="322"/>
      <c r="K52" s="141"/>
      <c r="L52" s="141"/>
    </row>
    <row r="53" spans="1:12" ht="31.5" x14ac:dyDescent="0.25">
      <c r="A53" s="396" t="s">
        <v>447</v>
      </c>
      <c r="B53" s="400" t="s">
        <v>448</v>
      </c>
      <c r="C53" s="157" t="s">
        <v>471</v>
      </c>
      <c r="D53" s="158" t="s">
        <v>471</v>
      </c>
      <c r="E53" s="158">
        <v>44926</v>
      </c>
      <c r="F53" s="158">
        <v>44926</v>
      </c>
      <c r="G53" s="158"/>
      <c r="H53" s="158"/>
      <c r="I53" s="322">
        <v>100</v>
      </c>
      <c r="J53" s="322"/>
      <c r="K53" s="141"/>
      <c r="L53" s="141"/>
    </row>
    <row r="54" spans="1:12" ht="31.5" x14ac:dyDescent="0.25">
      <c r="A54" s="396" t="s">
        <v>449</v>
      </c>
      <c r="B54" s="399" t="s">
        <v>450</v>
      </c>
      <c r="C54" s="157" t="s">
        <v>471</v>
      </c>
      <c r="D54" s="158" t="s">
        <v>471</v>
      </c>
      <c r="E54" s="158" t="s">
        <v>407</v>
      </c>
      <c r="F54" s="158" t="s">
        <v>407</v>
      </c>
      <c r="G54" s="158"/>
      <c r="H54" s="158"/>
      <c r="I54" s="322"/>
      <c r="J54" s="322"/>
      <c r="K54" s="141"/>
      <c r="L54" s="141"/>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2023-05-02T09:29:51Z</dcterms:modified>
</cp:coreProperties>
</file>