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сведения'!$A$1:$B$155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121" i="25" l="1"/>
  <c r="B117" i="25"/>
  <c r="B75" i="25"/>
  <c r="B71" i="25"/>
  <c r="B67" i="25"/>
  <c r="B116" i="25" l="1"/>
  <c r="B122" i="23"/>
  <c r="F36" i="24" l="1"/>
  <c r="F34" i="24"/>
  <c r="F33" i="24"/>
  <c r="AD26" i="5" l="1"/>
  <c r="AE26" i="5" s="1"/>
  <c r="N30" i="15" l="1"/>
  <c r="O30" i="15"/>
  <c r="M30" i="15"/>
  <c r="K30" i="15"/>
  <c r="J30" i="15"/>
  <c r="O24" i="15"/>
  <c r="N24" i="15"/>
  <c r="M24" i="15"/>
  <c r="K24" i="15"/>
  <c r="J24" i="15"/>
  <c r="C26" i="14"/>
  <c r="C25" i="14"/>
  <c r="Q27" i="14"/>
  <c r="R27"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47" i="23"/>
  <c r="B45" i="23"/>
  <c r="B44" i="23"/>
  <c r="B27" i="23"/>
  <c r="K48" i="23" l="1"/>
  <c r="AA48" i="23"/>
  <c r="C48" i="23"/>
  <c r="S48" i="23"/>
  <c r="AI48" i="23"/>
  <c r="G48" i="23"/>
  <c r="O48" i="23"/>
  <c r="W48" i="23"/>
  <c r="AE48" i="23"/>
  <c r="AM48" i="23"/>
  <c r="F140" i="23"/>
  <c r="F141" i="23" s="1"/>
  <c r="E48" i="23"/>
  <c r="I48" i="23"/>
  <c r="M48" i="23"/>
  <c r="Q48" i="23"/>
  <c r="U48" i="23"/>
  <c r="Y48" i="23"/>
  <c r="AC48" i="23"/>
  <c r="AG48" i="23"/>
  <c r="AK48" i="23"/>
  <c r="AO48" i="23"/>
  <c r="B46" i="23"/>
  <c r="B48" i="23"/>
  <c r="D48" i="23"/>
  <c r="F48" i="23"/>
  <c r="H48" i="23"/>
  <c r="J48" i="23"/>
  <c r="L48" i="23"/>
  <c r="N48" i="23"/>
  <c r="P48" i="23"/>
  <c r="R48" i="23"/>
  <c r="T48" i="23"/>
  <c r="V48" i="23"/>
  <c r="X48" i="23"/>
  <c r="Z48" i="23"/>
  <c r="AB48" i="23"/>
  <c r="AD48" i="23"/>
  <c r="AF48" i="23"/>
  <c r="AH48" i="23"/>
  <c r="AJ48" i="23"/>
  <c r="AL48" i="23"/>
  <c r="AN48" i="23"/>
  <c r="AP48" i="23"/>
  <c r="B81" i="23"/>
  <c r="AQ81" i="23" s="1"/>
  <c r="B50" i="23"/>
  <c r="B59" i="23" s="1"/>
  <c r="B29" i="23"/>
  <c r="D58" i="23"/>
  <c r="C52" i="23"/>
  <c r="C47" i="23"/>
  <c r="C74" i="23"/>
  <c r="G137" i="23"/>
  <c r="H137" i="23" s="1"/>
  <c r="G140" i="23" l="1"/>
  <c r="G141" i="23" s="1"/>
  <c r="B79" i="23"/>
  <c r="B80" i="23"/>
  <c r="B66" i="23"/>
  <c r="B68" i="23" s="1"/>
  <c r="B75" i="23" s="1"/>
  <c r="D74" i="23"/>
  <c r="E58" i="23"/>
  <c r="D47" i="23"/>
  <c r="D52" i="23"/>
  <c r="H140" i="23"/>
  <c r="H141" i="23" s="1"/>
  <c r="B73" i="23" s="1"/>
  <c r="B85" i="23" s="1"/>
  <c r="B99" i="23" s="1"/>
  <c r="I137" i="23"/>
  <c r="B49" i="23"/>
  <c r="E47" i="23" l="1"/>
  <c r="E52" i="23"/>
  <c r="F58" i="23"/>
  <c r="E74" i="23"/>
  <c r="J137" i="23"/>
  <c r="C49" i="23"/>
  <c r="I140" i="23"/>
  <c r="I141" i="23" s="1"/>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s="1"/>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s="1"/>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s="1"/>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s="1"/>
  <c r="W73" i="23" s="1"/>
  <c r="W85" i="23" s="1"/>
  <c r="W99" i="23" s="1"/>
  <c r="AD137" i="23"/>
  <c r="W49" i="23"/>
  <c r="AD140" i="23" l="1"/>
  <c r="AD141" i="23" s="1"/>
  <c r="X73" i="23" s="1"/>
  <c r="X85" i="23" s="1"/>
  <c r="X99" i="23" s="1"/>
  <c r="AE137" i="23"/>
  <c r="X49" i="23"/>
  <c r="W61" i="23"/>
  <c r="W60" i="23" s="1"/>
  <c r="Z74" i="23"/>
  <c r="Z47" i="23"/>
  <c r="Z52" i="23"/>
  <c r="AA58" i="23"/>
  <c r="X61" i="23" l="1"/>
  <c r="X60" i="23" s="1"/>
  <c r="AF137" i="23"/>
  <c r="Y49" i="23"/>
  <c r="AE140" i="23"/>
  <c r="AE141" i="23" s="1"/>
  <c r="Y73" i="23" s="1"/>
  <c r="Y85" i="23" s="1"/>
  <c r="Y99" i="23" s="1"/>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s="1"/>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s="1"/>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s="1"/>
  <c r="AP73" i="23" s="1"/>
  <c r="AP85" i="23" s="1"/>
  <c r="AP99" i="23" s="1"/>
  <c r="AW137" i="23"/>
  <c r="AX137" i="23" s="1"/>
  <c r="AY137" i="23" s="1"/>
  <c r="AP49" i="23"/>
  <c r="AU141" i="23"/>
  <c r="AO73" i="23" s="1"/>
  <c r="AO85" i="23" s="1"/>
  <c r="AO99" i="23" s="1"/>
  <c r="AQ99" i="23" l="1"/>
  <c r="A100" i="23" s="1"/>
  <c r="AW140" i="23"/>
  <c r="AW141" i="23" s="1"/>
  <c r="AP61" i="23"/>
  <c r="AP60" i="23" s="1"/>
  <c r="AX140" i="23" l="1"/>
  <c r="AY140" i="23" l="1"/>
  <c r="AY141" i="23" s="1"/>
  <c r="AX141" i="23"/>
  <c r="B132" i="25" l="1"/>
  <c r="B130" i="25"/>
  <c r="I26" i="5" l="1"/>
  <c r="C27" i="6"/>
  <c r="O25" i="13" l="1"/>
  <c r="D117" i="23" l="1"/>
  <c r="G26" i="5"/>
  <c r="H23" i="12"/>
  <c r="C40" i="7" s="1"/>
  <c r="J23" i="12"/>
  <c r="G118" i="23" l="1"/>
  <c r="D118" i="23"/>
  <c r="C23" i="6"/>
  <c r="B27" i="25"/>
  <c r="B122" i="25" s="1"/>
  <c r="B84" i="25" l="1"/>
  <c r="B76" i="25"/>
  <c r="B88" i="25"/>
  <c r="B80" i="25"/>
  <c r="B72" i="25"/>
  <c r="B126" i="25"/>
  <c r="B115" i="25"/>
  <c r="B118" i="25"/>
  <c r="B68" i="25"/>
  <c r="I118" i="23"/>
  <c r="I120" i="23" s="1"/>
  <c r="C109" i="23" s="1"/>
  <c r="G120" i="23"/>
  <c r="B96" i="25"/>
  <c r="B9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46"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C49" i="7" s="1"/>
  <c r="U24" i="15"/>
  <c r="C48" i="7" s="1"/>
  <c r="B38" i="25"/>
  <c r="B111" i="25"/>
  <c r="B104" i="25"/>
  <c r="B42" i="25"/>
  <c r="B63" i="25"/>
  <c r="B108" i="25"/>
  <c r="B55" i="25"/>
  <c r="B34" i="25"/>
  <c r="B113" i="25" s="1"/>
  <c r="B46" i="25"/>
  <c r="B100" i="25"/>
  <c r="B51" i="25"/>
  <c r="B59" i="25"/>
  <c r="T50" i="15"/>
  <c r="G66" i="23" l="1"/>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K79" i="23"/>
  <c r="D55" i="23"/>
  <c r="D82" i="23" s="1"/>
  <c r="E75" i="23"/>
  <c r="B84" i="23"/>
  <c r="B89" i="23" s="1"/>
  <c r="B86" i="23"/>
  <c r="B88" i="23"/>
  <c r="H67" i="23"/>
  <c r="G76" i="23"/>
  <c r="G68" i="23"/>
  <c r="S27" i="14"/>
  <c r="B24" i="25" s="1"/>
  <c r="D56" i="23" l="1"/>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D88" i="23"/>
  <c r="C87" i="23"/>
  <c r="C90" i="23" s="1"/>
  <c r="I75" i="23"/>
  <c r="E77" i="23"/>
  <c r="E70" i="23"/>
  <c r="E71" i="23" s="1"/>
  <c r="K67" i="23"/>
  <c r="J76" i="23"/>
  <c r="J68" i="23"/>
  <c r="F53" i="23"/>
  <c r="E82" i="23"/>
  <c r="C50" i="7"/>
  <c r="C51" i="7"/>
  <c r="D84" i="23" l="1"/>
  <c r="D89" i="23" s="1"/>
  <c r="N80" i="23"/>
  <c r="N66" i="23"/>
  <c r="N79" i="23"/>
  <c r="P109" i="23"/>
  <c r="O108" i="23"/>
  <c r="O50" i="23" s="1"/>
  <c r="O59" i="23" s="1"/>
  <c r="D90" i="23"/>
  <c r="L67" i="23"/>
  <c r="K76" i="23"/>
  <c r="K68" i="23"/>
  <c r="J75" i="23"/>
  <c r="F55" i="23"/>
  <c r="F82" i="23" s="1"/>
  <c r="E72" i="23"/>
  <c r="E78" i="23"/>
  <c r="E83" i="23" s="1"/>
  <c r="B21" i="25"/>
  <c r="A12" i="25"/>
  <c r="A9" i="25"/>
  <c r="B131" i="25"/>
  <c r="B129"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0" i="23" s="1"/>
  <c r="T72" i="23"/>
  <c r="T86" i="23"/>
  <c r="T87" i="23" s="1"/>
  <c r="T90" i="23" s="1"/>
  <c r="T84" i="23"/>
  <c r="T89" i="23" s="1"/>
  <c r="T88" i="23"/>
  <c r="AN67" i="23"/>
  <c r="AM76" i="23"/>
  <c r="AM68" i="23"/>
  <c r="W53" i="23"/>
  <c r="U78" i="23"/>
  <c r="U83" i="23" s="1"/>
  <c r="AL75" i="23"/>
  <c r="V77" i="23" l="1"/>
  <c r="U86" i="23"/>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s="1"/>
  <c r="AA72" i="23" l="1"/>
  <c r="AC53" i="23"/>
  <c r="AA86" i="23"/>
  <c r="AA87" i="23" s="1"/>
  <c r="AA90" i="23" s="1"/>
  <c r="AA88" i="23"/>
  <c r="AA84" i="23"/>
  <c r="AA89" i="23" s="1"/>
  <c r="AC55" i="23"/>
  <c r="AC82" i="23" s="1"/>
  <c r="AB56" i="23"/>
  <c r="AB69" i="23" s="1"/>
  <c r="AC56" i="23" l="1"/>
  <c r="AC69" i="23" s="1"/>
  <c r="AC77"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0" i="23" s="1"/>
  <c r="AM77" i="23"/>
  <c r="AN77" i="23"/>
  <c r="AO53" i="23"/>
  <c r="AN82" i="23"/>
  <c r="AM71" i="23"/>
  <c r="AM78" i="23" s="1"/>
  <c r="AM83" i="23" s="1"/>
  <c r="AM72" i="23" l="1"/>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4" i="23" s="1"/>
  <c r="AO89" i="23" s="1"/>
  <c r="AO72" i="23"/>
  <c r="AP77" i="23"/>
  <c r="AP70" i="23"/>
  <c r="AP71" i="23" s="1"/>
  <c r="AO86" i="23" l="1"/>
  <c r="AO87" i="23" s="1"/>
  <c r="AO90" i="23" s="1"/>
  <c r="AO88" i="23"/>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<sst xmlns="http://schemas.openxmlformats.org/spreadsheetml/2006/main" count="1129" uniqueCount="655">
  <si>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</si>
  <si>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</si>
  <si>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</si>
  <si>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</si>
  <si>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</si>
  <si>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</si>
  <si>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</si>
  <si>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</si>
  <si>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</si>
  <si>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</si>
  <si>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</si>
  <si>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</si>
  <si>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</si>
  <si>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</si>
  <si>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</si>
  <si>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</si>
  <si>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</si>
  <si>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</si>
  <si>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</si>
  <si>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</si>
  <si>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</si>
  <si>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</si>
  <si>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</si>
  <si>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</si>
  <si>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</si>
  <si>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</si>
  <si>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</si>
  <si>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</si>
  <si>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</si>
  <si>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</si>
  <si>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</si>
  <si>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</si>
  <si>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</si>
  <si>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</si>
  <si>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</si>
  <si>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</si>
  <si>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</si>
  <si>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</si>
  <si>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</si>
  <si>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</si>
  <si>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</si>
  <si>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</si>
  <si>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</si>
  <si>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</si>
  <si>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</si>
  <si>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</si>
  <si>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</si>
  <si>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</si>
  <si>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</si>
  <si>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</si>
  <si>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</si>
  <si>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</si>
  <si>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</si>
  <si>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</si>
  <si>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</si>
  <si>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</si>
  <si>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</si>
  <si>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</si>
  <si>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</si>
  <si>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</si>
  <si>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</si>
  <si>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</si>
  <si>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</si>
  <si>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</si>
  <si>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</si>
  <si>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</si>
  <si>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</si>
  <si>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</si>
  <si>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</si>
  <si>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</si>
  <si>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</si>
  <si>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</si>
  <si>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</si>
  <si>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</si>
  <si>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</si>
  <si>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</si>
  <si>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</si>
  <si>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</si>
  <si>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</si>
  <si>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</si>
  <si>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</si>
  <si>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</si>
  <si>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</si>
  <si>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</si>
  <si>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</si>
  <si>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</si>
  <si>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</si>
  <si>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</si>
  <si>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</si>
  <si>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</si>
  <si>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</si>
  <si>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</si>
  <si>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</si>
  <si>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</si>
  <si>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</si>
  <si>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</si>
  <si>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</si>
  <si>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</si>
  <si>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</si>
  <si>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</si>
  <si>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</si>
  <si>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</si>
  <si>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</si>
  <si>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</si>
  <si>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</si>
  <si>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</si>
  <si>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</si>
  <si>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</si>
  <si>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</si>
  <si>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</si>
  <si>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</si>
  <si>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</si>
  <si>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</si>
  <si>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</si>
  <si>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</si>
  <si>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</si>
  <si>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</si>
  <si>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</si>
  <si>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</si>
  <si>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</si>
  <si>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</si>
  <si>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</si>
  <si>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</si>
  <si>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</si>
  <si>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</si>
  <si>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</si>
  <si>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</si>
  <si>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</si>
  <si>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</si>
  <si>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</si>
  <si>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</si>
  <si>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</si>
  <si>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</si>
  <si>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</si>
  <si>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</si>
  <si>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</si>
  <si>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</si>
  <si>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</si>
  <si>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</si>
  <si>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</si>
  <si>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</si>
  <si>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</si>
  <si>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</si>
  <si>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</si>
  <si>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</si>
  <si>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</si>
  <si>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</si>
  <si>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</si>
  <si>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</si>
  <si>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</si>
  <si>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</si>
  <si>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</si>
  <si>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</si>
  <si>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</si>
  <si>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</si>
  <si>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</si>
  <si>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</si>
  <si>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</si>
  <si>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</si>
  <si>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</si>
  <si>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</si>
  <si>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</si>
  <si>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</si>
  <si>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</si>
  <si>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</si>
  <si>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</si>
  <si>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</si>
  <si>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</si>
  <si>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</si>
  <si>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</si>
  <si>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</si>
  <si>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</si>
  <si>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</si>
  <si>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</si>
  <si>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</si>
  <si>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</si>
  <si>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</si>
  <si>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</si>
  <si>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</si>
  <si>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</si>
  <si>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</si>
  <si>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</si>
  <si>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</si>
  <si>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</si>
  <si>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</si>
  <si>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</si>
  <si>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</si>
  <si>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</si>
  <si>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</si>
  <si>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</si>
  <si>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</si>
  <si>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</si>
  <si>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</si>
  <si>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</si>
  <si>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</si>
  <si>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</si>
  <si>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</si>
  <si>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</si>
  <si>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</si>
  <si>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</si>
  <si>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</si>
  <si>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</si>
  <si>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</si>
  <si>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</si>
  <si>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</si>
  <si>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</si>
  <si>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</si>
  <si>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</si>
  <si>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</si>
  <si>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</si>
  <si>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</si>
  <si>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</si>
  <si>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</si>
  <si>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</si>
  <si>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</si>
  <si>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</si>
  <si>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</si>
  <si>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</si>
  <si>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</si>
  <si>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</si>
  <si>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</si>
  <si>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</si>
  <si>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</si>
  <si>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</si>
  <si>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</si>
  <si>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</si>
  <si>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</si>
  <si>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</si>
  <si>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</si>
  <si>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</si>
  <si>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</si>
  <si>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</si>
  <si>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</si>
  <si>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</si>
  <si>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</si>
  <si>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</si>
  <si>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</si>
  <si>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</si>
  <si>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</si>
  <si>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</si>
  <si>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</si>
  <si>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</si>
  <si>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</si>
  <si>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</si>
  <si>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</si>
  <si>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</si>
  <si>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</si>
  <si>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</si>
  <si>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</si>
  <si>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</si>
  <si>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</si>
  <si>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</si>
  <si>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</si>
  <si>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</si>
  <si>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</si>
  <si>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</si>
  <si>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</si>
  <si>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</si>
  <si>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</si>
  <si>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</si>
  <si>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</si>
  <si>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</si>
  <si>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</si>
  <si>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</si>
  <si>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</si>
  <si>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</si>
  <si>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</si>
  <si>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</si>
  <si>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</si>
  <si>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</si>
  <si>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</si>
  <si>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</si>
  <si>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</si>
  <si>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</si>
  <si>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</si>
  <si>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</si>
  <si>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</si>
  <si>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</si>
  <si>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</si>
  <si>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</si>
  <si>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</si>
  <si>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</si>
  <si>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</si>
  <si>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</si>
  <si>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</si>
  <si>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</si>
  <si>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</si>
  <si>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</si>
  <si>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</si>
  <si>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</si>
  <si>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</si>
  <si>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</si>
  <si>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</si>
  <si>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</si>
  <si>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</si>
  <si>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</si>
  <si>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</si>
  <si>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</si>
  <si>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</si>
  <si>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</si>
  <si>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</si>
  <si>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</si>
  <si>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</si>
  <si>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</si>
  <si>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</si>
  <si>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</si>
  <si>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</si>
  <si>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</si>
  <si>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</si>
  <si>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</si>
  <si>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</si>
  <si>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</si>
  <si>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</si>
  <si>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</si>
  <si>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</si>
  <si>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</si>
  <si>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</si>
  <si>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</si>
  <si>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</si>
  <si>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</si>
  <si>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</si>
  <si>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</si>
  <si>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</si>
  <si>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</si>
  <si>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</si>
  <si>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</si>
  <si>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</si>
  <si>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</si>
  <si>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</si>
  <si>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</si>
  <si>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</si>
  <si>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</si>
  <si>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</si>
  <si>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</si>
  <si>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</si>
  <si>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</si>
  <si>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</si>
  <si>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</si>
  <si>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</si>
  <si>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</si>
  <si>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</si>
  <si>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</si>
  <si>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</si>
  <si>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</si>
  <si>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</si>
  <si>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</si>
  <si>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</si>
  <si>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</si>
  <si>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</si>
  <si>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</si>
  <si>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</si>
  <si>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</si>
  <si>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</si>
  <si>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</si>
  <si>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</si>
  <si>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</si>
  <si>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</si>
  <si>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</si>
  <si>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</si>
  <si>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</si>
  <si>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</si>
  <si>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</si>
  <si>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</si>
  <si>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</si>
  <si>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</si>
  <si>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</si>
  <si>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</si>
  <si>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</si>
  <si>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</si>
  <si>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</si>
  <si>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</si>
  <si>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</si>
  <si>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</si>
  <si>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</si>
  <si>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</si>
  <si>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</si>
  <si>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</si>
  <si>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</si>
  <si>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</si>
  <si>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</si>
  <si>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</si>
  <si>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</si>
  <si>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</si>
  <si>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</si>
  <si>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</si>
  <si>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</si>
  <si>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</si>
  <si>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</si>
  <si>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</si>
  <si>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</si>
  <si>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</si>
  <si>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</si>
  <si>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</si>
  <si>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</si>
  <si>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</si>
  <si>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</si>
  <si>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</si>
  <si>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</si>
  <si>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</si>
  <si>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</si>
  <si>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</si>
  <si>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</si>
  <si>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</si>
  <si>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</si>
  <si>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</si>
  <si>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</si>
  <si>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</si>
  <si>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</si>
  <si>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</si>
  <si>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</si>
  <si>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</si>
  <si>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</si>
  <si>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</si>
  <si>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</si>
  <si>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</si>
  <si>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</si>
  <si>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</si>
  <si>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</si>
  <si>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</si>
  <si>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</si>
  <si>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</si>
  <si>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</si>
  <si>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</si>
  <si>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</si>
  <si>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</si>
  <si>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</si>
  <si>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</si>
  <si>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</si>
  <si>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</si>
  <si>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</si>
  <si>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</si>
  <si>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</si>
  <si>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</si>
  <si>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</si>
  <si>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</si>
  <si>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</si>
  <si>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</si>
  <si>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</si>
  <si>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</si>
  <si>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</si>
  <si>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</si>
  <si>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</si>
  <si>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</si>
  <si>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</si>
  <si>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</si>
  <si>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</si>
  <si>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</si>
  <si>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</si>
  <si>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</si>
  <si>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</si>
  <si>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</si>
  <si>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</si>
  <si>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</si>
  <si>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</si>
  <si>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</si>
  <si>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</si>
  <si>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</si>
  <si>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</si>
  <si>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</si>
  <si>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</si>
  <si>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</si>
  <si>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</si>
  <si>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</si>
  <si>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</si>
  <si>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</si>
  <si>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</si>
  <si>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</si>
  <si>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</si>
  <si>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</si>
  <si>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</si>
  <si>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</si>
  <si>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</si>
  <si>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</si>
  <si>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</si>
  <si>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</si>
  <si>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</si>
  <si>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</si>
  <si>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нет</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</si>
  <si>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</si>
  <si>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</si>
  <si>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</si>
  <si>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</si>
  <si>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</si>
  <si>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</si>
  <si>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</si>
  <si>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</si>
  <si>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</si>
  <si>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</si>
  <si>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</si>
  <si>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</si>
  <si>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</si>
  <si>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</si>
  <si>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</si>
  <si>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</si>
  <si>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</si>
  <si>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</si>
  <si>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</si>
  <si>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</si>
  <si>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</si>
  <si>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</si>
  <si>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</si>
  <si>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</si>
  <si>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</si>
  <si>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</si>
  <si>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</si>
  <si>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</si>
  <si>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</si>
  <si>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</si>
  <si>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</si>
  <si>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</si>
  <si>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</si>
  <si>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</si>
  <si>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</si>
  <si>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</si>
  <si>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</si>
  <si>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</si>
  <si>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</si>
  <si>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</si>
  <si>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</si>
  <si>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</si>
  <si>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</si>
  <si>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</si>
  <si>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</si>
  <si>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</si>
  <si>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</si>
  <si>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</si>
  <si>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</si>
  <si>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</si>
  <si>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</si>
  <si>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</si>
  <si>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</si>
  <si>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</si>
  <si>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</si>
  <si>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</si>
  <si>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</si>
  <si>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</si>
  <si>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</si>
  <si>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</si>
  <si>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</si>
  <si>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</si>
  <si>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</si>
  <si>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</si>
  <si>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</si>
  <si>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</si>
  <si>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</si>
  <si>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</si>
  <si>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</si>
  <si>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</si>
  <si>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</si>
  <si>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</si>
  <si>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</si>
  <si>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</si>
  <si>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</si>
  <si>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</si>
  <si>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</si>
  <si>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</si>
  <si>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</si>
  <si>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</si>
  <si>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</si>
  <si>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</si>
  <si>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</si>
  <si>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</si>
  <si>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</si>
  <si>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</si>
  <si>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</si>
  <si>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</si>
  <si>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</si>
  <si>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</si>
  <si>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</si>
  <si>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</si>
  <si>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</si>
  <si>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</si>
  <si>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</si>
  <si>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</si>
  <si>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</si>
  <si>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</si>
  <si>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</si>
  <si>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</si>
  <si>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</si>
  <si>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</si>
  <si>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</si>
  <si>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</si>
  <si>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</si>
  <si>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</si>
  <si>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</si>
  <si>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</si>
  <si>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</si>
  <si>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</si>
  <si>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</si>
  <si>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</si>
  <si>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</si>
  <si>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</si>
  <si>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</si>
  <si>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</si>
  <si>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</si>
  <si>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</si>
  <si>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</si>
  <si>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</si>
  <si>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</si>
  <si>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</si>
  <si>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</si>
  <si>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</si>
  <si>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</si>
  <si>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 КС...</t>
  </si>
  <si>
    <t>ж/б</t>
  </si>
  <si>
    <t>ГП</t>
  </si>
  <si>
    <t>УР</t>
  </si>
  <si>
    <t>ВЗ</t>
  </si>
  <si>
    <t xml:space="preserve">https://rosseti.roseltorg.ru/ </t>
  </si>
  <si>
    <t xml:space="preserve"> - незаконтрактованные затраты</t>
  </si>
  <si>
    <t>Акционерное общество "Россети Янтарь"</t>
  </si>
  <si>
    <t>АО "Россети Янтарь"</t>
  </si>
  <si>
    <t>M_21-0295</t>
  </si>
  <si>
    <t>Строительство ТП 10/0,4 кВ, ЛЭП 10 кВ от ВЛ 35-03, ЛЭП 10 кВ от ВЛ 35-17, организация системы учета электроэнергии в п. Котельниково Зеленоградского района</t>
  </si>
  <si>
    <t>Зеленоградский городской округ</t>
  </si>
  <si>
    <t>ТП 10/0,4 кВ новая</t>
  </si>
  <si>
    <t>ТМГ-10/0,4 кВ 1000 кВА</t>
  </si>
  <si>
    <t>Т-1, Т-2</t>
  </si>
  <si>
    <t>ВЛ 10 кВ № 35-03</t>
  </si>
  <si>
    <t>ВЛ 10 кВ № 35-17</t>
  </si>
  <si>
    <t>от оп.24-25 до ТП новой</t>
  </si>
  <si>
    <t>7519/12/20 от 18.01.2021</t>
  </si>
  <si>
    <t>238542, Калининградская обл, Зеленоградский р-н, Котельниково п</t>
  </si>
  <si>
    <t>Нежилые помещения</t>
  </si>
  <si>
    <t>1) На зажимах провода на опоре № 26-А ВЛ 10 кВ № 35-03 в сторону ТП 35-03-1</t>
  </si>
  <si>
    <t>10 кВ</t>
  </si>
  <si>
    <t>10.1 На границе земельного участка Заявителя, в доступном для эксплуатационно-технического обслуживания персоналом АО «Янтарьэнерго» «Западные электрические сети» месте, построить трансформаторную подстанцию (или КТП в бетонном корпусе) с трансформаторами 10/0,4 кВ потребной мощности (схема соединения обмоток Д/Yн-11) (тип ТП и оборудования,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ЛЭП-10 кВ (ориентировочно 100 м) от новой опоры в промежутке опор № 24 и № 25 ВЛ 10 кВ № 35-03 (номера опор уточнить при проектировании) до I секции РУ-10 кВ ТП новой (п.10.1) с использованием кабеля с изоляцией из сшитого полиэтилена расчетного сечения.  Присоединение к ВЛ 10 кВ № 35-03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ЛЭП-10 кВ (ориентировочно 100 м) от новой опоры в промежутке опор № 24 и № 25 ВЛ 10 кВ № 35-17 (номера опор уточнить при проектировании) до II секции РУ-10 кВ ТП новой (п.10.1) с использованием кабеля с изоляцией из сшитого полиэтилена расчетного сечения. Присоединение к ВЛ 10 кВ № 35-17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10.4 В РУ 0,4 кВ ТП новой (п. 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</si>
  <si>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Строительство ТП 15/0,4 кВ с трансформатором 2х1000 кВА, ЛЭП 10 кВ от ВЛ 35-03, ЛЭП 10 кВ от ВЛ 35-17 протяженностью0,2 км, организация системы учета электроэнергии в п. Котельниково Зеленоградского район</t>
  </si>
  <si>
    <t>П</t>
  </si>
  <si>
    <t>Выполнение работ по титулу: "Строительство ТП 10/0,4 кВ, ЛЭП 10 кВ от ВЛ 35-03, ЛЭП 10 кВ от ВЛ 35-17, организация системы учета электроэнергии в п. Котельниково Зеленоградского района"</t>
  </si>
  <si>
    <t>ОК</t>
  </si>
  <si>
    <t>ООО «ЭНЕРГОПРОЕКТ»</t>
  </si>
  <si>
    <t>7 672,92</t>
  </si>
  <si>
    <t>32110541827</t>
  </si>
  <si>
    <t>18.08.2021</t>
  </si>
  <si>
    <t>22.09.2021</t>
  </si>
  <si>
    <t>18.10.2021</t>
  </si>
  <si>
    <t>18.04.2022</t>
  </si>
  <si>
    <t>ООО «ТЕСЛА»</t>
  </si>
  <si>
    <t>7 673,50</t>
  </si>
  <si>
    <t>ООО «ЭНЕРГОИНЖИНИРИНГ»</t>
  </si>
  <si>
    <t>7 673,75</t>
  </si>
  <si>
    <t>Договор под ключ ООО "Энергопроект" (ИНН 3663125835) № 190ГП-ЭП/К/2021 от 18.10.2021 в ценах 2021 года с НДС, млн. руб.</t>
  </si>
  <si>
    <t>ТП 15/0,4 кВ 2х1000 кВА</t>
  </si>
  <si>
    <t>Договор под ключ ООО "Энергопроект" (ИНН 3663125835) № 190ГП-ЭП/К/2021 от 18.10.2021</t>
  </si>
  <si>
    <t>на основании заключенных договоров</t>
  </si>
  <si>
    <t>дог</t>
  </si>
  <si>
    <t>Сметная стоимость проекта в ценах  2021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</si>
  <si>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</si>
  <si>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ООО "Геоид" договор № 00455-22 от 25.03.2022 в ценах 2022 года без НДС, млн. руб.</t>
  </si>
  <si>
    <t>ООО "Геоид" договор № 01071-22 от 15.07.2022 в ценах 2022 года без НДС, млн. руб.</t>
  </si>
  <si>
    <t>ООО "СНОБ" договор № 151 от 16.02.2022 в ценах 2022 года без НДС, млн. руб.</t>
  </si>
  <si>
    <t>Нотариус Сашенкова Елена Сергеевна без договора в ценах 2022 года без НДС, млн. руб.</t>
  </si>
  <si>
    <t>Содержание дирекции заказчика-застройщика в ценах 2022 года с НДС, млн рублей</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</si>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</sst>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27" fillId="33" borderId="30" xfId="2" applyFont="1" applyFill="1" applyBorder="1" applyAlignment="1">
      <alignment horizontal="justify" vertical="top" wrapText="1"/>
    </xf>
    <xf numFmtId="2" fontId="27" fillId="33" borderId="33" xfId="2" applyNumberFormat="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C27C-488A-B803-7E100813062D}"/>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C27C-488A-B803-7E100813062D}"/>
            </c:ext>
          </c:extLst>
        </c:ser>
        <c:dLbls>
          <c:showLegendKey val="0"/>
          <c:showVal val="0"/>
          <c:showCatName val="0"/>
          <c:showSerName val="0"/>
          <c:showPercent val="0"/>
          <c:showBubbleSize val="0"/>
        </c:dLbls>
        <c:smooth val="0"/>
        <c:axId val="1195074760"/>
        <c:axId val="1195071624"/>
      </c:lineChart>
      <c:catAx>
        <c:axId val="1195074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1624"/>
        <c:crosses val="autoZero"/>
        <c:auto val="1"/>
        <c:lblAlgn val="ctr"/>
        <c:lblOffset val="100"/>
        <c:noMultiLvlLbl val="0"/>
      </c:catAx>
      <c:valAx>
        <c:axId val="1195071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47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C288-4FB0-A5C1-520BB076BB6D}"/>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C288-4FB0-A5C1-520BB076BB6D}"/>
            </c:ext>
          </c:extLst>
        </c:ser>
        <c:dLbls>
          <c:showLegendKey val="0"/>
          <c:showVal val="0"/>
          <c:showCatName val="0"/>
          <c:showSerName val="0"/>
          <c:showPercent val="0"/>
          <c:showBubbleSize val="0"/>
        </c:dLbls>
        <c:smooth val="0"/>
        <c:axId val="1195072016"/>
        <c:axId val="1195073584"/>
      </c:lineChart>
      <c:catAx>
        <c:axId val="1195072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3584"/>
        <c:crosses val="autoZero"/>
        <c:auto val="1"/>
        <c:lblAlgn val="ctr"/>
        <c:lblOffset val="100"/>
        <c:noMultiLvlLbl val="0"/>
      </c:catAx>
      <c:valAx>
        <c:axId val="1195073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20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40"/>
  <sheetViews>
    <sheetView view="pageBreakPreview" zoomScale="90" zoomScaleSheetLayoutView="90" workbookViewId="0">
      <selection activeCell="C36" sqref="C36"/>
    </sheetView>
  </sheetViews>
  <sheetFormatPr defaultColWidth="9.140625" defaultRowHeight="15" x14ac:dyDescent="0.25"/>
  <cols>
    <col min="1" max="1" width="6.140625" style="71" customWidth="1"/>
    <col min="2" max="2" width="53.5703125" style="71" customWidth="1"/>
    <col min="3" max="3" width="91.42578125" style="187" customWidth="1"/>
    <col min="4" max="4" width="12" style="71" customWidth="1"/>
    <col min="5" max="5" width="14.42578125" style="71" hidden="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80"/>
      <c r="F4" s="72"/>
      <c r="G4" s="72"/>
      <c r="H4" s="1"/>
    </row>
    <row r="5" spans="1:22" s="2" customFormat="1" ht="15.75" x14ac:dyDescent="0.25">
      <c r="A5" s="408" t="s">
        <v>648</v>
      </c>
      <c r="B5" s="408"/>
      <c r="C5" s="408"/>
      <c r="D5" s="49"/>
      <c r="E5" s="49"/>
      <c r="F5" s="49"/>
      <c r="G5" s="49"/>
      <c r="H5" s="49"/>
      <c r="I5" s="49"/>
      <c r="J5" s="49"/>
    </row>
    <row r="6" spans="1:22" s="2" customFormat="1" ht="18.75" x14ac:dyDescent="0.3">
      <c r="A6" s="73"/>
      <c r="C6" s="180"/>
      <c r="F6" s="72"/>
      <c r="G6" s="72"/>
      <c r="H6" s="1"/>
    </row>
    <row r="7" spans="1:22" s="2" customFormat="1" ht="18.75" x14ac:dyDescent="0.2">
      <c r="A7" s="415" t="s">
        <v>7</v>
      </c>
      <c r="B7" s="415"/>
      <c r="C7" s="415"/>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81"/>
      <c r="D8" s="75"/>
      <c r="E8" s="75"/>
      <c r="F8" s="75"/>
      <c r="G8" s="75"/>
      <c r="H8" s="75"/>
      <c r="I8" s="74"/>
      <c r="J8" s="74"/>
      <c r="K8" s="74"/>
      <c r="L8" s="74"/>
      <c r="M8" s="74"/>
      <c r="N8" s="74"/>
      <c r="O8" s="74"/>
      <c r="P8" s="74"/>
      <c r="Q8" s="74"/>
      <c r="R8" s="74"/>
      <c r="S8" s="74"/>
      <c r="T8" s="74"/>
      <c r="U8" s="74"/>
      <c r="V8" s="74"/>
    </row>
    <row r="9" spans="1:22" s="2" customFormat="1" ht="18.75" x14ac:dyDescent="0.2">
      <c r="A9" s="416" t="s">
        <v>610</v>
      </c>
      <c r="B9" s="416"/>
      <c r="C9" s="416"/>
      <c r="D9" s="76"/>
      <c r="E9" s="76"/>
      <c r="F9" s="76"/>
      <c r="G9" s="76"/>
      <c r="H9" s="76"/>
      <c r="I9" s="74"/>
      <c r="J9" s="74"/>
      <c r="K9" s="74"/>
      <c r="L9" s="74"/>
      <c r="M9" s="74"/>
      <c r="N9" s="74"/>
      <c r="O9" s="74"/>
      <c r="P9" s="74"/>
      <c r="Q9" s="74"/>
      <c r="R9" s="74"/>
      <c r="S9" s="74"/>
      <c r="T9" s="74"/>
      <c r="U9" s="74"/>
      <c r="V9" s="74"/>
    </row>
    <row r="10" spans="1:22" s="2" customFormat="1" ht="18.75" x14ac:dyDescent="0.2">
      <c r="A10" s="412" t="s">
        <v>6</v>
      </c>
      <c r="B10" s="412"/>
      <c r="C10" s="412"/>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8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4" t="s">
        <v>612</v>
      </c>
      <c r="B12" s="414"/>
      <c r="C12" s="414"/>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2" t="s">
        <v>5</v>
      </c>
      <c r="B13" s="412"/>
      <c r="C13" s="412"/>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3" t="s">
        <v>613</v>
      </c>
      <c r="B15" s="413"/>
      <c r="C15" s="413"/>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3"/>
      <c r="D17" s="81"/>
      <c r="E17" s="81"/>
      <c r="F17" s="81"/>
      <c r="G17" s="81"/>
      <c r="H17" s="81"/>
      <c r="I17" s="81"/>
      <c r="J17" s="81"/>
      <c r="K17" s="81"/>
      <c r="L17" s="81"/>
      <c r="M17" s="81"/>
      <c r="N17" s="81"/>
      <c r="O17" s="81"/>
      <c r="P17" s="81"/>
      <c r="Q17" s="81"/>
      <c r="R17" s="81"/>
      <c r="S17" s="81"/>
    </row>
    <row r="18" spans="1:22" s="80" customFormat="1" ht="15" customHeight="1" x14ac:dyDescent="0.2">
      <c r="A18" s="413" t="s">
        <v>374</v>
      </c>
      <c r="B18" s="414"/>
      <c r="C18" s="414"/>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8" t="s">
        <v>479</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476</v>
      </c>
      <c r="C23" s="188" t="s">
        <v>480</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9"/>
      <c r="B24" s="410"/>
      <c r="C24" s="411"/>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481</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5" t="s">
        <v>614</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546</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547</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477</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9"/>
      <c r="B39" s="410"/>
      <c r="C39" s="411"/>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9" t="str">
        <f>CONCATENATE("∆P10тп_тр=",'3.1. паспорт Техсостояние ПС'!O25," МВА; ∆L10тп_лэп=",('3.2 паспорт Техсостояние ЛЭП'!R27)," км;
SТПпотр=",'2. паспорт  ТП'!H23," МВт; Nсд_тпр=",'2. паспорт  ТП'!A22," договор; Фтз=",ROUND('5. анализ эконом эфф'!B122,2)," млн.руб.")</f>
        <v>∆P10тп_тр=2 МВА; ∆L10тп_лэп=0,2 км;
SТПпотр=1,5 МВт; Nсд_тпр=1 договор; Фтз=9,92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9" t="s">
        <v>548</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9" t="s">
        <v>548</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481</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481</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545</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9"/>
      <c r="B47" s="410"/>
      <c r="C47" s="411"/>
      <c r="D47" s="98"/>
      <c r="E47" s="98" t="s">
        <v>471</v>
      </c>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0,06 млн рублей</v>
      </c>
      <c r="D48" s="98"/>
      <c r="E48" s="98" t="s">
        <v>469</v>
      </c>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0,06 млн рублей</v>
      </c>
      <c r="D49" s="98"/>
      <c r="E49" s="98" t="s">
        <v>469</v>
      </c>
      <c r="F49" s="98"/>
      <c r="G49" s="98"/>
      <c r="H49" s="98"/>
      <c r="I49" s="98"/>
      <c r="J49" s="98"/>
      <c r="K49" s="98"/>
      <c r="L49" s="98"/>
      <c r="M49" s="98"/>
      <c r="N49" s="98"/>
      <c r="O49" s="98"/>
      <c r="P49" s="98"/>
      <c r="Q49" s="98"/>
      <c r="R49" s="98"/>
      <c r="S49" s="98"/>
      <c r="T49" s="98"/>
      <c r="U49" s="98"/>
      <c r="V49" s="98"/>
    </row>
    <row r="50" spans="1:22" ht="75.75" hidden="1" customHeight="1" x14ac:dyDescent="0.25">
      <c r="A50" s="89" t="s">
        <v>371</v>
      </c>
      <c r="B50" s="97" t="s">
        <v>383</v>
      </c>
      <c r="C50" s="97" t="e">
        <f>CONCATENATE(ROUND(#REF!,2)," млн.руб.")</f>
        <v>#REF!</v>
      </c>
      <c r="D50" s="98"/>
      <c r="E50" s="98" t="s">
        <v>470</v>
      </c>
      <c r="F50" s="98"/>
      <c r="G50" s="98"/>
      <c r="H50" s="98"/>
      <c r="I50" s="98"/>
      <c r="J50" s="98"/>
      <c r="K50" s="98"/>
      <c r="L50" s="98"/>
      <c r="M50" s="98"/>
      <c r="N50" s="98"/>
      <c r="O50" s="98"/>
      <c r="P50" s="98"/>
      <c r="Q50" s="98"/>
      <c r="R50" s="98"/>
      <c r="S50" s="98"/>
      <c r="T50" s="98"/>
      <c r="U50" s="98"/>
      <c r="V50" s="98"/>
    </row>
    <row r="51" spans="1:22" ht="71.25" hidden="1" customHeight="1" x14ac:dyDescent="0.25">
      <c r="A51" s="89" t="s">
        <v>339</v>
      </c>
      <c r="B51" s="97" t="s">
        <v>384</v>
      </c>
      <c r="C51" s="97" t="e">
        <f>CONCATENATE(ROUND(#REF!,2)," млн.руб.")</f>
        <v>#REF!</v>
      </c>
      <c r="D51" s="98"/>
      <c r="E51" s="98" t="s">
        <v>470</v>
      </c>
      <c r="F51" s="98"/>
      <c r="G51" s="98"/>
      <c r="H51" s="98"/>
      <c r="I51" s="98"/>
      <c r="J51" s="98"/>
      <c r="K51" s="98"/>
      <c r="L51" s="98"/>
      <c r="M51" s="98"/>
      <c r="N51" s="98"/>
      <c r="O51" s="98"/>
      <c r="P51" s="98"/>
      <c r="Q51" s="98"/>
      <c r="R51" s="98"/>
      <c r="S51" s="98"/>
      <c r="T51" s="98"/>
      <c r="U51" s="98"/>
      <c r="V51" s="98"/>
    </row>
    <row r="52" spans="1:22" x14ac:dyDescent="0.25">
      <c r="A52" s="98"/>
      <c r="B52" s="98"/>
      <c r="C52" s="18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6"/>
      <c r="D338" s="98"/>
      <c r="E338" s="98"/>
      <c r="F338" s="98"/>
      <c r="G338" s="98"/>
      <c r="H338" s="98"/>
      <c r="I338" s="98"/>
      <c r="J338" s="98"/>
      <c r="K338" s="98"/>
      <c r="L338" s="98"/>
      <c r="M338" s="98"/>
      <c r="N338" s="98"/>
      <c r="O338" s="98"/>
      <c r="P338" s="98"/>
      <c r="Q338" s="98"/>
      <c r="R338" s="98"/>
      <c r="S338" s="98"/>
      <c r="T338" s="98"/>
      <c r="U338" s="98"/>
      <c r="V338" s="98"/>
    </row>
    <row r="339" spans="1:22" x14ac:dyDescent="0.25">
      <c r="A339" s="98"/>
      <c r="B339" s="98"/>
      <c r="C339" s="186"/>
      <c r="D339" s="98"/>
      <c r="E339" s="98"/>
      <c r="F339" s="98"/>
      <c r="G339" s="98"/>
      <c r="H339" s="98"/>
      <c r="I339" s="98"/>
      <c r="J339" s="98"/>
      <c r="K339" s="98"/>
      <c r="L339" s="98"/>
      <c r="M339" s="98"/>
      <c r="N339" s="98"/>
      <c r="O339" s="98"/>
      <c r="P339" s="98"/>
      <c r="Q339" s="98"/>
      <c r="R339" s="98"/>
      <c r="S339" s="98"/>
      <c r="T339" s="98"/>
      <c r="U339" s="98"/>
      <c r="V339" s="98"/>
    </row>
    <row r="340" spans="1:22" x14ac:dyDescent="0.25">
      <c r="A340" s="98"/>
      <c r="B340" s="98"/>
      <c r="C340" s="186"/>
      <c r="D340" s="98"/>
      <c r="E340" s="98"/>
      <c r="F340" s="98"/>
      <c r="G340" s="98"/>
      <c r="H340" s="98"/>
      <c r="I340" s="98"/>
      <c r="J340" s="98"/>
      <c r="K340" s="98"/>
      <c r="L340" s="98"/>
      <c r="M340" s="98"/>
      <c r="N340" s="98"/>
      <c r="O340" s="98"/>
      <c r="P340" s="98"/>
      <c r="Q340" s="98"/>
      <c r="R340" s="98"/>
      <c r="S340" s="98"/>
      <c r="T340" s="98"/>
      <c r="U340" s="98"/>
      <c r="V340"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17"/>
      <c r="B5" s="17"/>
      <c r="C5" s="17"/>
      <c r="D5" s="17"/>
      <c r="E5" s="17"/>
      <c r="F5" s="17"/>
      <c r="U5" s="1"/>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0" t="str">
        <f>'1. паспорт местоположение'!A12:C12</f>
        <v>M_21-0295</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17" t="str">
        <f>'1. паспорт местоположение'!A15:C15</f>
        <v>Строительство ТП 10/0,4 кВ, ЛЭП 10 кВ от ВЛ 35-03, ЛЭП 10 кВ от ВЛ 35-17, организация системы учета электроэнергии в п. Котельниково Зеленоградского района</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17"/>
      <c r="T17" s="17"/>
    </row>
    <row r="18" spans="1:24" x14ac:dyDescent="0.25">
      <c r="A18" s="497" t="s">
        <v>359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17"/>
      <c r="B19" s="17"/>
      <c r="C19" s="17"/>
      <c r="D19" s="17"/>
      <c r="E19" s="17"/>
      <c r="F19" s="17"/>
      <c r="T19" s="17"/>
    </row>
    <row r="20" spans="1:24" ht="33" customHeight="1" x14ac:dyDescent="0.25">
      <c r="A20" s="498" t="s">
        <v>181</v>
      </c>
      <c r="B20" s="498" t="s">
        <v>180</v>
      </c>
      <c r="C20" s="495" t="s">
        <v>179</v>
      </c>
      <c r="D20" s="495"/>
      <c r="E20" s="501" t="s">
        <v>178</v>
      </c>
      <c r="F20" s="501"/>
      <c r="G20" s="502" t="s">
        <v>538</v>
      </c>
      <c r="H20" s="505" t="s">
        <v>478</v>
      </c>
      <c r="I20" s="506"/>
      <c r="J20" s="506"/>
      <c r="K20" s="506"/>
      <c r="L20" s="505" t="s">
        <v>539</v>
      </c>
      <c r="M20" s="506"/>
      <c r="N20" s="506"/>
      <c r="O20" s="506"/>
      <c r="P20" s="505" t="s">
        <v>540</v>
      </c>
      <c r="Q20" s="506"/>
      <c r="R20" s="506"/>
      <c r="S20" s="506"/>
      <c r="T20" s="507" t="s">
        <v>177</v>
      </c>
      <c r="U20" s="508"/>
      <c r="V20" s="24"/>
      <c r="W20" s="24"/>
      <c r="X20" s="24"/>
    </row>
    <row r="21" spans="1:24" ht="99.75" customHeight="1" x14ac:dyDescent="0.25">
      <c r="A21" s="499"/>
      <c r="B21" s="499"/>
      <c r="C21" s="495"/>
      <c r="D21" s="495"/>
      <c r="E21" s="501"/>
      <c r="F21" s="501"/>
      <c r="G21" s="503"/>
      <c r="H21" s="495" t="s">
        <v>2</v>
      </c>
      <c r="I21" s="495"/>
      <c r="J21" s="495" t="s">
        <v>541</v>
      </c>
      <c r="K21" s="495"/>
      <c r="L21" s="495" t="s">
        <v>2</v>
      </c>
      <c r="M21" s="495"/>
      <c r="N21" s="495" t="s">
        <v>541</v>
      </c>
      <c r="O21" s="495"/>
      <c r="P21" s="495" t="s">
        <v>2</v>
      </c>
      <c r="Q21" s="495"/>
      <c r="R21" s="495" t="s">
        <v>541</v>
      </c>
      <c r="S21" s="495"/>
      <c r="T21" s="509"/>
      <c r="U21" s="510"/>
    </row>
    <row r="22" spans="1:24" ht="89.25" customHeight="1" x14ac:dyDescent="0.25">
      <c r="A22" s="500"/>
      <c r="B22" s="500"/>
      <c r="C22" s="198" t="s">
        <v>2</v>
      </c>
      <c r="D22" s="198" t="s">
        <v>176</v>
      </c>
      <c r="E22" s="199" t="s">
        <v>542</v>
      </c>
      <c r="F22" s="199" t="s">
        <v>654</v>
      </c>
      <c r="G22" s="504"/>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5.1276750000000003E-2</v>
      </c>
      <c r="O24" s="205">
        <f t="shared" si="4"/>
        <v>0</v>
      </c>
      <c r="P24" s="205">
        <f>SUM(P25:P29)</f>
        <v>0</v>
      </c>
      <c r="Q24" s="205">
        <f t="shared" si="2"/>
        <v>0</v>
      </c>
      <c r="R24" s="205">
        <f t="shared" si="2"/>
        <v>7.9591000000000002E-3</v>
      </c>
      <c r="S24" s="205">
        <f t="shared" si="2"/>
        <v>7.9591000000000002E-3</v>
      </c>
      <c r="T24" s="206">
        <f>H24+L24+P24</f>
        <v>0</v>
      </c>
      <c r="U24" s="205">
        <f>J24+N24+R24</f>
        <v>5.9235850000000007E-2</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399</v>
      </c>
      <c r="C28" s="209">
        <v>0</v>
      </c>
      <c r="D28" s="209">
        <v>0</v>
      </c>
      <c r="E28" s="209">
        <v>0</v>
      </c>
      <c r="F28" s="209">
        <v>0</v>
      </c>
      <c r="G28" s="209">
        <v>0</v>
      </c>
      <c r="H28" s="209">
        <v>0</v>
      </c>
      <c r="I28" s="209">
        <v>0</v>
      </c>
      <c r="J28" s="209">
        <v>0</v>
      </c>
      <c r="K28" s="209">
        <v>0</v>
      </c>
      <c r="L28" s="209">
        <v>0</v>
      </c>
      <c r="M28" s="209">
        <v>0</v>
      </c>
      <c r="N28" s="209">
        <v>5.1276750000000003E-2</v>
      </c>
      <c r="O28" s="209">
        <v>0</v>
      </c>
      <c r="P28" s="209">
        <v>0</v>
      </c>
      <c r="Q28" s="209">
        <v>0</v>
      </c>
      <c r="R28" s="209">
        <v>7.9591000000000002E-3</v>
      </c>
      <c r="S28" s="209">
        <v>7.9591000000000002E-3</v>
      </c>
      <c r="T28" s="206">
        <f t="shared" si="5"/>
        <v>0</v>
      </c>
      <c r="U28" s="205">
        <f t="shared" si="6"/>
        <v>5.9235850000000007E-2</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4.9731749999999998E-2</v>
      </c>
      <c r="O30" s="206">
        <f t="shared" si="10"/>
        <v>0</v>
      </c>
      <c r="P30" s="206">
        <f t="shared" si="8"/>
        <v>0</v>
      </c>
      <c r="Q30" s="206">
        <f t="shared" si="8"/>
        <v>0</v>
      </c>
      <c r="R30" s="206">
        <f t="shared" si="8"/>
        <v>7.9591000000000002E-3</v>
      </c>
      <c r="S30" s="206">
        <f t="shared" si="8"/>
        <v>7.9591000000000002E-3</v>
      </c>
      <c r="T30" s="206">
        <f t="shared" si="5"/>
        <v>0</v>
      </c>
      <c r="U30" s="205">
        <f t="shared" si="6"/>
        <v>5.7690850000000002E-2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403"/>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v>0</v>
      </c>
      <c r="T32" s="206">
        <f t="shared" si="5"/>
        <v>0</v>
      </c>
      <c r="U32" s="205">
        <f t="shared" si="6"/>
        <v>0</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4.9731749999999998E-2</v>
      </c>
      <c r="O34" s="209">
        <v>0</v>
      </c>
      <c r="P34" s="209">
        <v>0</v>
      </c>
      <c r="Q34" s="209">
        <v>0</v>
      </c>
      <c r="R34" s="209">
        <v>7.9591000000000002E-3</v>
      </c>
      <c r="S34" s="209">
        <v>7.9591000000000002E-3</v>
      </c>
      <c r="T34" s="206">
        <f t="shared" si="5"/>
        <v>0</v>
      </c>
      <c r="U34" s="205">
        <f t="shared" si="6"/>
        <v>5.7690850000000002E-2</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543</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543</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543</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544</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3"/>
      <c r="C66" s="493"/>
      <c r="D66" s="493"/>
      <c r="E66" s="493"/>
      <c r="F66" s="493"/>
      <c r="G66" s="493"/>
      <c r="H66" s="493"/>
      <c r="I66" s="493"/>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2"/>
      <c r="C68" s="492"/>
      <c r="D68" s="492"/>
      <c r="E68" s="492"/>
      <c r="F68" s="492"/>
      <c r="G68" s="492"/>
      <c r="H68" s="492"/>
      <c r="I68" s="492"/>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3"/>
      <c r="C70" s="493"/>
      <c r="D70" s="493"/>
      <c r="E70" s="493"/>
      <c r="F70" s="493"/>
      <c r="G70" s="493"/>
      <c r="H70" s="493"/>
      <c r="I70" s="493"/>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3"/>
      <c r="C72" s="493"/>
      <c r="D72" s="493"/>
      <c r="E72" s="493"/>
      <c r="F72" s="493"/>
      <c r="G72" s="493"/>
      <c r="H72" s="493"/>
      <c r="I72" s="493"/>
      <c r="J72" s="176"/>
      <c r="K72" s="176"/>
      <c r="L72" s="176"/>
      <c r="M72" s="176"/>
      <c r="N72" s="176"/>
      <c r="O72" s="176"/>
      <c r="P72" s="176"/>
      <c r="Q72" s="176"/>
      <c r="R72" s="176"/>
      <c r="S72" s="176"/>
      <c r="T72" s="17"/>
    </row>
    <row r="73" spans="1:20" ht="32.25" customHeight="1" x14ac:dyDescent="0.25">
      <c r="A73" s="17"/>
      <c r="B73" s="492"/>
      <c r="C73" s="492"/>
      <c r="D73" s="492"/>
      <c r="E73" s="492"/>
      <c r="F73" s="492"/>
      <c r="G73" s="492"/>
      <c r="H73" s="492"/>
      <c r="I73" s="492"/>
      <c r="J73" s="177"/>
      <c r="K73" s="177"/>
      <c r="L73" s="177"/>
      <c r="M73" s="177"/>
      <c r="N73" s="177"/>
      <c r="O73" s="177"/>
      <c r="P73" s="177"/>
      <c r="Q73" s="177"/>
      <c r="R73" s="177"/>
      <c r="S73" s="177"/>
      <c r="T73" s="17"/>
    </row>
    <row r="74" spans="1:20" ht="51.75" customHeight="1" x14ac:dyDescent="0.25">
      <c r="A74" s="17"/>
      <c r="B74" s="493"/>
      <c r="C74" s="493"/>
      <c r="D74" s="493"/>
      <c r="E74" s="493"/>
      <c r="F74" s="493"/>
      <c r="G74" s="493"/>
      <c r="H74" s="493"/>
      <c r="I74" s="493"/>
      <c r="J74" s="176"/>
      <c r="K74" s="176"/>
      <c r="L74" s="176"/>
      <c r="M74" s="176"/>
      <c r="N74" s="176"/>
      <c r="O74" s="176"/>
      <c r="P74" s="176"/>
      <c r="Q74" s="176"/>
      <c r="R74" s="176"/>
      <c r="S74" s="176"/>
      <c r="T74" s="17"/>
    </row>
    <row r="75" spans="1:20" ht="21.75" customHeight="1" x14ac:dyDescent="0.25">
      <c r="A75" s="17"/>
      <c r="B75" s="494"/>
      <c r="C75" s="494"/>
      <c r="D75" s="494"/>
      <c r="E75" s="494"/>
      <c r="F75" s="494"/>
      <c r="G75" s="494"/>
      <c r="H75" s="494"/>
      <c r="I75" s="494"/>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491"/>
      <c r="C77" s="491"/>
      <c r="D77" s="491"/>
      <c r="E77" s="491"/>
      <c r="F77" s="491"/>
      <c r="G77" s="491"/>
      <c r="H77" s="491"/>
      <c r="I77" s="491"/>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7" zoomScale="85" zoomScaleSheetLayoutView="85" workbookViewId="0">
      <selection activeCell="AE27" sqref="AE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14.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12" customFormat="1" ht="18.75" x14ac:dyDescent="0.3">
      <c r="AV6" s="1"/>
    </row>
    <row r="7" spans="1:48" s="212" customFormat="1" ht="18.75" x14ac:dyDescent="0.25">
      <c r="A7" s="470" t="s">
        <v>7</v>
      </c>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c r="AP7" s="470"/>
      <c r="AQ7" s="470"/>
      <c r="AR7" s="470"/>
      <c r="AS7" s="470"/>
      <c r="AT7" s="470"/>
      <c r="AU7" s="470"/>
      <c r="AV7" s="470"/>
    </row>
    <row r="8" spans="1:48" s="212" customFormat="1" ht="18.75" x14ac:dyDescent="0.25">
      <c r="A8" s="470"/>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0"/>
      <c r="AK8" s="470"/>
      <c r="AL8" s="470"/>
      <c r="AM8" s="470"/>
      <c r="AN8" s="470"/>
      <c r="AO8" s="470"/>
      <c r="AP8" s="470"/>
      <c r="AQ8" s="470"/>
      <c r="AR8" s="470"/>
      <c r="AS8" s="470"/>
      <c r="AT8" s="470"/>
      <c r="AU8" s="470"/>
      <c r="AV8" s="470"/>
    </row>
    <row r="9" spans="1:48" s="212" customFormat="1" x14ac:dyDescent="0.25">
      <c r="A9" s="513" t="str">
        <f>'1. паспорт местоположение'!A9:C9</f>
        <v>Акционерное общество "Россети Янтарь"</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c r="AH9" s="513"/>
      <c r="AI9" s="513"/>
      <c r="AJ9" s="513"/>
      <c r="AK9" s="513"/>
      <c r="AL9" s="513"/>
      <c r="AM9" s="513"/>
      <c r="AN9" s="513"/>
      <c r="AO9" s="513"/>
      <c r="AP9" s="513"/>
      <c r="AQ9" s="513"/>
      <c r="AR9" s="513"/>
      <c r="AS9" s="513"/>
      <c r="AT9" s="513"/>
      <c r="AU9" s="513"/>
      <c r="AV9" s="513"/>
    </row>
    <row r="10" spans="1:48" s="212" customFormat="1" ht="15.75" x14ac:dyDescent="0.25">
      <c r="A10" s="472" t="s">
        <v>6</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s="212" customFormat="1" ht="18.75" x14ac:dyDescent="0.25">
      <c r="A11" s="470"/>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c r="AD11" s="470"/>
      <c r="AE11" s="470"/>
      <c r="AF11" s="470"/>
      <c r="AG11" s="470"/>
      <c r="AH11" s="470"/>
      <c r="AI11" s="470"/>
      <c r="AJ11" s="470"/>
      <c r="AK11" s="470"/>
      <c r="AL11" s="470"/>
      <c r="AM11" s="470"/>
      <c r="AN11" s="470"/>
      <c r="AO11" s="470"/>
      <c r="AP11" s="470"/>
      <c r="AQ11" s="470"/>
      <c r="AR11" s="470"/>
      <c r="AS11" s="470"/>
      <c r="AT11" s="470"/>
      <c r="AU11" s="470"/>
      <c r="AV11" s="470"/>
    </row>
    <row r="12" spans="1:48" s="212" customFormat="1" x14ac:dyDescent="0.25">
      <c r="A12" s="513" t="str">
        <f>'1. паспорт местоположение'!A12:C12</f>
        <v>M_21-0295</v>
      </c>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c r="AD12" s="513"/>
      <c r="AE12" s="513"/>
      <c r="AF12" s="513"/>
      <c r="AG12" s="513"/>
      <c r="AH12" s="513"/>
      <c r="AI12" s="513"/>
      <c r="AJ12" s="513"/>
      <c r="AK12" s="513"/>
      <c r="AL12" s="513"/>
      <c r="AM12" s="513"/>
      <c r="AN12" s="513"/>
      <c r="AO12" s="513"/>
      <c r="AP12" s="513"/>
      <c r="AQ12" s="513"/>
      <c r="AR12" s="513"/>
      <c r="AS12" s="513"/>
      <c r="AT12" s="513"/>
      <c r="AU12" s="513"/>
      <c r="AV12" s="513"/>
    </row>
    <row r="13" spans="1:48" s="212" customFormat="1" ht="15.75" x14ac:dyDescent="0.25">
      <c r="A13" s="472" t="s">
        <v>5</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s="212" customFormat="1" ht="18.75" x14ac:dyDescent="0.25">
      <c r="A14" s="514"/>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c r="AH14" s="514"/>
      <c r="AI14" s="514"/>
      <c r="AJ14" s="514"/>
      <c r="AK14" s="514"/>
      <c r="AL14" s="514"/>
      <c r="AM14" s="514"/>
      <c r="AN14" s="514"/>
      <c r="AO14" s="514"/>
      <c r="AP14" s="514"/>
      <c r="AQ14" s="514"/>
      <c r="AR14" s="514"/>
      <c r="AS14" s="514"/>
      <c r="AT14" s="514"/>
      <c r="AU14" s="514"/>
      <c r="AV14" s="514"/>
    </row>
    <row r="15" spans="1:48" s="212" customFormat="1" x14ac:dyDescent="0.25">
      <c r="A15" s="513" t="str">
        <f>'1. паспорт местоположение'!A15</f>
        <v>Строительство ТП 10/0,4 кВ, ЛЭП 10 кВ от ВЛ 35-03, ЛЭП 10 кВ от ВЛ 35-17, организация системы учета электроэнергии в п. Котельниково Зеленоградского района</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3"/>
      <c r="AE15" s="513"/>
      <c r="AF15" s="513"/>
      <c r="AG15" s="513"/>
      <c r="AH15" s="513"/>
      <c r="AI15" s="513"/>
      <c r="AJ15" s="513"/>
      <c r="AK15" s="513"/>
      <c r="AL15" s="513"/>
      <c r="AM15" s="513"/>
      <c r="AN15" s="513"/>
      <c r="AO15" s="513"/>
      <c r="AP15" s="513"/>
      <c r="AQ15" s="513"/>
      <c r="AR15" s="513"/>
      <c r="AS15" s="513"/>
      <c r="AT15" s="513"/>
      <c r="AU15" s="513"/>
      <c r="AV15" s="513"/>
    </row>
    <row r="16" spans="1:48" s="212" customFormat="1" ht="15.75" x14ac:dyDescent="0.25">
      <c r="A16" s="472" t="s">
        <v>4</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s="212" customFormat="1" x14ac:dyDescent="0.25">
      <c r="A17" s="511"/>
      <c r="B17" s="511"/>
      <c r="C17" s="511"/>
      <c r="D17" s="511"/>
      <c r="E17" s="511"/>
      <c r="F17" s="511"/>
      <c r="G17" s="511"/>
      <c r="H17" s="511"/>
      <c r="I17" s="511"/>
      <c r="J17" s="511"/>
      <c r="K17" s="511"/>
      <c r="L17" s="511"/>
      <c r="M17" s="511"/>
      <c r="N17" s="511"/>
      <c r="O17" s="511"/>
      <c r="P17" s="511"/>
      <c r="Q17" s="511"/>
      <c r="R17" s="511"/>
      <c r="S17" s="511"/>
      <c r="T17" s="511"/>
      <c r="U17" s="511"/>
      <c r="V17" s="511"/>
      <c r="W17" s="511"/>
      <c r="X17" s="511"/>
      <c r="Y17" s="511"/>
      <c r="Z17" s="511"/>
      <c r="AA17" s="511"/>
      <c r="AB17" s="511"/>
      <c r="AC17" s="511"/>
      <c r="AD17" s="511"/>
      <c r="AE17" s="511"/>
      <c r="AF17" s="511"/>
      <c r="AG17" s="511"/>
      <c r="AH17" s="511"/>
      <c r="AI17" s="511"/>
      <c r="AJ17" s="511"/>
      <c r="AK17" s="511"/>
      <c r="AL17" s="511"/>
      <c r="AM17" s="511"/>
      <c r="AN17" s="511"/>
      <c r="AO17" s="511"/>
      <c r="AP17" s="511"/>
      <c r="AQ17" s="511"/>
      <c r="AR17" s="511"/>
      <c r="AS17" s="511"/>
      <c r="AT17" s="511"/>
      <c r="AU17" s="511"/>
      <c r="AV17" s="511"/>
    </row>
    <row r="18" spans="1:48" s="212" customFormat="1" ht="14.25" customHeight="1" x14ac:dyDescent="0.25">
      <c r="A18" s="511"/>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c r="AJ18" s="511"/>
      <c r="AK18" s="511"/>
      <c r="AL18" s="511"/>
      <c r="AM18" s="511"/>
      <c r="AN18" s="511"/>
      <c r="AO18" s="511"/>
      <c r="AP18" s="511"/>
      <c r="AQ18" s="511"/>
      <c r="AR18" s="511"/>
      <c r="AS18" s="511"/>
      <c r="AT18" s="511"/>
      <c r="AU18" s="511"/>
      <c r="AV18" s="511"/>
    </row>
    <row r="19" spans="1:48" s="212" customFormat="1" x14ac:dyDescent="0.25">
      <c r="A19" s="511"/>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c r="AA19" s="511"/>
      <c r="AB19" s="511"/>
      <c r="AC19" s="511"/>
      <c r="AD19" s="511"/>
      <c r="AE19" s="511"/>
      <c r="AF19" s="511"/>
      <c r="AG19" s="511"/>
      <c r="AH19" s="511"/>
      <c r="AI19" s="511"/>
      <c r="AJ19" s="511"/>
      <c r="AK19" s="511"/>
      <c r="AL19" s="511"/>
      <c r="AM19" s="511"/>
      <c r="AN19" s="511"/>
      <c r="AO19" s="511"/>
      <c r="AP19" s="511"/>
      <c r="AQ19" s="511"/>
      <c r="AR19" s="511"/>
      <c r="AS19" s="511"/>
      <c r="AT19" s="511"/>
      <c r="AU19" s="511"/>
      <c r="AV19" s="511"/>
    </row>
    <row r="20" spans="1:48" s="213" customFormat="1" x14ac:dyDescent="0.25">
      <c r="A20" s="512"/>
      <c r="B20" s="512"/>
      <c r="C20" s="512"/>
      <c r="D20" s="512"/>
      <c r="E20" s="512"/>
      <c r="F20" s="512"/>
      <c r="G20" s="512"/>
      <c r="H20" s="512"/>
      <c r="I20" s="512"/>
      <c r="J20" s="512"/>
      <c r="K20" s="512"/>
      <c r="L20" s="512"/>
      <c r="M20" s="512"/>
      <c r="N20" s="512"/>
      <c r="O20" s="512"/>
      <c r="P20" s="512"/>
      <c r="Q20" s="512"/>
      <c r="R20" s="512"/>
      <c r="S20" s="512"/>
      <c r="T20" s="512"/>
      <c r="U20" s="512"/>
      <c r="V20" s="512"/>
      <c r="W20" s="512"/>
      <c r="X20" s="512"/>
      <c r="Y20" s="512"/>
      <c r="Z20" s="512"/>
      <c r="AA20" s="512"/>
      <c r="AB20" s="512"/>
      <c r="AC20" s="512"/>
      <c r="AD20" s="512"/>
      <c r="AE20" s="512"/>
      <c r="AF20" s="512"/>
      <c r="AG20" s="512"/>
      <c r="AH20" s="512"/>
      <c r="AI20" s="512"/>
      <c r="AJ20" s="512"/>
      <c r="AK20" s="512"/>
      <c r="AL20" s="512"/>
      <c r="AM20" s="512"/>
      <c r="AN20" s="512"/>
      <c r="AO20" s="512"/>
      <c r="AP20" s="512"/>
      <c r="AQ20" s="512"/>
      <c r="AR20" s="512"/>
      <c r="AS20" s="512"/>
      <c r="AT20" s="512"/>
      <c r="AU20" s="512"/>
      <c r="AV20" s="512"/>
    </row>
    <row r="21" spans="1:48" s="213" customFormat="1" x14ac:dyDescent="0.25">
      <c r="A21" s="515" t="s">
        <v>372</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32" customFormat="1" ht="58.5" customHeight="1" x14ac:dyDescent="0.25">
      <c r="A22" s="516" t="s">
        <v>50</v>
      </c>
      <c r="B22" s="519" t="s">
        <v>22</v>
      </c>
      <c r="C22" s="516" t="s">
        <v>49</v>
      </c>
      <c r="D22" s="516" t="s">
        <v>48</v>
      </c>
      <c r="E22" s="522" t="s">
        <v>381</v>
      </c>
      <c r="F22" s="523"/>
      <c r="G22" s="523"/>
      <c r="H22" s="523"/>
      <c r="I22" s="523"/>
      <c r="J22" s="523"/>
      <c r="K22" s="523"/>
      <c r="L22" s="524"/>
      <c r="M22" s="516" t="s">
        <v>47</v>
      </c>
      <c r="N22" s="516" t="s">
        <v>46</v>
      </c>
      <c r="O22" s="516" t="s">
        <v>45</v>
      </c>
      <c r="P22" s="525" t="s">
        <v>208</v>
      </c>
      <c r="Q22" s="525" t="s">
        <v>44</v>
      </c>
      <c r="R22" s="525" t="s">
        <v>43</v>
      </c>
      <c r="S22" s="525" t="s">
        <v>42</v>
      </c>
      <c r="T22" s="525"/>
      <c r="U22" s="526" t="s">
        <v>41</v>
      </c>
      <c r="V22" s="526" t="s">
        <v>40</v>
      </c>
      <c r="W22" s="525" t="s">
        <v>39</v>
      </c>
      <c r="X22" s="525" t="s">
        <v>38</v>
      </c>
      <c r="Y22" s="525" t="s">
        <v>37</v>
      </c>
      <c r="Z22" s="537" t="s">
        <v>36</v>
      </c>
      <c r="AA22" s="525" t="s">
        <v>35</v>
      </c>
      <c r="AB22" s="525" t="s">
        <v>34</v>
      </c>
      <c r="AC22" s="525" t="s">
        <v>33</v>
      </c>
      <c r="AD22" s="525" t="s">
        <v>32</v>
      </c>
      <c r="AE22" s="525" t="s">
        <v>31</v>
      </c>
      <c r="AF22" s="525" t="s">
        <v>30</v>
      </c>
      <c r="AG22" s="525"/>
      <c r="AH22" s="525"/>
      <c r="AI22" s="525"/>
      <c r="AJ22" s="525"/>
      <c r="AK22" s="525"/>
      <c r="AL22" s="525" t="s">
        <v>29</v>
      </c>
      <c r="AM22" s="525"/>
      <c r="AN22" s="525"/>
      <c r="AO22" s="525"/>
      <c r="AP22" s="525" t="s">
        <v>28</v>
      </c>
      <c r="AQ22" s="525"/>
      <c r="AR22" s="525" t="s">
        <v>27</v>
      </c>
      <c r="AS22" s="525" t="s">
        <v>26</v>
      </c>
      <c r="AT22" s="525" t="s">
        <v>25</v>
      </c>
      <c r="AU22" s="525" t="s">
        <v>24</v>
      </c>
      <c r="AV22" s="525" t="s">
        <v>23</v>
      </c>
    </row>
    <row r="23" spans="1:48" s="132" customFormat="1" ht="64.5" customHeight="1" x14ac:dyDescent="0.25">
      <c r="A23" s="517"/>
      <c r="B23" s="520"/>
      <c r="C23" s="517"/>
      <c r="D23" s="517"/>
      <c r="E23" s="529" t="s">
        <v>21</v>
      </c>
      <c r="F23" s="531" t="s">
        <v>125</v>
      </c>
      <c r="G23" s="531" t="s">
        <v>124</v>
      </c>
      <c r="H23" s="531" t="s">
        <v>123</v>
      </c>
      <c r="I23" s="535" t="s">
        <v>318</v>
      </c>
      <c r="J23" s="535" t="s">
        <v>319</v>
      </c>
      <c r="K23" s="535" t="s">
        <v>320</v>
      </c>
      <c r="L23" s="531" t="s">
        <v>74</v>
      </c>
      <c r="M23" s="517"/>
      <c r="N23" s="517"/>
      <c r="O23" s="517"/>
      <c r="P23" s="525"/>
      <c r="Q23" s="525"/>
      <c r="R23" s="525"/>
      <c r="S23" s="533" t="s">
        <v>2</v>
      </c>
      <c r="T23" s="533" t="s">
        <v>9</v>
      </c>
      <c r="U23" s="526"/>
      <c r="V23" s="526"/>
      <c r="W23" s="525"/>
      <c r="X23" s="525"/>
      <c r="Y23" s="525"/>
      <c r="Z23" s="525"/>
      <c r="AA23" s="525"/>
      <c r="AB23" s="525"/>
      <c r="AC23" s="525"/>
      <c r="AD23" s="525"/>
      <c r="AE23" s="525"/>
      <c r="AF23" s="525" t="s">
        <v>20</v>
      </c>
      <c r="AG23" s="525"/>
      <c r="AH23" s="525" t="s">
        <v>19</v>
      </c>
      <c r="AI23" s="525"/>
      <c r="AJ23" s="516" t="s">
        <v>18</v>
      </c>
      <c r="AK23" s="516" t="s">
        <v>17</v>
      </c>
      <c r="AL23" s="516" t="s">
        <v>16</v>
      </c>
      <c r="AM23" s="516" t="s">
        <v>15</v>
      </c>
      <c r="AN23" s="516" t="s">
        <v>14</v>
      </c>
      <c r="AO23" s="516" t="s">
        <v>13</v>
      </c>
      <c r="AP23" s="516" t="s">
        <v>12</v>
      </c>
      <c r="AQ23" s="527" t="s">
        <v>9</v>
      </c>
      <c r="AR23" s="525"/>
      <c r="AS23" s="525"/>
      <c r="AT23" s="525"/>
      <c r="AU23" s="525"/>
      <c r="AV23" s="525"/>
    </row>
    <row r="24" spans="1:48" s="132" customFormat="1" ht="96.75" customHeight="1" x14ac:dyDescent="0.25">
      <c r="A24" s="518"/>
      <c r="B24" s="521"/>
      <c r="C24" s="518"/>
      <c r="D24" s="518"/>
      <c r="E24" s="530"/>
      <c r="F24" s="532"/>
      <c r="G24" s="532"/>
      <c r="H24" s="532"/>
      <c r="I24" s="536"/>
      <c r="J24" s="536"/>
      <c r="K24" s="536"/>
      <c r="L24" s="532"/>
      <c r="M24" s="518"/>
      <c r="N24" s="518"/>
      <c r="O24" s="518"/>
      <c r="P24" s="525"/>
      <c r="Q24" s="525"/>
      <c r="R24" s="525"/>
      <c r="S24" s="534"/>
      <c r="T24" s="534"/>
      <c r="U24" s="526"/>
      <c r="V24" s="526"/>
      <c r="W24" s="525"/>
      <c r="X24" s="525"/>
      <c r="Y24" s="525"/>
      <c r="Z24" s="525"/>
      <c r="AA24" s="525"/>
      <c r="AB24" s="525"/>
      <c r="AC24" s="525"/>
      <c r="AD24" s="525"/>
      <c r="AE24" s="525"/>
      <c r="AF24" s="133" t="s">
        <v>11</v>
      </c>
      <c r="AG24" s="133" t="s">
        <v>10</v>
      </c>
      <c r="AH24" s="134" t="s">
        <v>2</v>
      </c>
      <c r="AI24" s="134" t="s">
        <v>9</v>
      </c>
      <c r="AJ24" s="518"/>
      <c r="AK24" s="518"/>
      <c r="AL24" s="518"/>
      <c r="AM24" s="518"/>
      <c r="AN24" s="518"/>
      <c r="AO24" s="518"/>
      <c r="AP24" s="518"/>
      <c r="AQ24" s="528"/>
      <c r="AR24" s="525"/>
      <c r="AS24" s="525"/>
      <c r="AT24" s="525"/>
      <c r="AU24" s="525"/>
      <c r="AV24" s="525"/>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6" customFormat="1" ht="38.25" x14ac:dyDescent="0.25">
      <c r="A26" s="217">
        <v>1</v>
      </c>
      <c r="B26" s="218" t="s">
        <v>388</v>
      </c>
      <c r="C26" s="218">
        <v>1</v>
      </c>
      <c r="D26" s="219" t="s">
        <v>481</v>
      </c>
      <c r="E26" s="218"/>
      <c r="F26" s="218"/>
      <c r="G26" s="218">
        <f>'3.1. паспорт Техсостояние ПС'!O25</f>
        <v>2</v>
      </c>
      <c r="H26" s="218"/>
      <c r="I26" s="349">
        <f>'3.2 паспорт Техсостояние ЛЭП'!R26</f>
        <v>0.1</v>
      </c>
      <c r="J26" s="220"/>
      <c r="K26" s="349"/>
      <c r="L26" s="218"/>
      <c r="M26" s="221" t="s">
        <v>605</v>
      </c>
      <c r="N26" s="222" t="s">
        <v>629</v>
      </c>
      <c r="O26" s="223" t="s">
        <v>388</v>
      </c>
      <c r="P26" s="224">
        <v>7674.18</v>
      </c>
      <c r="Q26" s="221" t="s">
        <v>606</v>
      </c>
      <c r="R26" s="224">
        <v>7674.18</v>
      </c>
      <c r="S26" s="223" t="s">
        <v>607</v>
      </c>
      <c r="T26" s="223" t="s">
        <v>630</v>
      </c>
      <c r="U26" s="221" t="s">
        <v>60</v>
      </c>
      <c r="V26" s="221" t="s">
        <v>60</v>
      </c>
      <c r="W26" s="223" t="s">
        <v>631</v>
      </c>
      <c r="X26" s="224" t="s">
        <v>632</v>
      </c>
      <c r="Y26" s="221"/>
      <c r="Z26" s="221" t="s">
        <v>60</v>
      </c>
      <c r="AA26" s="224" t="s">
        <v>632</v>
      </c>
      <c r="AB26" s="224" t="s">
        <v>632</v>
      </c>
      <c r="AC26" s="223" t="s">
        <v>631</v>
      </c>
      <c r="AD26" s="224">
        <f>'8. Общие сведения'!B33*1000</f>
        <v>9207.1400000000012</v>
      </c>
      <c r="AE26" s="224">
        <f>AD26</f>
        <v>9207.1400000000012</v>
      </c>
      <c r="AF26" s="221" t="s">
        <v>633</v>
      </c>
      <c r="AG26" s="223" t="s">
        <v>608</v>
      </c>
      <c r="AH26" s="225">
        <v>44418</v>
      </c>
      <c r="AI26" s="225">
        <v>44418</v>
      </c>
      <c r="AJ26" s="225" t="s">
        <v>634</v>
      </c>
      <c r="AK26" s="225" t="s">
        <v>635</v>
      </c>
      <c r="AL26" s="221"/>
      <c r="AM26" s="221"/>
      <c r="AN26" s="221"/>
      <c r="AO26" s="221"/>
      <c r="AP26" s="221" t="s">
        <v>636</v>
      </c>
      <c r="AQ26" s="221" t="s">
        <v>636</v>
      </c>
      <c r="AR26" s="221" t="s">
        <v>636</v>
      </c>
      <c r="AS26" s="221" t="s">
        <v>636</v>
      </c>
      <c r="AT26" s="221" t="s">
        <v>637</v>
      </c>
      <c r="AU26" s="221"/>
      <c r="AV26" s="223"/>
    </row>
    <row r="27" spans="1:48" s="231" customFormat="1" ht="12.75" x14ac:dyDescent="0.25">
      <c r="A27" s="227"/>
      <c r="B27" s="228"/>
      <c r="C27" s="228"/>
      <c r="D27" s="229"/>
      <c r="E27" s="228"/>
      <c r="F27" s="228"/>
      <c r="G27" s="228"/>
      <c r="H27" s="228"/>
      <c r="I27" s="230"/>
      <c r="J27" s="230"/>
      <c r="K27" s="228"/>
      <c r="L27" s="228"/>
      <c r="M27" s="221"/>
      <c r="N27" s="223"/>
      <c r="O27" s="221"/>
      <c r="P27" s="224"/>
      <c r="Q27" s="223"/>
      <c r="R27" s="224"/>
      <c r="S27" s="223"/>
      <c r="T27" s="223"/>
      <c r="U27" s="221"/>
      <c r="V27" s="221"/>
      <c r="W27" s="223" t="s">
        <v>638</v>
      </c>
      <c r="X27" s="224" t="s">
        <v>639</v>
      </c>
      <c r="Y27" s="221"/>
      <c r="Z27" s="221"/>
      <c r="AA27" s="224" t="s">
        <v>639</v>
      </c>
      <c r="AB27" s="224"/>
      <c r="AC27" s="221"/>
      <c r="AD27" s="224"/>
      <c r="AE27" s="224"/>
      <c r="AF27" s="221"/>
      <c r="AG27" s="221"/>
      <c r="AH27" s="225"/>
      <c r="AI27" s="225"/>
      <c r="AJ27" s="225"/>
      <c r="AK27" s="225"/>
      <c r="AL27" s="221"/>
      <c r="AM27" s="221"/>
      <c r="AN27" s="221"/>
      <c r="AO27" s="221"/>
      <c r="AP27" s="221"/>
      <c r="AQ27" s="221"/>
      <c r="AR27" s="221"/>
      <c r="AS27" s="221"/>
      <c r="AT27" s="221"/>
      <c r="AU27" s="221"/>
      <c r="AV27" s="221"/>
    </row>
    <row r="28" spans="1:48" s="231" customFormat="1" ht="25.5" x14ac:dyDescent="0.25">
      <c r="A28" s="227"/>
      <c r="B28" s="228"/>
      <c r="C28" s="228"/>
      <c r="D28" s="229"/>
      <c r="E28" s="228"/>
      <c r="F28" s="228"/>
      <c r="G28" s="228"/>
      <c r="H28" s="228"/>
      <c r="I28" s="230"/>
      <c r="J28" s="230"/>
      <c r="K28" s="228"/>
      <c r="L28" s="228"/>
      <c r="M28" s="221"/>
      <c r="N28" s="223"/>
      <c r="O28" s="221"/>
      <c r="P28" s="224"/>
      <c r="Q28" s="223"/>
      <c r="R28" s="224"/>
      <c r="S28" s="223"/>
      <c r="T28" s="223"/>
      <c r="U28" s="221"/>
      <c r="V28" s="221"/>
      <c r="W28" s="223" t="s">
        <v>640</v>
      </c>
      <c r="X28" s="224" t="s">
        <v>641</v>
      </c>
      <c r="Y28" s="221"/>
      <c r="Z28" s="221"/>
      <c r="AA28" s="224" t="s">
        <v>641</v>
      </c>
      <c r="AB28" s="224"/>
      <c r="AC28" s="221"/>
      <c r="AD28" s="224"/>
      <c r="AE28" s="224"/>
      <c r="AF28" s="221"/>
      <c r="AG28" s="221"/>
      <c r="AH28" s="225"/>
      <c r="AI28" s="225"/>
      <c r="AJ28" s="225"/>
      <c r="AK28" s="225"/>
      <c r="AL28" s="221"/>
      <c r="AM28" s="221"/>
      <c r="AN28" s="221"/>
      <c r="AO28" s="221"/>
      <c r="AP28" s="221"/>
      <c r="AQ28" s="221"/>
      <c r="AR28" s="221"/>
      <c r="AS28" s="221"/>
      <c r="AT28" s="221"/>
      <c r="AU28" s="221"/>
      <c r="AV28" s="221"/>
    </row>
    <row r="29" spans="1:48" s="231" customFormat="1" ht="12.75" x14ac:dyDescent="0.25">
      <c r="A29" s="227"/>
      <c r="B29" s="218"/>
      <c r="C29" s="218"/>
      <c r="D29" s="219"/>
      <c r="E29" s="218"/>
      <c r="F29" s="218"/>
      <c r="G29" s="218"/>
      <c r="H29" s="218"/>
      <c r="I29" s="220"/>
      <c r="J29" s="220"/>
      <c r="K29" s="218"/>
      <c r="L29" s="218"/>
      <c r="M29" s="228"/>
      <c r="N29" s="228"/>
      <c r="O29" s="228"/>
      <c r="P29" s="224"/>
      <c r="Q29" s="228"/>
      <c r="R29" s="228"/>
      <c r="S29" s="228"/>
      <c r="T29" s="228"/>
      <c r="U29" s="228"/>
      <c r="V29" s="228"/>
      <c r="W29" s="228"/>
      <c r="X29" s="224"/>
      <c r="Y29" s="228"/>
      <c r="Z29" s="228"/>
      <c r="AA29" s="224"/>
      <c r="AB29" s="224"/>
      <c r="AC29" s="228"/>
      <c r="AD29" s="224"/>
      <c r="AE29" s="224"/>
      <c r="AF29" s="229"/>
      <c r="AG29" s="228"/>
      <c r="AH29" s="229"/>
      <c r="AI29" s="229"/>
      <c r="AJ29" s="229"/>
      <c r="AK29" s="229"/>
      <c r="AL29" s="228"/>
      <c r="AM29" s="228"/>
      <c r="AN29" s="228"/>
      <c r="AO29" s="228"/>
      <c r="AP29" s="228"/>
      <c r="AQ29" s="228"/>
      <c r="AR29" s="228"/>
      <c r="AS29" s="228"/>
      <c r="AT29" s="228"/>
      <c r="AU29" s="228"/>
      <c r="AV29" s="228"/>
    </row>
    <row r="30" spans="1:48" s="231" customFormat="1" ht="12.75" x14ac:dyDescent="0.25">
      <c r="A30" s="227"/>
      <c r="B30" s="218"/>
      <c r="C30" s="218"/>
      <c r="D30" s="219"/>
      <c r="E30" s="218"/>
      <c r="F30" s="218"/>
      <c r="G30" s="218"/>
      <c r="H30" s="218"/>
      <c r="I30" s="220"/>
      <c r="J30" s="220"/>
      <c r="K30" s="218"/>
      <c r="L30" s="218"/>
      <c r="M30" s="228"/>
      <c r="N30" s="228"/>
      <c r="O30" s="228"/>
      <c r="P30" s="224"/>
      <c r="Q30" s="228"/>
      <c r="R30" s="228"/>
      <c r="S30" s="228"/>
      <c r="T30" s="228"/>
      <c r="U30" s="228"/>
      <c r="V30" s="228"/>
      <c r="W30" s="228"/>
      <c r="X30" s="224"/>
      <c r="Y30" s="228"/>
      <c r="Z30" s="228"/>
      <c r="AA30" s="224"/>
      <c r="AB30" s="224"/>
      <c r="AC30" s="228"/>
      <c r="AD30" s="224"/>
      <c r="AE30" s="224"/>
      <c r="AF30" s="229"/>
      <c r="AG30" s="228"/>
      <c r="AH30" s="229"/>
      <c r="AI30" s="229"/>
      <c r="AJ30" s="229"/>
      <c r="AK30" s="229"/>
      <c r="AL30" s="228"/>
      <c r="AM30" s="228"/>
      <c r="AN30" s="228"/>
      <c r="AO30" s="228"/>
      <c r="AP30" s="228"/>
      <c r="AQ30" s="228"/>
      <c r="AR30" s="228"/>
      <c r="AS30" s="228"/>
      <c r="AT30" s="228"/>
      <c r="AU30" s="228"/>
      <c r="AV30" s="228"/>
    </row>
    <row r="31" spans="1:48" s="231" customFormat="1" ht="12.75" x14ac:dyDescent="0.25">
      <c r="A31" s="227"/>
      <c r="B31" s="218"/>
      <c r="C31" s="218"/>
      <c r="D31" s="219"/>
      <c r="E31" s="218"/>
      <c r="F31" s="218"/>
      <c r="G31" s="218"/>
      <c r="H31" s="218"/>
      <c r="I31" s="220"/>
      <c r="J31" s="220"/>
      <c r="K31" s="218"/>
      <c r="L31" s="218"/>
      <c r="M31" s="228"/>
      <c r="N31" s="228"/>
      <c r="O31" s="228"/>
      <c r="P31" s="224"/>
      <c r="Q31" s="228"/>
      <c r="R31" s="228"/>
      <c r="S31" s="228"/>
      <c r="T31" s="228"/>
      <c r="U31" s="228"/>
      <c r="V31" s="228"/>
      <c r="W31" s="228"/>
      <c r="X31" s="224"/>
      <c r="Y31" s="228"/>
      <c r="Z31" s="228"/>
      <c r="AA31" s="224"/>
      <c r="AB31" s="224"/>
      <c r="AC31" s="228"/>
      <c r="AD31" s="224"/>
      <c r="AE31" s="224"/>
      <c r="AF31" s="229"/>
      <c r="AG31" s="228"/>
      <c r="AH31" s="229"/>
      <c r="AI31" s="229"/>
      <c r="AJ31" s="229"/>
      <c r="AK31" s="229"/>
      <c r="AL31" s="228"/>
      <c r="AM31" s="228"/>
      <c r="AN31" s="228"/>
      <c r="AO31" s="228"/>
      <c r="AP31" s="228"/>
      <c r="AQ31" s="228"/>
      <c r="AR31" s="228"/>
      <c r="AS31" s="228"/>
      <c r="AT31" s="228"/>
      <c r="AU31" s="228"/>
      <c r="AV31" s="228"/>
    </row>
    <row r="32" spans="1:48" x14ac:dyDescent="0.25">
      <c r="AD32" s="232">
        <f>SUM(AD26:AD31)</f>
        <v>9207.1400000000012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60"/>
  <sheetViews>
    <sheetView view="pageBreakPreview" topLeftCell="A7" zoomScale="90" zoomScaleNormal="90" zoomScaleSheetLayoutView="90" workbookViewId="0">
      <selection activeCell="B123" sqref="B123:B124"/>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8" t="str">
        <f>'2. паспорт  ТП'!A4:S4</f>
        <v>Год раскрытия информации: 2023 год</v>
      </c>
      <c r="B5" s="538"/>
      <c r="C5" s="26"/>
      <c r="D5" s="26"/>
      <c r="E5" s="26"/>
      <c r="F5" s="26"/>
      <c r="G5" s="26"/>
      <c r="H5" s="26"/>
    </row>
    <row r="6" spans="1:8" ht="18.75" x14ac:dyDescent="0.3">
      <c r="A6" s="178"/>
      <c r="B6" s="178"/>
      <c r="C6" s="178"/>
      <c r="D6" s="178"/>
      <c r="E6" s="178"/>
      <c r="F6" s="178"/>
      <c r="G6" s="178"/>
      <c r="H6" s="178"/>
    </row>
    <row r="7" spans="1:8" ht="18.75" x14ac:dyDescent="0.25">
      <c r="A7" s="489" t="s">
        <v>7</v>
      </c>
      <c r="B7" s="489"/>
      <c r="C7" s="214"/>
      <c r="D7" s="214"/>
      <c r="E7" s="214"/>
      <c r="F7" s="214"/>
      <c r="G7" s="214"/>
      <c r="H7" s="214"/>
    </row>
    <row r="8" spans="1:8" ht="18.75" x14ac:dyDescent="0.25">
      <c r="A8" s="214"/>
      <c r="B8" s="214"/>
      <c r="C8" s="214"/>
      <c r="D8" s="214"/>
      <c r="E8" s="214"/>
      <c r="F8" s="214"/>
      <c r="G8" s="214"/>
      <c r="H8" s="214"/>
    </row>
    <row r="9" spans="1:8" x14ac:dyDescent="0.25">
      <c r="A9" s="490" t="str">
        <f>'1. паспорт местоположение'!A9:C9</f>
        <v>Акционерное общество "Россети Янтарь"</v>
      </c>
      <c r="B9" s="490"/>
      <c r="C9" s="215"/>
      <c r="D9" s="215"/>
      <c r="E9" s="215"/>
      <c r="F9" s="215"/>
      <c r="G9" s="215"/>
      <c r="H9" s="215"/>
    </row>
    <row r="10" spans="1:8" x14ac:dyDescent="0.25">
      <c r="A10" s="476" t="s">
        <v>6</v>
      </c>
      <c r="B10" s="476"/>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90" t="str">
        <f>'1. паспорт местоположение'!A12:C12</f>
        <v>M_21-0295</v>
      </c>
      <c r="B12" s="490"/>
      <c r="C12" s="215"/>
      <c r="D12" s="215"/>
      <c r="E12" s="215"/>
      <c r="F12" s="215"/>
      <c r="G12" s="215"/>
      <c r="H12" s="215"/>
    </row>
    <row r="13" spans="1:8" x14ac:dyDescent="0.25">
      <c r="A13" s="476" t="s">
        <v>5</v>
      </c>
      <c r="B13" s="476"/>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7" t="str">
        <f>'1. паспорт местоположение'!A15:C15</f>
        <v>Строительство ТП 10/0,4 кВ, ЛЭП 10 кВ от ВЛ 35-03, ЛЭП 10 кВ от ВЛ 35-17, организация системы учета электроэнергии в п. Котельниково Зеленоградского района</v>
      </c>
      <c r="B15" s="477"/>
      <c r="C15" s="215"/>
      <c r="D15" s="215"/>
      <c r="E15" s="215"/>
      <c r="F15" s="215"/>
      <c r="G15" s="215"/>
      <c r="H15" s="215"/>
    </row>
    <row r="16" spans="1:8" x14ac:dyDescent="0.25">
      <c r="A16" s="476" t="s">
        <v>4</v>
      </c>
      <c r="B16" s="476"/>
      <c r="C16" s="216"/>
      <c r="D16" s="216"/>
      <c r="E16" s="216"/>
      <c r="F16" s="216"/>
      <c r="G16" s="216"/>
      <c r="H16" s="216"/>
    </row>
    <row r="17" spans="1:2" x14ac:dyDescent="0.25">
      <c r="B17" s="29"/>
    </row>
    <row r="18" spans="1:2" ht="33.75" customHeight="1" x14ac:dyDescent="0.25">
      <c r="A18" s="539" t="s">
        <v>373</v>
      </c>
      <c r="B18" s="540"/>
    </row>
    <row r="19" spans="1:2" x14ac:dyDescent="0.25">
      <c r="B19" s="5"/>
    </row>
    <row r="20" spans="1:2" ht="16.5" thickBot="1" x14ac:dyDescent="0.3">
      <c r="B20" s="30"/>
    </row>
    <row r="21" spans="1:2" ht="45.75" thickBot="1" x14ac:dyDescent="0.3">
      <c r="A21" s="31" t="s">
        <v>272</v>
      </c>
      <c r="B21" s="56" t="str">
        <f>A15</f>
        <v>Строительство ТП 10/0,4 кВ, ЛЭП 10 кВ от ВЛ 35-03, ЛЭП 10 кВ от ВЛ 35-17, организация системы учета электроэнергии в п. Котельниково Зеленоградского района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545</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2 (2) МВА; 0,2 (0,2) км</v>
      </c>
    </row>
    <row r="25" spans="1:2" ht="16.5" thickBot="1" x14ac:dyDescent="0.3">
      <c r="A25" s="32" t="s">
        <v>275</v>
      </c>
      <c r="B25" s="60" t="s">
        <v>481</v>
      </c>
    </row>
    <row r="26" spans="1:2" ht="16.5" thickBot="1" x14ac:dyDescent="0.3">
      <c r="A26" s="33" t="s">
        <v>276</v>
      </c>
      <c r="B26" s="61" t="s">
        <v>628</v>
      </c>
    </row>
    <row r="27" spans="1:2" ht="29.25" thickBot="1" x14ac:dyDescent="0.3">
      <c r="A27" s="39" t="s">
        <v>647</v>
      </c>
      <c r="B27" s="148">
        <f>'5. анализ эконом эфф'!B122</f>
        <v>9.9216140639999999</v>
      </c>
    </row>
    <row r="28" spans="1:2" ht="16.5" thickBot="1" x14ac:dyDescent="0.3">
      <c r="A28" s="35" t="s">
        <v>277</v>
      </c>
      <c r="B28" s="61" t="s">
        <v>645</v>
      </c>
    </row>
    <row r="29" spans="1:2" ht="29.25" thickBot="1" x14ac:dyDescent="0.3">
      <c r="A29" s="40" t="s">
        <v>278</v>
      </c>
      <c r="B29" s="148">
        <f>'7. Паспорт отчет о закупке'!AD32/1000</f>
        <v>9.2071400000000008</v>
      </c>
    </row>
    <row r="30" spans="1:2" ht="29.25" thickBot="1" x14ac:dyDescent="0.3">
      <c r="A30" s="40" t="s">
        <v>279</v>
      </c>
      <c r="B30" s="148">
        <f>B32+B49+B66</f>
        <v>9.2491400000000006</v>
      </c>
    </row>
    <row r="31" spans="1:2" ht="16.5" thickBot="1" x14ac:dyDescent="0.3">
      <c r="A31" s="35" t="s">
        <v>280</v>
      </c>
      <c r="B31" s="62"/>
    </row>
    <row r="32" spans="1:2" ht="29.25" thickBot="1" x14ac:dyDescent="0.3">
      <c r="A32" s="40" t="s">
        <v>281</v>
      </c>
      <c r="B32" s="148">
        <f>SUMIF(C33:C48,10,B33:B48)</f>
        <v>9.2071400000000008</v>
      </c>
    </row>
    <row r="33" spans="1:3" ht="30.75" thickBot="1" x14ac:dyDescent="0.3">
      <c r="A33" s="354" t="s">
        <v>642</v>
      </c>
      <c r="B33" s="355">
        <v>9.2071400000000008</v>
      </c>
      <c r="C33" s="17">
        <v>10</v>
      </c>
    </row>
    <row r="34" spans="1:3" ht="16.5" thickBot="1" x14ac:dyDescent="0.3">
      <c r="A34" s="35" t="s">
        <v>283</v>
      </c>
      <c r="B34" s="64">
        <f>B33/$B$27</f>
        <v>0.92798812175204171</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3"/>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3"/>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3"/>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3"/>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3"/>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3"/>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3"/>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SUMIF(C67:C110,30,B67:B110)</f>
        <v>4.1999999999999996E-2</v>
      </c>
    </row>
    <row r="67" spans="1:3" ht="30.75" thickBot="1" x14ac:dyDescent="0.3">
      <c r="A67" s="406" t="s">
        <v>649</v>
      </c>
      <c r="B67" s="407">
        <f>10000/1000000</f>
        <v>0.01</v>
      </c>
      <c r="C67" s="17">
        <v>30</v>
      </c>
    </row>
    <row r="68" spans="1:3" ht="16.5" thickBot="1" x14ac:dyDescent="0.3">
      <c r="A68" s="35" t="s">
        <v>283</v>
      </c>
      <c r="B68" s="64">
        <f>B67/$B$27</f>
        <v>1.0079005225857775E-3</v>
      </c>
    </row>
    <row r="69" spans="1:3" ht="16.5" thickBot="1" x14ac:dyDescent="0.3">
      <c r="A69" s="35" t="s">
        <v>284</v>
      </c>
      <c r="B69" s="148">
        <v>0.01</v>
      </c>
      <c r="C69" s="17">
        <v>1</v>
      </c>
    </row>
    <row r="70" spans="1:3" ht="16.5" thickBot="1" x14ac:dyDescent="0.3">
      <c r="A70" s="35" t="s">
        <v>285</v>
      </c>
      <c r="B70" s="148">
        <v>0.01</v>
      </c>
      <c r="C70" s="17">
        <v>2</v>
      </c>
    </row>
    <row r="71" spans="1:3" ht="30.75" thickBot="1" x14ac:dyDescent="0.3">
      <c r="A71" s="406" t="s">
        <v>650</v>
      </c>
      <c r="B71" s="407">
        <f>21000/1000000</f>
        <v>2.1000000000000001E-2</v>
      </c>
      <c r="C71" s="17">
        <v>30</v>
      </c>
    </row>
    <row r="72" spans="1:3" ht="16.5" thickBot="1" x14ac:dyDescent="0.3">
      <c r="A72" s="35" t="s">
        <v>283</v>
      </c>
      <c r="B72" s="64">
        <f>B71/$B$27</f>
        <v>2.1165910974301331E-3</v>
      </c>
    </row>
    <row r="73" spans="1:3" ht="16.5" thickBot="1" x14ac:dyDescent="0.3">
      <c r="A73" s="35" t="s">
        <v>284</v>
      </c>
      <c r="B73" s="148">
        <v>2.1000000000000001E-2</v>
      </c>
      <c r="C73" s="17">
        <v>1</v>
      </c>
    </row>
    <row r="74" spans="1:3" ht="16.5" thickBot="1" x14ac:dyDescent="0.3">
      <c r="A74" s="35" t="s">
        <v>285</v>
      </c>
      <c r="B74" s="148">
        <v>2.1000000000000001E-2</v>
      </c>
      <c r="C74" s="17">
        <v>2</v>
      </c>
    </row>
    <row r="75" spans="1:3" ht="30.75" thickBot="1" x14ac:dyDescent="0.3">
      <c r="A75" s="406" t="s">
        <v>651</v>
      </c>
      <c r="B75" s="407">
        <f>11000/1000000</f>
        <v>1.0999999999999999E-2</v>
      </c>
      <c r="C75" s="17">
        <v>30</v>
      </c>
    </row>
    <row r="76" spans="1:3" ht="16.5" thickBot="1" x14ac:dyDescent="0.3">
      <c r="A76" s="35" t="s">
        <v>283</v>
      </c>
      <c r="B76" s="64">
        <f>B75/$B$27</f>
        <v>1.1086905748443551E-3</v>
      </c>
    </row>
    <row r="77" spans="1:3" ht="16.5" thickBot="1" x14ac:dyDescent="0.3">
      <c r="A77" s="35" t="s">
        <v>284</v>
      </c>
      <c r="B77" s="148">
        <v>1.0999999999999999E-2</v>
      </c>
      <c r="C77" s="17">
        <v>1</v>
      </c>
    </row>
    <row r="78" spans="1:3" ht="16.5" thickBot="1" x14ac:dyDescent="0.3">
      <c r="A78" s="35" t="s">
        <v>285</v>
      </c>
      <c r="B78" s="148">
        <v>1.0999999999999999E-2</v>
      </c>
      <c r="C78" s="17">
        <v>2</v>
      </c>
    </row>
    <row r="79" spans="1:3" ht="16.5" thickBot="1" x14ac:dyDescent="0.3">
      <c r="A79" s="63" t="s">
        <v>282</v>
      </c>
      <c r="B79" s="233"/>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3"/>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3"/>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16.5" thickBot="1" x14ac:dyDescent="0.3">
      <c r="A91" s="63" t="s">
        <v>282</v>
      </c>
      <c r="B91" s="233"/>
      <c r="C91" s="17">
        <v>30</v>
      </c>
    </row>
    <row r="92" spans="1:3" ht="16.5" thickBot="1" x14ac:dyDescent="0.3">
      <c r="A92" s="35" t="s">
        <v>283</v>
      </c>
      <c r="B92" s="64">
        <f>B91/$B$27</f>
        <v>0</v>
      </c>
    </row>
    <row r="93" spans="1:3" ht="16.5" thickBot="1" x14ac:dyDescent="0.3">
      <c r="A93" s="35" t="s">
        <v>284</v>
      </c>
      <c r="B93" s="148"/>
      <c r="C93" s="17">
        <v>1</v>
      </c>
    </row>
    <row r="94" spans="1:3" ht="16.5" thickBot="1" x14ac:dyDescent="0.3">
      <c r="A94" s="35" t="s">
        <v>285</v>
      </c>
      <c r="B94" s="148"/>
      <c r="C94" s="17">
        <v>2</v>
      </c>
    </row>
    <row r="95" spans="1:3" ht="16.5" thickBot="1" x14ac:dyDescent="0.3">
      <c r="A95" s="63" t="s">
        <v>282</v>
      </c>
      <c r="B95" s="233"/>
      <c r="C95" s="17">
        <v>30</v>
      </c>
    </row>
    <row r="96" spans="1:3" ht="16.5" thickBot="1" x14ac:dyDescent="0.3">
      <c r="A96" s="35" t="s">
        <v>283</v>
      </c>
      <c r="B96" s="64">
        <f>B95/$B$27</f>
        <v>0</v>
      </c>
    </row>
    <row r="97" spans="1:3" ht="16.5" thickBot="1" x14ac:dyDescent="0.3">
      <c r="A97" s="35" t="s">
        <v>284</v>
      </c>
      <c r="B97" s="148"/>
      <c r="C97" s="17">
        <v>1</v>
      </c>
    </row>
    <row r="98" spans="1:3" ht="16.5" thickBot="1" x14ac:dyDescent="0.3">
      <c r="A98" s="35" t="s">
        <v>285</v>
      </c>
      <c r="B98" s="148"/>
      <c r="C98" s="17">
        <v>2</v>
      </c>
    </row>
    <row r="99" spans="1:3" ht="16.5" thickBot="1" x14ac:dyDescent="0.3">
      <c r="A99" s="63" t="s">
        <v>282</v>
      </c>
      <c r="B99" s="233"/>
      <c r="C99" s="17">
        <v>30</v>
      </c>
    </row>
    <row r="100" spans="1:3" ht="16.5" thickBot="1" x14ac:dyDescent="0.3">
      <c r="A100" s="35" t="s">
        <v>283</v>
      </c>
      <c r="B100" s="64">
        <f>B99/$B$27</f>
        <v>0</v>
      </c>
    </row>
    <row r="101" spans="1:3" ht="16.5" thickBot="1" x14ac:dyDescent="0.3">
      <c r="A101" s="35" t="s">
        <v>284</v>
      </c>
      <c r="B101" s="148"/>
      <c r="C101" s="17">
        <v>1</v>
      </c>
    </row>
    <row r="102" spans="1:3" ht="16.5" thickBot="1" x14ac:dyDescent="0.3">
      <c r="A102" s="35" t="s">
        <v>285</v>
      </c>
      <c r="B102" s="148"/>
      <c r="C102" s="17">
        <v>2</v>
      </c>
    </row>
    <row r="103" spans="1:3" ht="16.5" thickBot="1" x14ac:dyDescent="0.3">
      <c r="A103" s="63" t="s">
        <v>282</v>
      </c>
      <c r="B103" s="233"/>
      <c r="C103" s="17">
        <v>30</v>
      </c>
    </row>
    <row r="104" spans="1:3" ht="16.5" thickBot="1" x14ac:dyDescent="0.3">
      <c r="A104" s="35" t="s">
        <v>283</v>
      </c>
      <c r="B104" s="64">
        <f>B103/$B$27</f>
        <v>0</v>
      </c>
    </row>
    <row r="105" spans="1:3" ht="16.5" thickBot="1" x14ac:dyDescent="0.3">
      <c r="A105" s="35" t="s">
        <v>284</v>
      </c>
      <c r="B105" s="148"/>
      <c r="C105" s="17">
        <v>1</v>
      </c>
    </row>
    <row r="106" spans="1:3" ht="16.5" thickBot="1" x14ac:dyDescent="0.3">
      <c r="A106" s="35" t="s">
        <v>285</v>
      </c>
      <c r="B106" s="148"/>
      <c r="C106" s="17">
        <v>2</v>
      </c>
    </row>
    <row r="107" spans="1:3" ht="16.5" thickBot="1" x14ac:dyDescent="0.3">
      <c r="A107" s="63" t="s">
        <v>282</v>
      </c>
      <c r="B107" s="233"/>
      <c r="C107" s="17">
        <v>30</v>
      </c>
    </row>
    <row r="108" spans="1:3" ht="16.5" thickBot="1" x14ac:dyDescent="0.3">
      <c r="A108" s="35" t="s">
        <v>283</v>
      </c>
      <c r="B108" s="64">
        <f>B107/$B$27</f>
        <v>0</v>
      </c>
    </row>
    <row r="109" spans="1:3" ht="16.5" thickBot="1" x14ac:dyDescent="0.3">
      <c r="A109" s="35" t="s">
        <v>284</v>
      </c>
      <c r="B109" s="148"/>
      <c r="C109" s="17">
        <v>1</v>
      </c>
    </row>
    <row r="110" spans="1:3" ht="16.5" thickBot="1" x14ac:dyDescent="0.3">
      <c r="A110" s="35" t="s">
        <v>285</v>
      </c>
      <c r="B110" s="148"/>
      <c r="C110" s="17">
        <v>2</v>
      </c>
    </row>
    <row r="111" spans="1:3" ht="29.25" thickBot="1" x14ac:dyDescent="0.3">
      <c r="A111" s="34" t="s">
        <v>288</v>
      </c>
      <c r="B111" s="404">
        <f>B30/B27</f>
        <v>0.93222130394690195</v>
      </c>
    </row>
    <row r="112" spans="1:3" ht="16.5" thickBot="1" x14ac:dyDescent="0.3">
      <c r="A112" s="36" t="s">
        <v>280</v>
      </c>
      <c r="B112" s="405"/>
    </row>
    <row r="113" spans="1:3" ht="16.5" thickBot="1" x14ac:dyDescent="0.3">
      <c r="A113" s="36" t="s">
        <v>289</v>
      </c>
      <c r="B113" s="404">
        <f>B34-B115</f>
        <v>0.90577189538220293</v>
      </c>
    </row>
    <row r="114" spans="1:3" ht="16.5" thickBot="1" x14ac:dyDescent="0.3">
      <c r="A114" s="36" t="s">
        <v>290</v>
      </c>
      <c r="B114" s="404"/>
    </row>
    <row r="115" spans="1:3" ht="16.5" thickBot="1" x14ac:dyDescent="0.3">
      <c r="A115" s="36" t="s">
        <v>291</v>
      </c>
      <c r="B115" s="404">
        <f>0.18368402*1.2/B27</f>
        <v>2.2216226369838769E-2</v>
      </c>
    </row>
    <row r="116" spans="1:3" s="359" customFormat="1" ht="34.5" customHeight="1" thickBot="1" x14ac:dyDescent="0.3">
      <c r="A116" s="356" t="s">
        <v>609</v>
      </c>
      <c r="B116" s="357">
        <f xml:space="preserve"> SUMIF(C117:C128, 40,B117:B128)</f>
        <v>7.7317499999999999E-3</v>
      </c>
      <c r="C116" s="358"/>
    </row>
    <row r="117" spans="1:3" s="361" customFormat="1" ht="30.75" thickBot="1" x14ac:dyDescent="0.3">
      <c r="A117" s="406" t="s">
        <v>652</v>
      </c>
      <c r="B117" s="407">
        <f>6.75/1000000</f>
        <v>6.7499999999999997E-6</v>
      </c>
      <c r="C117" s="360">
        <v>40</v>
      </c>
    </row>
    <row r="118" spans="1:3" s="361" customFormat="1" ht="16.5" thickBot="1" x14ac:dyDescent="0.3">
      <c r="A118" s="35" t="s">
        <v>283</v>
      </c>
      <c r="B118" s="64">
        <f t="shared" ref="B118" si="0">B117/$B$27</f>
        <v>6.8033285274539982E-7</v>
      </c>
    </row>
    <row r="119" spans="1:3" s="361" customFormat="1" ht="16.5" thickBot="1" x14ac:dyDescent="0.3">
      <c r="A119" s="35" t="s">
        <v>284</v>
      </c>
      <c r="B119" s="148">
        <v>6.7499999999999997E-6</v>
      </c>
      <c r="C119" s="361">
        <v>1</v>
      </c>
    </row>
    <row r="120" spans="1:3" s="361" customFormat="1" ht="16.5" thickBot="1" x14ac:dyDescent="0.3">
      <c r="A120" s="35" t="s">
        <v>285</v>
      </c>
      <c r="B120" s="148">
        <v>6.7499999999999997E-6</v>
      </c>
      <c r="C120" s="361">
        <v>2</v>
      </c>
    </row>
    <row r="121" spans="1:3" s="361" customFormat="1" ht="30.75" thickBot="1" x14ac:dyDescent="0.3">
      <c r="A121" s="406" t="s">
        <v>653</v>
      </c>
      <c r="B121" s="407">
        <f>7725/1000000</f>
        <v>7.7250000000000001E-3</v>
      </c>
      <c r="C121" s="360">
        <v>40</v>
      </c>
    </row>
    <row r="122" spans="1:3" s="361" customFormat="1" ht="16.5" thickBot="1" x14ac:dyDescent="0.3">
      <c r="A122" s="35" t="s">
        <v>283</v>
      </c>
      <c r="B122" s="64">
        <f t="shared" ref="B122" si="1">B121/$B$27</f>
        <v>7.7860315369751316E-4</v>
      </c>
    </row>
    <row r="123" spans="1:3" s="361" customFormat="1" ht="16.5" thickBot="1" x14ac:dyDescent="0.3">
      <c r="A123" s="35" t="s">
        <v>284</v>
      </c>
      <c r="B123" s="148">
        <v>7.7250000000000001E-3</v>
      </c>
      <c r="C123" s="361">
        <v>1</v>
      </c>
    </row>
    <row r="124" spans="1:3" s="361" customFormat="1" ht="16.5" thickBot="1" x14ac:dyDescent="0.3">
      <c r="A124" s="35" t="s">
        <v>285</v>
      </c>
      <c r="B124" s="148">
        <v>7.7250000000000001E-3</v>
      </c>
      <c r="C124" s="361">
        <v>2</v>
      </c>
    </row>
    <row r="125" spans="1:3" s="361" customFormat="1" ht="16.5" thickBot="1" x14ac:dyDescent="0.3">
      <c r="A125" s="63" t="s">
        <v>282</v>
      </c>
      <c r="B125" s="233"/>
      <c r="C125" s="360">
        <v>40</v>
      </c>
    </row>
    <row r="126" spans="1:3" s="361" customFormat="1" ht="16.5" thickBot="1" x14ac:dyDescent="0.3">
      <c r="A126" s="35" t="s">
        <v>283</v>
      </c>
      <c r="B126" s="64">
        <f t="shared" ref="B126" si="2">B125/$B$27</f>
        <v>0</v>
      </c>
    </row>
    <row r="127" spans="1:3" s="361" customFormat="1" ht="16.5" thickBot="1" x14ac:dyDescent="0.3">
      <c r="A127" s="35" t="s">
        <v>284</v>
      </c>
      <c r="B127" s="148"/>
      <c r="C127" s="361">
        <v>1</v>
      </c>
    </row>
    <row r="128" spans="1:3" s="361" customFormat="1" ht="16.5" thickBot="1" x14ac:dyDescent="0.3">
      <c r="A128" s="35" t="s">
        <v>285</v>
      </c>
      <c r="B128" s="148"/>
      <c r="C128" s="361">
        <v>2</v>
      </c>
    </row>
    <row r="129" spans="1:2" ht="16.5" thickBot="1" x14ac:dyDescent="0.3">
      <c r="A129" s="32" t="s">
        <v>292</v>
      </c>
      <c r="B129" s="65">
        <f>B130/$B$27</f>
        <v>5.0124656814105242E-3</v>
      </c>
    </row>
    <row r="130" spans="1:2" ht="16.5" thickBot="1" x14ac:dyDescent="0.3">
      <c r="A130" s="32" t="s">
        <v>293</v>
      </c>
      <c r="B130" s="149">
        <f xml:space="preserve"> SUMIF(C33:C128, 1,B33:B128)</f>
        <v>4.9731749999999998E-2</v>
      </c>
    </row>
    <row r="131" spans="1:2" ht="16.5" thickBot="1" x14ac:dyDescent="0.3">
      <c r="A131" s="32" t="s">
        <v>294</v>
      </c>
      <c r="B131" s="65">
        <f>B132/$B$27</f>
        <v>5.0124656814105242E-3</v>
      </c>
    </row>
    <row r="132" spans="1:2" ht="16.5" thickBot="1" x14ac:dyDescent="0.3">
      <c r="A132" s="33" t="s">
        <v>295</v>
      </c>
      <c r="B132" s="149">
        <f xml:space="preserve"> SUMIF(C33:C128, 2,B33:B128)</f>
        <v>4.9731749999999998E-2</v>
      </c>
    </row>
    <row r="133" spans="1:2" ht="15.75" customHeight="1" x14ac:dyDescent="0.25">
      <c r="A133" s="34" t="s">
        <v>296</v>
      </c>
      <c r="B133" s="36" t="s">
        <v>402</v>
      </c>
    </row>
    <row r="134" spans="1:2" x14ac:dyDescent="0.25">
      <c r="A134" s="37" t="s">
        <v>297</v>
      </c>
      <c r="B134" s="37" t="s">
        <v>611</v>
      </c>
    </row>
    <row r="135" spans="1:2" ht="30" x14ac:dyDescent="0.25">
      <c r="A135" s="37" t="s">
        <v>298</v>
      </c>
      <c r="B135" s="37" t="s">
        <v>644</v>
      </c>
    </row>
    <row r="136" spans="1:2" x14ac:dyDescent="0.25">
      <c r="A136" s="37" t="s">
        <v>299</v>
      </c>
      <c r="B136" s="37"/>
    </row>
    <row r="137" spans="1:2" ht="30" x14ac:dyDescent="0.25">
      <c r="A137" s="37" t="s">
        <v>300</v>
      </c>
      <c r="B137" s="37" t="s">
        <v>644</v>
      </c>
    </row>
    <row r="138" spans="1:2" ht="16.5" thickBot="1" x14ac:dyDescent="0.3">
      <c r="A138" s="38" t="s">
        <v>301</v>
      </c>
      <c r="B138" s="38"/>
    </row>
    <row r="139" spans="1:2" ht="30.75" thickBot="1" x14ac:dyDescent="0.3">
      <c r="A139" s="36" t="s">
        <v>302</v>
      </c>
      <c r="B139" s="66" t="s">
        <v>481</v>
      </c>
    </row>
    <row r="140" spans="1:2" ht="29.25" thickBot="1" x14ac:dyDescent="0.3">
      <c r="A140" s="32" t="s">
        <v>303</v>
      </c>
      <c r="B140" s="346">
        <v>7</v>
      </c>
    </row>
    <row r="141" spans="1:2" ht="16.5" thickBot="1" x14ac:dyDescent="0.3">
      <c r="A141" s="36" t="s">
        <v>280</v>
      </c>
      <c r="B141" s="347"/>
    </row>
    <row r="142" spans="1:2" ht="16.5" thickBot="1" x14ac:dyDescent="0.3">
      <c r="A142" s="36" t="s">
        <v>304</v>
      </c>
      <c r="B142" s="346">
        <v>4</v>
      </c>
    </row>
    <row r="143" spans="1:2" ht="16.5" thickBot="1" x14ac:dyDescent="0.3">
      <c r="A143" s="36" t="s">
        <v>305</v>
      </c>
      <c r="B143" s="347">
        <v>3</v>
      </c>
    </row>
    <row r="144" spans="1:2" ht="16.5" thickBot="1" x14ac:dyDescent="0.3">
      <c r="A144" s="41" t="s">
        <v>306</v>
      </c>
      <c r="B144" s="179" t="s">
        <v>643</v>
      </c>
    </row>
    <row r="145" spans="1:2" ht="16.5" thickBot="1" x14ac:dyDescent="0.3">
      <c r="A145" s="32" t="s">
        <v>307</v>
      </c>
      <c r="B145" s="68"/>
    </row>
    <row r="146" spans="1:2" ht="16.5" thickBot="1" x14ac:dyDescent="0.3">
      <c r="A146" s="37" t="s">
        <v>308</v>
      </c>
      <c r="B146" s="234" t="str">
        <f>'6.1. Паспорт сетевой график'!D43</f>
        <v>нд</v>
      </c>
    </row>
    <row r="147" spans="1:2" ht="16.5" thickBot="1" x14ac:dyDescent="0.3">
      <c r="A147" s="37" t="s">
        <v>309</v>
      </c>
      <c r="B147" s="69" t="s">
        <v>481</v>
      </c>
    </row>
    <row r="148" spans="1:2" ht="16.5" thickBot="1" x14ac:dyDescent="0.3">
      <c r="A148" s="37" t="s">
        <v>310</v>
      </c>
      <c r="B148" s="69" t="s">
        <v>481</v>
      </c>
    </row>
    <row r="149" spans="1:2" ht="29.25" thickBot="1" x14ac:dyDescent="0.3">
      <c r="A149" s="42" t="s">
        <v>311</v>
      </c>
      <c r="B149" s="67" t="s">
        <v>481</v>
      </c>
    </row>
    <row r="150" spans="1:2" ht="28.5" customHeight="1" x14ac:dyDescent="0.25">
      <c r="A150" s="34" t="s">
        <v>312</v>
      </c>
      <c r="B150" s="541" t="s">
        <v>477</v>
      </c>
    </row>
    <row r="151" spans="1:2" x14ac:dyDescent="0.25">
      <c r="A151" s="37" t="s">
        <v>313</v>
      </c>
      <c r="B151" s="542"/>
    </row>
    <row r="152" spans="1:2" x14ac:dyDescent="0.25">
      <c r="A152" s="37" t="s">
        <v>314</v>
      </c>
      <c r="B152" s="542"/>
    </row>
    <row r="153" spans="1:2" x14ac:dyDescent="0.25">
      <c r="A153" s="37" t="s">
        <v>315</v>
      </c>
      <c r="B153" s="542"/>
    </row>
    <row r="154" spans="1:2" x14ac:dyDescent="0.25">
      <c r="A154" s="37" t="s">
        <v>316</v>
      </c>
      <c r="B154" s="542"/>
    </row>
    <row r="155" spans="1:2" ht="16.5" thickBot="1" x14ac:dyDescent="0.3">
      <c r="A155" s="43" t="s">
        <v>317</v>
      </c>
      <c r="B155" s="543"/>
    </row>
    <row r="158" spans="1:2" x14ac:dyDescent="0.25">
      <c r="A158" s="44"/>
      <c r="B158" s="45"/>
    </row>
    <row r="159" spans="1:2" x14ac:dyDescent="0.25">
      <c r="B159" s="46"/>
    </row>
    <row r="160" spans="1:2" x14ac:dyDescent="0.25">
      <c r="B160" s="47"/>
    </row>
  </sheetData>
  <mergeCells count="10">
    <mergeCell ref="A15:B15"/>
    <mergeCell ref="A16:B16"/>
    <mergeCell ref="A18:B18"/>
    <mergeCell ref="B150:B15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20"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8" t="str">
        <f>CONCATENATE('1. паспорт местоположение'!A5:B5,'1. паспорт местоположение'!C5)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2" customFormat="1" ht="15.75" x14ac:dyDescent="0.2">
      <c r="A5" s="73"/>
    </row>
    <row r="6" spans="1:28" s="2" customFormat="1" ht="18.75" x14ac:dyDescent="0.2">
      <c r="A6" s="415" t="s">
        <v>7</v>
      </c>
      <c r="B6" s="415"/>
      <c r="C6" s="415"/>
      <c r="D6" s="415"/>
      <c r="E6" s="415"/>
      <c r="F6" s="415"/>
      <c r="G6" s="415"/>
      <c r="H6" s="415"/>
      <c r="I6" s="415"/>
      <c r="J6" s="415"/>
      <c r="K6" s="415"/>
      <c r="L6" s="415"/>
      <c r="M6" s="415"/>
      <c r="N6" s="415"/>
      <c r="O6" s="415"/>
      <c r="P6" s="415"/>
      <c r="Q6" s="415"/>
      <c r="R6" s="415"/>
      <c r="S6" s="415"/>
      <c r="T6" s="74"/>
      <c r="U6" s="74"/>
      <c r="V6" s="74"/>
      <c r="W6" s="74"/>
      <c r="X6" s="74"/>
      <c r="Y6" s="74"/>
      <c r="Z6" s="74"/>
      <c r="AA6" s="74"/>
      <c r="AB6" s="74"/>
    </row>
    <row r="7" spans="1:28" s="2" customFormat="1" ht="18.75" x14ac:dyDescent="0.2">
      <c r="A7" s="415"/>
      <c r="B7" s="415"/>
      <c r="C7" s="415"/>
      <c r="D7" s="415"/>
      <c r="E7" s="415"/>
      <c r="F7" s="415"/>
      <c r="G7" s="415"/>
      <c r="H7" s="415"/>
      <c r="I7" s="415"/>
      <c r="J7" s="415"/>
      <c r="K7" s="415"/>
      <c r="L7" s="415"/>
      <c r="M7" s="415"/>
      <c r="N7" s="415"/>
      <c r="O7" s="415"/>
      <c r="P7" s="415"/>
      <c r="Q7" s="415"/>
      <c r="R7" s="415"/>
      <c r="S7" s="415"/>
      <c r="T7" s="74"/>
      <c r="U7" s="74"/>
      <c r="V7" s="74"/>
      <c r="W7" s="74"/>
      <c r="X7" s="74"/>
      <c r="Y7" s="74"/>
      <c r="Z7" s="74"/>
      <c r="AA7" s="74"/>
      <c r="AB7" s="74"/>
    </row>
    <row r="8" spans="1:28" s="2" customFormat="1" ht="18.75" x14ac:dyDescent="0.2">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74"/>
      <c r="U8" s="74"/>
      <c r="V8" s="74"/>
      <c r="W8" s="74"/>
      <c r="X8" s="74"/>
      <c r="Y8" s="74"/>
      <c r="Z8" s="74"/>
      <c r="AA8" s="74"/>
      <c r="AB8" s="74"/>
    </row>
    <row r="9" spans="1:28" s="2" customFormat="1" ht="18.75" x14ac:dyDescent="0.2">
      <c r="A9" s="412" t="s">
        <v>6</v>
      </c>
      <c r="B9" s="412"/>
      <c r="C9" s="412"/>
      <c r="D9" s="412"/>
      <c r="E9" s="412"/>
      <c r="F9" s="412"/>
      <c r="G9" s="412"/>
      <c r="H9" s="412"/>
      <c r="I9" s="412"/>
      <c r="J9" s="412"/>
      <c r="K9" s="412"/>
      <c r="L9" s="412"/>
      <c r="M9" s="412"/>
      <c r="N9" s="412"/>
      <c r="O9" s="412"/>
      <c r="P9" s="412"/>
      <c r="Q9" s="412"/>
      <c r="R9" s="412"/>
      <c r="S9" s="412"/>
      <c r="T9" s="74"/>
      <c r="U9" s="74"/>
      <c r="V9" s="74"/>
      <c r="W9" s="74"/>
      <c r="X9" s="74"/>
      <c r="Y9" s="74"/>
      <c r="Z9" s="74"/>
      <c r="AA9" s="74"/>
      <c r="AB9" s="74"/>
    </row>
    <row r="10" spans="1:28" s="2" customFormat="1" ht="18.75" x14ac:dyDescent="0.2">
      <c r="A10" s="415"/>
      <c r="B10" s="415"/>
      <c r="C10" s="415"/>
      <c r="D10" s="415"/>
      <c r="E10" s="415"/>
      <c r="F10" s="415"/>
      <c r="G10" s="415"/>
      <c r="H10" s="415"/>
      <c r="I10" s="415"/>
      <c r="J10" s="415"/>
      <c r="K10" s="415"/>
      <c r="L10" s="415"/>
      <c r="M10" s="415"/>
      <c r="N10" s="415"/>
      <c r="O10" s="415"/>
      <c r="P10" s="415"/>
      <c r="Q10" s="415"/>
      <c r="R10" s="415"/>
      <c r="S10" s="415"/>
      <c r="T10" s="74"/>
      <c r="U10" s="74"/>
      <c r="V10" s="74"/>
      <c r="W10" s="74"/>
      <c r="X10" s="74"/>
      <c r="Y10" s="74"/>
      <c r="Z10" s="74"/>
      <c r="AA10" s="74"/>
      <c r="AB10" s="74"/>
    </row>
    <row r="11" spans="1:28" s="2" customFormat="1" ht="18.75" x14ac:dyDescent="0.2">
      <c r="A11" s="420" t="str">
        <f>'1. паспорт местоположение'!A12:C12</f>
        <v>M_21-0295</v>
      </c>
      <c r="B11" s="420"/>
      <c r="C11" s="420"/>
      <c r="D11" s="420"/>
      <c r="E11" s="420"/>
      <c r="F11" s="420"/>
      <c r="G11" s="420"/>
      <c r="H11" s="420"/>
      <c r="I11" s="420"/>
      <c r="J11" s="420"/>
      <c r="K11" s="420"/>
      <c r="L11" s="420"/>
      <c r="M11" s="420"/>
      <c r="N11" s="420"/>
      <c r="O11" s="420"/>
      <c r="P11" s="420"/>
      <c r="Q11" s="420"/>
      <c r="R11" s="420"/>
      <c r="S11" s="420"/>
      <c r="T11" s="74"/>
      <c r="U11" s="74"/>
      <c r="V11" s="74"/>
      <c r="W11" s="74"/>
      <c r="X11" s="74"/>
      <c r="Y11" s="74"/>
      <c r="Z11" s="74"/>
      <c r="AA11" s="74"/>
      <c r="AB11" s="74"/>
    </row>
    <row r="12" spans="1:28" s="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74"/>
      <c r="U12" s="74"/>
      <c r="V12" s="74"/>
      <c r="W12" s="74"/>
      <c r="X12" s="74"/>
      <c r="Y12" s="74"/>
      <c r="Z12" s="74"/>
      <c r="AA12" s="74"/>
      <c r="AB12" s="74"/>
    </row>
    <row r="13" spans="1:28" s="7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78"/>
      <c r="U13" s="78"/>
      <c r="V13" s="78"/>
      <c r="W13" s="78"/>
      <c r="X13" s="78"/>
      <c r="Y13" s="78"/>
      <c r="Z13" s="78"/>
      <c r="AA13" s="78"/>
      <c r="AB13" s="78"/>
    </row>
    <row r="14" spans="1:28" s="80" customFormat="1" ht="15.75" x14ac:dyDescent="0.2">
      <c r="A14" s="417" t="str">
        <f>'1. паспорт местоположение'!A15:C15</f>
        <v>Строительство ТП 10/0,4 кВ, ЛЭП 10 кВ от ВЛ 35-03, ЛЭП 10 кВ от ВЛ 35-17, организация системы учета электроэнергии в п. Котельниково Зеленоградского района</v>
      </c>
      <c r="B14" s="417"/>
      <c r="C14" s="417"/>
      <c r="D14" s="417"/>
      <c r="E14" s="417"/>
      <c r="F14" s="417"/>
      <c r="G14" s="417"/>
      <c r="H14" s="417"/>
      <c r="I14" s="417"/>
      <c r="J14" s="417"/>
      <c r="K14" s="417"/>
      <c r="L14" s="417"/>
      <c r="M14" s="417"/>
      <c r="N14" s="417"/>
      <c r="O14" s="417"/>
      <c r="P14" s="417"/>
      <c r="Q14" s="417"/>
      <c r="R14" s="417"/>
      <c r="S14" s="417"/>
      <c r="T14" s="76"/>
      <c r="U14" s="76"/>
      <c r="V14" s="76"/>
      <c r="W14" s="76"/>
      <c r="X14" s="76"/>
      <c r="Y14" s="76"/>
      <c r="Z14" s="76"/>
      <c r="AA14" s="76"/>
      <c r="AB14" s="76"/>
    </row>
    <row r="15" spans="1:28" s="80"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77"/>
      <c r="U15" s="77"/>
      <c r="V15" s="77"/>
      <c r="W15" s="77"/>
      <c r="X15" s="77"/>
      <c r="Y15" s="77"/>
      <c r="Z15" s="77"/>
      <c r="AA15" s="77"/>
      <c r="AB15" s="77"/>
    </row>
    <row r="16" spans="1:28" s="80"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81"/>
      <c r="U16" s="81"/>
      <c r="V16" s="81"/>
      <c r="W16" s="81"/>
      <c r="X16" s="81"/>
      <c r="Y16" s="81"/>
    </row>
    <row r="17" spans="1:28" s="80" customFormat="1" ht="45.75" customHeight="1" x14ac:dyDescent="0.2">
      <c r="A17" s="413" t="s">
        <v>348</v>
      </c>
      <c r="B17" s="413"/>
      <c r="C17" s="413"/>
      <c r="D17" s="413"/>
      <c r="E17" s="413"/>
      <c r="F17" s="413"/>
      <c r="G17" s="413"/>
      <c r="H17" s="413"/>
      <c r="I17" s="413"/>
      <c r="J17" s="413"/>
      <c r="K17" s="413"/>
      <c r="L17" s="413"/>
      <c r="M17" s="413"/>
      <c r="N17" s="413"/>
      <c r="O17" s="413"/>
      <c r="P17" s="413"/>
      <c r="Q17" s="413"/>
      <c r="R17" s="413"/>
      <c r="S17" s="413"/>
      <c r="T17" s="82"/>
      <c r="U17" s="82"/>
      <c r="V17" s="82"/>
      <c r="W17" s="82"/>
      <c r="X17" s="82"/>
      <c r="Y17" s="82"/>
      <c r="Z17" s="82"/>
      <c r="AA17" s="82"/>
      <c r="AB17" s="82"/>
    </row>
    <row r="18" spans="1:28" s="80"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81"/>
      <c r="U18" s="81"/>
      <c r="V18" s="81"/>
      <c r="W18" s="81"/>
      <c r="X18" s="81"/>
      <c r="Y18" s="81"/>
    </row>
    <row r="19" spans="1:28" s="80" customFormat="1" ht="54" customHeight="1" x14ac:dyDescent="0.2">
      <c r="A19" s="422" t="s">
        <v>3</v>
      </c>
      <c r="B19" s="422" t="s">
        <v>94</v>
      </c>
      <c r="C19" s="423" t="s">
        <v>271</v>
      </c>
      <c r="D19" s="422" t="s">
        <v>270</v>
      </c>
      <c r="E19" s="422" t="s">
        <v>93</v>
      </c>
      <c r="F19" s="422" t="s">
        <v>92</v>
      </c>
      <c r="G19" s="422" t="s">
        <v>266</v>
      </c>
      <c r="H19" s="422" t="s">
        <v>91</v>
      </c>
      <c r="I19" s="422" t="s">
        <v>90</v>
      </c>
      <c r="J19" s="422" t="s">
        <v>89</v>
      </c>
      <c r="K19" s="422" t="s">
        <v>88</v>
      </c>
      <c r="L19" s="422" t="s">
        <v>87</v>
      </c>
      <c r="M19" s="422" t="s">
        <v>86</v>
      </c>
      <c r="N19" s="422" t="s">
        <v>85</v>
      </c>
      <c r="O19" s="422" t="s">
        <v>84</v>
      </c>
      <c r="P19" s="422" t="s">
        <v>83</v>
      </c>
      <c r="Q19" s="422" t="s">
        <v>269</v>
      </c>
      <c r="R19" s="422"/>
      <c r="S19" s="425" t="s">
        <v>342</v>
      </c>
      <c r="T19" s="81"/>
      <c r="U19" s="81"/>
      <c r="V19" s="81"/>
      <c r="W19" s="81"/>
      <c r="X19" s="81"/>
      <c r="Y19" s="81"/>
    </row>
    <row r="20" spans="1:28" s="80" customFormat="1" ht="180.75" customHeight="1" x14ac:dyDescent="0.2">
      <c r="A20" s="422"/>
      <c r="B20" s="422"/>
      <c r="C20" s="424"/>
      <c r="D20" s="422"/>
      <c r="E20" s="422"/>
      <c r="F20" s="422"/>
      <c r="G20" s="422"/>
      <c r="H20" s="422"/>
      <c r="I20" s="422"/>
      <c r="J20" s="422"/>
      <c r="K20" s="422"/>
      <c r="L20" s="422"/>
      <c r="M20" s="422"/>
      <c r="N20" s="422"/>
      <c r="O20" s="422"/>
      <c r="P20" s="422"/>
      <c r="Q20" s="99" t="s">
        <v>267</v>
      </c>
      <c r="R20" s="100" t="s">
        <v>268</v>
      </c>
      <c r="S20" s="425"/>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8.75" customHeight="1" x14ac:dyDescent="0.2">
      <c r="A22" s="85">
        <v>1</v>
      </c>
      <c r="B22" s="85" t="s">
        <v>621</v>
      </c>
      <c r="C22" s="85"/>
      <c r="D22" s="85" t="s">
        <v>603</v>
      </c>
      <c r="E22" s="85" t="s">
        <v>622</v>
      </c>
      <c r="F22" s="85" t="s">
        <v>623</v>
      </c>
      <c r="G22" s="85" t="s">
        <v>624</v>
      </c>
      <c r="H22" s="85">
        <v>1.5</v>
      </c>
      <c r="I22" s="85">
        <v>0.8</v>
      </c>
      <c r="J22" s="85">
        <v>0.7</v>
      </c>
      <c r="K22" s="85" t="s">
        <v>625</v>
      </c>
      <c r="L22" s="85">
        <v>1</v>
      </c>
      <c r="M22" s="85">
        <v>1</v>
      </c>
      <c r="N22" s="85">
        <v>2</v>
      </c>
      <c r="O22" s="85"/>
      <c r="P22" s="85"/>
      <c r="Q22" s="97" t="s">
        <v>626</v>
      </c>
      <c r="R22" s="85"/>
      <c r="S22" s="85">
        <v>12.406386960000001</v>
      </c>
      <c r="T22" s="87"/>
      <c r="U22" s="87"/>
      <c r="V22" s="87"/>
      <c r="W22" s="87"/>
      <c r="X22" s="87"/>
      <c r="Y22" s="87"/>
      <c r="Z22" s="88"/>
      <c r="AA22" s="88"/>
      <c r="AB22" s="88"/>
    </row>
    <row r="23" spans="1:28" s="80" customFormat="1" ht="18.75" x14ac:dyDescent="0.2">
      <c r="A23" s="99"/>
      <c r="B23" s="101" t="s">
        <v>482</v>
      </c>
      <c r="C23" s="101"/>
      <c r="D23" s="101"/>
      <c r="E23" s="101"/>
      <c r="F23" s="101"/>
      <c r="G23" s="101"/>
      <c r="H23" s="55">
        <f>SUM(H22:H22)</f>
        <v>1.5</v>
      </c>
      <c r="I23" s="3"/>
      <c r="J23" s="55">
        <f>SUM(J22:J22)</f>
        <v>0.7</v>
      </c>
      <c r="K23" s="3"/>
      <c r="L23" s="3"/>
      <c r="M23" s="3"/>
      <c r="N23" s="3"/>
      <c r="O23" s="3"/>
      <c r="P23" s="3"/>
      <c r="Q23" s="3"/>
      <c r="R23" s="102"/>
      <c r="S23" s="55">
        <f>SUM(S22)</f>
        <v>12.406386960000001</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M25" sqref="M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8" t="str">
        <f>'2. паспорт  ТП'!A4</f>
        <v>Год раскрытия информации: 2023 год</v>
      </c>
      <c r="B5" s="408"/>
      <c r="C5" s="408"/>
      <c r="D5" s="408"/>
      <c r="E5" s="408"/>
      <c r="F5" s="408"/>
      <c r="G5" s="408"/>
      <c r="H5" s="408"/>
      <c r="I5" s="408"/>
      <c r="J5" s="408"/>
      <c r="K5" s="408"/>
      <c r="L5" s="408"/>
      <c r="M5" s="408"/>
      <c r="N5" s="408"/>
      <c r="O5" s="408"/>
      <c r="P5" s="408"/>
      <c r="Q5" s="408"/>
      <c r="R5" s="408"/>
      <c r="S5" s="408"/>
      <c r="T5" s="408"/>
    </row>
    <row r="6" spans="1:20" s="2" customFormat="1" x14ac:dyDescent="0.2">
      <c r="A6" s="73"/>
      <c r="H6" s="158"/>
    </row>
    <row r="7" spans="1:20" s="2" customFormat="1" ht="18.75" x14ac:dyDescent="0.2">
      <c r="A7" s="415" t="s">
        <v>7</v>
      </c>
      <c r="B7" s="415"/>
      <c r="C7" s="415"/>
      <c r="D7" s="415"/>
      <c r="E7" s="415"/>
      <c r="F7" s="415"/>
      <c r="G7" s="415"/>
      <c r="H7" s="415"/>
      <c r="I7" s="415"/>
      <c r="J7" s="415"/>
      <c r="K7" s="415"/>
      <c r="L7" s="415"/>
      <c r="M7" s="415"/>
      <c r="N7" s="415"/>
      <c r="O7" s="415"/>
      <c r="P7" s="415"/>
      <c r="Q7" s="415"/>
      <c r="R7" s="415"/>
      <c r="S7" s="415"/>
      <c r="T7" s="415"/>
    </row>
    <row r="8" spans="1:20" s="2" customFormat="1" ht="18.75" x14ac:dyDescent="0.2">
      <c r="A8" s="415"/>
      <c r="B8" s="415"/>
      <c r="C8" s="415"/>
      <c r="D8" s="415"/>
      <c r="E8" s="415"/>
      <c r="F8" s="415"/>
      <c r="G8" s="415"/>
      <c r="H8" s="415"/>
      <c r="I8" s="415"/>
      <c r="J8" s="415"/>
      <c r="K8" s="415"/>
      <c r="L8" s="415"/>
      <c r="M8" s="415"/>
      <c r="N8" s="415"/>
      <c r="O8" s="415"/>
      <c r="P8" s="415"/>
      <c r="Q8" s="415"/>
      <c r="R8" s="415"/>
      <c r="S8" s="415"/>
      <c r="T8" s="415"/>
    </row>
    <row r="9" spans="1:20" s="2" customFormat="1" ht="18.75" customHeight="1" x14ac:dyDescent="0.2">
      <c r="A9" s="420" t="str">
        <f>'2. паспорт  ТП'!A8</f>
        <v>Акционерное общество "Россети Янтарь"</v>
      </c>
      <c r="B9" s="420"/>
      <c r="C9" s="420"/>
      <c r="D9" s="420"/>
      <c r="E9" s="420"/>
      <c r="F9" s="420"/>
      <c r="G9" s="420"/>
      <c r="H9" s="420"/>
      <c r="I9" s="420"/>
      <c r="J9" s="420"/>
      <c r="K9" s="420"/>
      <c r="L9" s="420"/>
      <c r="M9" s="420"/>
      <c r="N9" s="420"/>
      <c r="O9" s="420"/>
      <c r="P9" s="420"/>
      <c r="Q9" s="420"/>
      <c r="R9" s="420"/>
      <c r="S9" s="420"/>
      <c r="T9" s="420"/>
    </row>
    <row r="10" spans="1:20" s="2" customFormat="1" ht="18.75" customHeight="1" x14ac:dyDescent="0.2">
      <c r="A10" s="412" t="s">
        <v>6</v>
      </c>
      <c r="B10" s="412"/>
      <c r="C10" s="412"/>
      <c r="D10" s="412"/>
      <c r="E10" s="412"/>
      <c r="F10" s="412"/>
      <c r="G10" s="412"/>
      <c r="H10" s="412"/>
      <c r="I10" s="412"/>
      <c r="J10" s="412"/>
      <c r="K10" s="412"/>
      <c r="L10" s="412"/>
      <c r="M10" s="412"/>
      <c r="N10" s="412"/>
      <c r="O10" s="412"/>
      <c r="P10" s="412"/>
      <c r="Q10" s="412"/>
      <c r="R10" s="412"/>
      <c r="S10" s="412"/>
      <c r="T10" s="412"/>
    </row>
    <row r="11" spans="1:20" s="2" customFormat="1" ht="18.75" x14ac:dyDescent="0.2">
      <c r="A11" s="415"/>
      <c r="B11" s="415"/>
      <c r="C11" s="415"/>
      <c r="D11" s="415"/>
      <c r="E11" s="415"/>
      <c r="F11" s="415"/>
      <c r="G11" s="415"/>
      <c r="H11" s="415"/>
      <c r="I11" s="415"/>
      <c r="J11" s="415"/>
      <c r="K11" s="415"/>
      <c r="L11" s="415"/>
      <c r="M11" s="415"/>
      <c r="N11" s="415"/>
      <c r="O11" s="415"/>
      <c r="P11" s="415"/>
      <c r="Q11" s="415"/>
      <c r="R11" s="415"/>
      <c r="S11" s="415"/>
      <c r="T11" s="415"/>
    </row>
    <row r="12" spans="1:20" s="2" customFormat="1" ht="18.75" customHeight="1" x14ac:dyDescent="0.2">
      <c r="A12" s="420" t="str">
        <f>'2. паспорт  ТП'!A11</f>
        <v>M_21-0295</v>
      </c>
      <c r="B12" s="420"/>
      <c r="C12" s="420"/>
      <c r="D12" s="420"/>
      <c r="E12" s="420"/>
      <c r="F12" s="420"/>
      <c r="G12" s="420"/>
      <c r="H12" s="420"/>
      <c r="I12" s="420"/>
      <c r="J12" s="420"/>
      <c r="K12" s="420"/>
      <c r="L12" s="420"/>
      <c r="M12" s="420"/>
      <c r="N12" s="420"/>
      <c r="O12" s="420"/>
      <c r="P12" s="420"/>
      <c r="Q12" s="420"/>
      <c r="R12" s="420"/>
      <c r="S12" s="420"/>
      <c r="T12" s="420"/>
    </row>
    <row r="13" spans="1:20" s="2" customFormat="1" ht="18.75" customHeight="1" x14ac:dyDescent="0.2">
      <c r="A13" s="412" t="s">
        <v>5</v>
      </c>
      <c r="B13" s="412"/>
      <c r="C13" s="412"/>
      <c r="D13" s="412"/>
      <c r="E13" s="412"/>
      <c r="F13" s="412"/>
      <c r="G13" s="412"/>
      <c r="H13" s="412"/>
      <c r="I13" s="412"/>
      <c r="J13" s="412"/>
      <c r="K13" s="412"/>
      <c r="L13" s="412"/>
      <c r="M13" s="412"/>
      <c r="N13" s="412"/>
      <c r="O13" s="412"/>
      <c r="P13" s="412"/>
      <c r="Q13" s="412"/>
      <c r="R13" s="412"/>
      <c r="S13" s="412"/>
      <c r="T13" s="412"/>
    </row>
    <row r="14" spans="1:20" s="79" customFormat="1" ht="15.75" customHeight="1" x14ac:dyDescent="0.2">
      <c r="A14" s="421"/>
      <c r="B14" s="421"/>
      <c r="C14" s="421"/>
      <c r="D14" s="421"/>
      <c r="E14" s="421"/>
      <c r="F14" s="421"/>
      <c r="G14" s="421"/>
      <c r="H14" s="421"/>
      <c r="I14" s="421"/>
      <c r="J14" s="421"/>
      <c r="K14" s="421"/>
      <c r="L14" s="421"/>
      <c r="M14" s="421"/>
      <c r="N14" s="421"/>
      <c r="O14" s="421"/>
      <c r="P14" s="421"/>
      <c r="Q14" s="421"/>
      <c r="R14" s="421"/>
      <c r="S14" s="421"/>
      <c r="T14" s="421"/>
    </row>
    <row r="15" spans="1:20" s="80" customFormat="1" ht="42.75" customHeight="1" x14ac:dyDescent="0.2">
      <c r="A15" s="417" t="str">
        <f>'2. паспорт  ТП'!A14</f>
        <v>Строительство ТП 10/0,4 кВ, ЛЭП 10 кВ от ВЛ 35-03, ЛЭП 10 кВ от ВЛ 35-17, организация системы учета электроэнергии в п. Котельниково Зеленоградского района</v>
      </c>
      <c r="B15" s="417"/>
      <c r="C15" s="417"/>
      <c r="D15" s="417"/>
      <c r="E15" s="417"/>
      <c r="F15" s="417"/>
      <c r="G15" s="417"/>
      <c r="H15" s="417"/>
      <c r="I15" s="417"/>
      <c r="J15" s="417"/>
      <c r="K15" s="417"/>
      <c r="L15" s="417"/>
      <c r="M15" s="417"/>
      <c r="N15" s="417"/>
      <c r="O15" s="417"/>
      <c r="P15" s="417"/>
      <c r="Q15" s="417"/>
      <c r="R15" s="417"/>
      <c r="S15" s="417"/>
      <c r="T15" s="417"/>
    </row>
    <row r="16" spans="1:20" s="80" customFormat="1" ht="15" customHeight="1" x14ac:dyDescent="0.2">
      <c r="A16" s="412" t="s">
        <v>4</v>
      </c>
      <c r="B16" s="412"/>
      <c r="C16" s="412"/>
      <c r="D16" s="412"/>
      <c r="E16" s="412"/>
      <c r="F16" s="412"/>
      <c r="G16" s="412"/>
      <c r="H16" s="412"/>
      <c r="I16" s="412"/>
      <c r="J16" s="412"/>
      <c r="K16" s="412"/>
      <c r="L16" s="412"/>
      <c r="M16" s="412"/>
      <c r="N16" s="412"/>
      <c r="O16" s="412"/>
      <c r="P16" s="412"/>
      <c r="Q16" s="412"/>
      <c r="R16" s="412"/>
      <c r="S16" s="412"/>
      <c r="T16" s="412"/>
    </row>
    <row r="17" spans="1:113" s="80" customFormat="1" ht="15" customHeight="1" x14ac:dyDescent="0.2">
      <c r="A17" s="418"/>
      <c r="B17" s="418"/>
      <c r="C17" s="418"/>
      <c r="D17" s="418"/>
      <c r="E17" s="418"/>
      <c r="F17" s="418"/>
      <c r="G17" s="418"/>
      <c r="H17" s="418"/>
      <c r="I17" s="418"/>
      <c r="J17" s="418"/>
      <c r="K17" s="418"/>
      <c r="L17" s="418"/>
      <c r="M17" s="418"/>
      <c r="N17" s="418"/>
      <c r="O17" s="418"/>
      <c r="P17" s="418"/>
      <c r="Q17" s="418"/>
      <c r="R17" s="418"/>
      <c r="S17" s="418"/>
      <c r="T17" s="418"/>
    </row>
    <row r="18" spans="1:113" s="80" customFormat="1" ht="15" customHeight="1" x14ac:dyDescent="0.2">
      <c r="A18" s="414" t="s">
        <v>353</v>
      </c>
      <c r="B18" s="414"/>
      <c r="C18" s="414"/>
      <c r="D18" s="414"/>
      <c r="E18" s="414"/>
      <c r="F18" s="414"/>
      <c r="G18" s="414"/>
      <c r="H18" s="414"/>
      <c r="I18" s="414"/>
      <c r="J18" s="414"/>
      <c r="K18" s="414"/>
      <c r="L18" s="414"/>
      <c r="M18" s="414"/>
      <c r="N18" s="414"/>
      <c r="O18" s="414"/>
      <c r="P18" s="414"/>
      <c r="Q18" s="414"/>
      <c r="R18" s="414"/>
      <c r="S18" s="414"/>
      <c r="T18" s="414"/>
    </row>
    <row r="19" spans="1:113" s="13" customFormat="1" ht="21" customHeight="1" x14ac:dyDescent="0.25">
      <c r="A19" s="429"/>
      <c r="B19" s="429"/>
      <c r="C19" s="429"/>
      <c r="D19" s="429"/>
      <c r="E19" s="429"/>
      <c r="F19" s="429"/>
      <c r="G19" s="429"/>
      <c r="H19" s="429"/>
      <c r="I19" s="429"/>
      <c r="J19" s="429"/>
      <c r="K19" s="429"/>
      <c r="L19" s="429"/>
      <c r="M19" s="429"/>
      <c r="N19" s="429"/>
      <c r="O19" s="429"/>
      <c r="P19" s="429"/>
      <c r="Q19" s="429"/>
      <c r="R19" s="429"/>
      <c r="S19" s="429"/>
      <c r="T19" s="429"/>
    </row>
    <row r="20" spans="1:113" ht="46.5" customHeight="1" x14ac:dyDescent="0.25">
      <c r="A20" s="438" t="s">
        <v>3</v>
      </c>
      <c r="B20" s="431" t="s">
        <v>194</v>
      </c>
      <c r="C20" s="432"/>
      <c r="D20" s="435" t="s">
        <v>116</v>
      </c>
      <c r="E20" s="431" t="s">
        <v>380</v>
      </c>
      <c r="F20" s="432"/>
      <c r="G20" s="431" t="s">
        <v>212</v>
      </c>
      <c r="H20" s="432"/>
      <c r="I20" s="431" t="s">
        <v>115</v>
      </c>
      <c r="J20" s="432"/>
      <c r="K20" s="435" t="s">
        <v>114</v>
      </c>
      <c r="L20" s="431" t="s">
        <v>113</v>
      </c>
      <c r="M20" s="432"/>
      <c r="N20" s="431" t="s">
        <v>451</v>
      </c>
      <c r="O20" s="432"/>
      <c r="P20" s="435" t="s">
        <v>112</v>
      </c>
      <c r="Q20" s="426" t="s">
        <v>111</v>
      </c>
      <c r="R20" s="427"/>
      <c r="S20" s="426" t="s">
        <v>110</v>
      </c>
      <c r="T20" s="428"/>
    </row>
    <row r="21" spans="1:113" ht="204.75" customHeight="1" x14ac:dyDescent="0.25">
      <c r="A21" s="439"/>
      <c r="B21" s="433"/>
      <c r="C21" s="434"/>
      <c r="D21" s="437"/>
      <c r="E21" s="433"/>
      <c r="F21" s="434"/>
      <c r="G21" s="433"/>
      <c r="H21" s="434"/>
      <c r="I21" s="433"/>
      <c r="J21" s="434"/>
      <c r="K21" s="436"/>
      <c r="L21" s="433"/>
      <c r="M21" s="434"/>
      <c r="N21" s="433"/>
      <c r="O21" s="434"/>
      <c r="P21" s="436"/>
      <c r="Q21" s="27" t="s">
        <v>109</v>
      </c>
      <c r="R21" s="27" t="s">
        <v>352</v>
      </c>
      <c r="S21" s="27" t="s">
        <v>108</v>
      </c>
      <c r="T21" s="27" t="s">
        <v>107</v>
      </c>
    </row>
    <row r="22" spans="1:113" ht="51.75" customHeight="1" x14ac:dyDescent="0.25">
      <c r="A22" s="440"/>
      <c r="B22" s="48" t="s">
        <v>105</v>
      </c>
      <c r="C22" s="48" t="s">
        <v>106</v>
      </c>
      <c r="D22" s="436"/>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1">
        <v>1</v>
      </c>
      <c r="B24" s="351" t="s">
        <v>265</v>
      </c>
      <c r="C24" s="351" t="s">
        <v>615</v>
      </c>
      <c r="D24" s="351" t="s">
        <v>101</v>
      </c>
      <c r="E24" s="352" t="s">
        <v>265</v>
      </c>
      <c r="F24" s="351" t="s">
        <v>616</v>
      </c>
      <c r="G24" s="352" t="s">
        <v>265</v>
      </c>
      <c r="H24" s="351" t="s">
        <v>617</v>
      </c>
      <c r="I24" s="352" t="s">
        <v>265</v>
      </c>
      <c r="J24" s="352">
        <v>2022</v>
      </c>
      <c r="K24" s="14" t="s">
        <v>265</v>
      </c>
      <c r="L24" s="14" t="s">
        <v>265</v>
      </c>
      <c r="M24" s="14">
        <v>10</v>
      </c>
      <c r="N24" s="14" t="s">
        <v>265</v>
      </c>
      <c r="O24" s="14">
        <v>2</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2</v>
      </c>
      <c r="P25" s="10"/>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B8" zoomScale="70" zoomScaleSheetLayoutView="70" workbookViewId="0">
      <selection activeCell="N26" sqref="N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8" t="str">
        <f>'3.1. паспорт Техсостояние ПС'!A5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0" t="str">
        <f>'3.1. паспорт Техсостояние ПС'!A9</f>
        <v>Акционерное общество "Россети Янтарь"</v>
      </c>
      <c r="F9" s="420"/>
      <c r="G9" s="420"/>
      <c r="H9" s="420"/>
      <c r="I9" s="420"/>
      <c r="J9" s="420"/>
      <c r="K9" s="420"/>
      <c r="L9" s="420"/>
      <c r="M9" s="420"/>
      <c r="N9" s="420"/>
      <c r="O9" s="420"/>
      <c r="P9" s="420"/>
      <c r="Q9" s="420"/>
      <c r="R9" s="420"/>
      <c r="S9" s="420"/>
      <c r="T9" s="420"/>
      <c r="U9" s="420"/>
      <c r="V9" s="420"/>
      <c r="W9" s="420"/>
      <c r="X9" s="420"/>
      <c r="Y9" s="420"/>
    </row>
    <row r="10" spans="1:27" s="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0" t="str">
        <f>'1. паспорт местоположение'!A12</f>
        <v>M_21-0295</v>
      </c>
      <c r="F12" s="420"/>
      <c r="G12" s="420"/>
      <c r="H12" s="420"/>
      <c r="I12" s="420"/>
      <c r="J12" s="420"/>
      <c r="K12" s="420"/>
      <c r="L12" s="420"/>
      <c r="M12" s="420"/>
      <c r="N12" s="420"/>
      <c r="O12" s="420"/>
      <c r="P12" s="420"/>
      <c r="Q12" s="420"/>
      <c r="R12" s="420"/>
      <c r="S12" s="420"/>
      <c r="T12" s="420"/>
      <c r="U12" s="420"/>
      <c r="V12" s="420"/>
      <c r="W12" s="420"/>
      <c r="X12" s="420"/>
      <c r="Y12" s="420"/>
    </row>
    <row r="13" spans="1:27" s="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7" t="str">
        <f>'3.1. паспорт Техсостояние ПС'!A15</f>
        <v>Строительство ТП 10/0,4 кВ, ЛЭП 10 кВ от ВЛ 35-03, ЛЭП 10 кВ от ВЛ 35-17, организация системы учета электроэнергии в п. Котельниково Зеленоградского района</v>
      </c>
      <c r="F15" s="417"/>
      <c r="G15" s="417"/>
      <c r="H15" s="417"/>
      <c r="I15" s="417"/>
      <c r="J15" s="417"/>
      <c r="K15" s="417"/>
      <c r="L15" s="417"/>
      <c r="M15" s="417"/>
      <c r="N15" s="417"/>
      <c r="O15" s="417"/>
      <c r="P15" s="417"/>
      <c r="Q15" s="417"/>
      <c r="R15" s="417"/>
      <c r="S15" s="417"/>
      <c r="T15" s="417"/>
      <c r="U15" s="417"/>
      <c r="V15" s="417"/>
      <c r="W15" s="417"/>
      <c r="X15" s="417"/>
      <c r="Y15" s="417"/>
    </row>
    <row r="16" spans="1:27" s="80"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355</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13" customFormat="1" ht="21" customHeight="1" x14ac:dyDescent="0.25"/>
    <row r="21" spans="1:27" ht="15.75" customHeight="1" x14ac:dyDescent="0.25">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25">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37" t="s">
        <v>109</v>
      </c>
      <c r="Y22" s="237" t="s">
        <v>352</v>
      </c>
      <c r="Z22" s="237" t="s">
        <v>108</v>
      </c>
      <c r="AA22" s="237" t="s">
        <v>107</v>
      </c>
    </row>
    <row r="23" spans="1:27" ht="60" customHeight="1" x14ac:dyDescent="0.25">
      <c r="A23" s="441"/>
      <c r="B23" s="237" t="s">
        <v>105</v>
      </c>
      <c r="C23" s="237" t="s">
        <v>106</v>
      </c>
      <c r="D23" s="237" t="s">
        <v>105</v>
      </c>
      <c r="E23" s="237" t="s">
        <v>106</v>
      </c>
      <c r="F23" s="237" t="s">
        <v>105</v>
      </c>
      <c r="G23" s="237" t="s">
        <v>106</v>
      </c>
      <c r="H23" s="237" t="s">
        <v>105</v>
      </c>
      <c r="I23" s="237" t="s">
        <v>106</v>
      </c>
      <c r="J23" s="237" t="s">
        <v>105</v>
      </c>
      <c r="K23" s="237" t="s">
        <v>105</v>
      </c>
      <c r="L23" s="237" t="s">
        <v>106</v>
      </c>
      <c r="M23" s="237" t="s">
        <v>105</v>
      </c>
      <c r="N23" s="237" t="s">
        <v>106</v>
      </c>
      <c r="O23" s="237" t="s">
        <v>105</v>
      </c>
      <c r="P23" s="237" t="s">
        <v>106</v>
      </c>
      <c r="Q23" s="237" t="s">
        <v>105</v>
      </c>
      <c r="R23" s="237" t="s">
        <v>106</v>
      </c>
      <c r="S23" s="237" t="s">
        <v>105</v>
      </c>
      <c r="T23" s="237" t="s">
        <v>105</v>
      </c>
      <c r="U23" s="237" t="s">
        <v>105</v>
      </c>
      <c r="V23" s="237" t="s">
        <v>105</v>
      </c>
      <c r="W23" s="237" t="s">
        <v>106</v>
      </c>
      <c r="X23" s="237" t="s">
        <v>105</v>
      </c>
      <c r="Y23" s="237" t="s">
        <v>105</v>
      </c>
      <c r="Z23" s="237" t="s">
        <v>105</v>
      </c>
      <c r="AA23" s="237" t="s">
        <v>105</v>
      </c>
    </row>
    <row r="24" spans="1:27" x14ac:dyDescent="0.25">
      <c r="A24" s="238">
        <v>1</v>
      </c>
      <c r="B24" s="238">
        <v>2</v>
      </c>
      <c r="C24" s="238">
        <v>3</v>
      </c>
      <c r="D24" s="238">
        <v>4</v>
      </c>
      <c r="E24" s="238">
        <v>5</v>
      </c>
      <c r="F24" s="238">
        <v>6</v>
      </c>
      <c r="G24" s="238">
        <v>7</v>
      </c>
      <c r="H24" s="238">
        <v>8</v>
      </c>
      <c r="I24" s="238">
        <v>9</v>
      </c>
      <c r="J24" s="238">
        <v>10</v>
      </c>
      <c r="K24" s="238">
        <v>11</v>
      </c>
      <c r="L24" s="238">
        <v>12</v>
      </c>
      <c r="M24" s="238">
        <v>13</v>
      </c>
      <c r="N24" s="238">
        <v>14</v>
      </c>
      <c r="O24" s="238">
        <v>15</v>
      </c>
      <c r="P24" s="238">
        <v>16</v>
      </c>
      <c r="Q24" s="238">
        <v>19</v>
      </c>
      <c r="R24" s="238">
        <v>20</v>
      </c>
      <c r="S24" s="238">
        <v>21</v>
      </c>
      <c r="T24" s="238">
        <v>22</v>
      </c>
      <c r="U24" s="238">
        <v>23</v>
      </c>
      <c r="V24" s="238">
        <v>24</v>
      </c>
      <c r="W24" s="238">
        <v>25</v>
      </c>
      <c r="X24" s="238">
        <v>26</v>
      </c>
      <c r="Y24" s="238">
        <v>27</v>
      </c>
      <c r="Z24" s="238">
        <v>28</v>
      </c>
      <c r="AA24" s="238">
        <v>29</v>
      </c>
    </row>
    <row r="25" spans="1:27" s="163" customFormat="1" x14ac:dyDescent="0.25">
      <c r="A25" s="350">
        <v>1</v>
      </c>
      <c r="B25" s="350" t="s">
        <v>618</v>
      </c>
      <c r="C25" s="350" t="str">
        <f>B25</f>
        <v>ВЛ 10 кВ № 35-03</v>
      </c>
      <c r="D25" s="236" t="s">
        <v>265</v>
      </c>
      <c r="E25" s="235" t="s">
        <v>620</v>
      </c>
      <c r="F25" s="236" t="s">
        <v>265</v>
      </c>
      <c r="G25" s="236">
        <v>10</v>
      </c>
      <c r="H25" s="236" t="s">
        <v>265</v>
      </c>
      <c r="I25" s="236">
        <v>10</v>
      </c>
      <c r="J25" s="236" t="s">
        <v>265</v>
      </c>
      <c r="K25" s="236" t="s">
        <v>265</v>
      </c>
      <c r="L25" s="236">
        <v>1</v>
      </c>
      <c r="M25" s="236" t="s">
        <v>265</v>
      </c>
      <c r="N25" s="236">
        <v>70</v>
      </c>
      <c r="O25" s="236" t="s">
        <v>265</v>
      </c>
      <c r="P25" s="236" t="s">
        <v>589</v>
      </c>
      <c r="Q25" s="236" t="s">
        <v>265</v>
      </c>
      <c r="R25" s="236">
        <v>0.1</v>
      </c>
      <c r="S25" s="235" t="s">
        <v>265</v>
      </c>
      <c r="T25" s="236" t="s">
        <v>265</v>
      </c>
      <c r="U25" s="236" t="s">
        <v>265</v>
      </c>
      <c r="V25" s="236" t="s">
        <v>265</v>
      </c>
      <c r="W25" s="236" t="s">
        <v>604</v>
      </c>
      <c r="X25" s="236" t="s">
        <v>265</v>
      </c>
      <c r="Y25" s="236" t="s">
        <v>265</v>
      </c>
      <c r="Z25" s="236" t="s">
        <v>265</v>
      </c>
      <c r="AA25" s="236" t="s">
        <v>265</v>
      </c>
    </row>
    <row r="26" spans="1:27" s="163" customFormat="1" x14ac:dyDescent="0.25">
      <c r="A26" s="350">
        <v>2</v>
      </c>
      <c r="B26" s="350" t="s">
        <v>619</v>
      </c>
      <c r="C26" s="350" t="str">
        <f>B26</f>
        <v>ВЛ 10 кВ № 35-17</v>
      </c>
      <c r="D26" s="236" t="s">
        <v>265</v>
      </c>
      <c r="E26" s="235" t="s">
        <v>620</v>
      </c>
      <c r="F26" s="236" t="s">
        <v>265</v>
      </c>
      <c r="G26" s="236">
        <v>10</v>
      </c>
      <c r="H26" s="236" t="s">
        <v>265</v>
      </c>
      <c r="I26" s="236">
        <v>10</v>
      </c>
      <c r="J26" s="236" t="s">
        <v>265</v>
      </c>
      <c r="K26" s="236" t="s">
        <v>265</v>
      </c>
      <c r="L26" s="236">
        <v>1</v>
      </c>
      <c r="M26" s="236" t="s">
        <v>265</v>
      </c>
      <c r="N26" s="236">
        <v>70</v>
      </c>
      <c r="O26" s="236" t="s">
        <v>265</v>
      </c>
      <c r="P26" s="236" t="s">
        <v>589</v>
      </c>
      <c r="Q26" s="236" t="s">
        <v>265</v>
      </c>
      <c r="R26" s="236">
        <v>0.1</v>
      </c>
      <c r="S26" s="235" t="s">
        <v>265</v>
      </c>
      <c r="T26" s="236" t="s">
        <v>265</v>
      </c>
      <c r="U26" s="236" t="s">
        <v>265</v>
      </c>
      <c r="V26" s="236" t="s">
        <v>265</v>
      </c>
      <c r="W26" s="236" t="s">
        <v>604</v>
      </c>
      <c r="X26" s="236" t="s">
        <v>265</v>
      </c>
      <c r="Y26" s="236" t="s">
        <v>265</v>
      </c>
      <c r="Z26" s="236" t="s">
        <v>265</v>
      </c>
      <c r="AA26" s="236" t="s">
        <v>265</v>
      </c>
    </row>
    <row r="27" spans="1:27" x14ac:dyDescent="0.25">
      <c r="Q27" s="6">
        <f>SUM(Q25:Q26)</f>
        <v>0</v>
      </c>
      <c r="R27" s="6">
        <f>SUM(R25:R26)</f>
        <v>0.2</v>
      </c>
      <c r="S27" s="6">
        <f>R27-Q27</f>
        <v>0.2</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8" t="str">
        <f>'3.2 паспорт Техсостояние ЛЭП'!A5</f>
        <v>Год раскрытия информации: 2023 год</v>
      </c>
      <c r="B5" s="408"/>
      <c r="C5" s="40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5" t="s">
        <v>7</v>
      </c>
      <c r="B7" s="415"/>
      <c r="C7" s="415"/>
      <c r="D7" s="74"/>
      <c r="E7" s="74"/>
      <c r="F7" s="74"/>
      <c r="G7" s="74"/>
      <c r="H7" s="74"/>
      <c r="I7" s="74"/>
      <c r="J7" s="74"/>
      <c r="K7" s="74"/>
      <c r="L7" s="74"/>
      <c r="M7" s="74"/>
      <c r="N7" s="74"/>
      <c r="O7" s="74"/>
      <c r="P7" s="74"/>
      <c r="Q7" s="74"/>
      <c r="R7" s="74"/>
      <c r="S7" s="74"/>
      <c r="T7" s="74"/>
      <c r="U7" s="74"/>
    </row>
    <row r="8" spans="1:29" s="2" customFormat="1" ht="18.75" x14ac:dyDescent="0.2">
      <c r="A8" s="415"/>
      <c r="B8" s="415"/>
      <c r="C8" s="415"/>
      <c r="D8" s="75"/>
      <c r="E8" s="75"/>
      <c r="F8" s="75"/>
      <c r="G8" s="75"/>
      <c r="H8" s="74"/>
      <c r="I8" s="74"/>
      <c r="J8" s="74"/>
      <c r="K8" s="74"/>
      <c r="L8" s="74"/>
      <c r="M8" s="74"/>
      <c r="N8" s="74"/>
      <c r="O8" s="74"/>
      <c r="P8" s="74"/>
      <c r="Q8" s="74"/>
      <c r="R8" s="74"/>
      <c r="S8" s="74"/>
      <c r="T8" s="74"/>
      <c r="U8" s="74"/>
    </row>
    <row r="9" spans="1:29" s="2" customFormat="1" ht="18.75" x14ac:dyDescent="0.2">
      <c r="A9" s="420" t="str">
        <f>'3.2 паспорт Техсостояние ЛЭП'!E9</f>
        <v>Акционерное общество "Россети Янтарь"</v>
      </c>
      <c r="B9" s="420"/>
      <c r="C9" s="420"/>
      <c r="D9" s="76"/>
      <c r="E9" s="76"/>
      <c r="F9" s="76"/>
      <c r="G9" s="76"/>
      <c r="H9" s="74"/>
      <c r="I9" s="74"/>
      <c r="J9" s="74"/>
      <c r="K9" s="74"/>
      <c r="L9" s="74"/>
      <c r="M9" s="74"/>
      <c r="N9" s="74"/>
      <c r="O9" s="74"/>
      <c r="P9" s="74"/>
      <c r="Q9" s="74"/>
      <c r="R9" s="74"/>
      <c r="S9" s="74"/>
      <c r="T9" s="74"/>
      <c r="U9" s="74"/>
    </row>
    <row r="10" spans="1:29" s="2" customFormat="1" ht="18.75" x14ac:dyDescent="0.2">
      <c r="A10" s="412" t="s">
        <v>6</v>
      </c>
      <c r="B10" s="412"/>
      <c r="C10" s="412"/>
      <c r="D10" s="77"/>
      <c r="E10" s="77"/>
      <c r="F10" s="77"/>
      <c r="G10" s="77"/>
      <c r="H10" s="74"/>
      <c r="I10" s="74"/>
      <c r="J10" s="74"/>
      <c r="K10" s="74"/>
      <c r="L10" s="74"/>
      <c r="M10" s="74"/>
      <c r="N10" s="74"/>
      <c r="O10" s="74"/>
      <c r="P10" s="74"/>
      <c r="Q10" s="74"/>
      <c r="R10" s="74"/>
      <c r="S10" s="74"/>
      <c r="T10" s="74"/>
      <c r="U10" s="74"/>
    </row>
    <row r="11" spans="1:29" s="2" customFormat="1" ht="18.75" x14ac:dyDescent="0.2">
      <c r="A11" s="415"/>
      <c r="B11" s="415"/>
      <c r="C11" s="415"/>
      <c r="D11" s="75"/>
      <c r="E11" s="75"/>
      <c r="F11" s="75"/>
      <c r="G11" s="75"/>
      <c r="H11" s="74"/>
      <c r="I11" s="74"/>
      <c r="J11" s="74"/>
      <c r="K11" s="74"/>
      <c r="L11" s="74"/>
      <c r="M11" s="74"/>
      <c r="N11" s="74"/>
      <c r="O11" s="74"/>
      <c r="P11" s="74"/>
      <c r="Q11" s="74"/>
      <c r="R11" s="74"/>
      <c r="S11" s="74"/>
      <c r="T11" s="74"/>
      <c r="U11" s="74"/>
    </row>
    <row r="12" spans="1:29" s="2" customFormat="1" ht="18.75" x14ac:dyDescent="0.2">
      <c r="A12" s="420" t="str">
        <f>'3.2 паспорт Техсостояние ЛЭП'!E12</f>
        <v>M_21-0295</v>
      </c>
      <c r="B12" s="420"/>
      <c r="C12" s="420"/>
      <c r="D12" s="76"/>
      <c r="E12" s="76"/>
      <c r="F12" s="76"/>
      <c r="G12" s="76"/>
      <c r="H12" s="74"/>
      <c r="I12" s="74"/>
      <c r="J12" s="74"/>
      <c r="K12" s="74"/>
      <c r="L12" s="74"/>
      <c r="M12" s="74"/>
      <c r="N12" s="74"/>
      <c r="O12" s="74"/>
      <c r="P12" s="74"/>
      <c r="Q12" s="74"/>
      <c r="R12" s="74"/>
      <c r="S12" s="74"/>
      <c r="T12" s="74"/>
      <c r="U12" s="74"/>
    </row>
    <row r="13" spans="1:29" s="2" customFormat="1" ht="18.75" x14ac:dyDescent="0.2">
      <c r="A13" s="412" t="s">
        <v>5</v>
      </c>
      <c r="B13" s="412"/>
      <c r="C13" s="412"/>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1"/>
      <c r="B14" s="421"/>
      <c r="C14" s="421"/>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7" t="str">
        <f>'3.2 паспорт Техсостояние ЛЭП'!E15</f>
        <v>Строительство ТП 10/0,4 кВ, ЛЭП 10 кВ от ВЛ 35-03, ЛЭП 10 кВ от ВЛ 35-17, организация системы учета электроэнергии в п. Котельниково Зеленоградского района</v>
      </c>
      <c r="B15" s="417"/>
      <c r="C15" s="417"/>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8"/>
      <c r="B17" s="418"/>
      <c r="C17" s="418"/>
      <c r="D17" s="81"/>
      <c r="E17" s="81"/>
      <c r="F17" s="81"/>
      <c r="G17" s="81"/>
      <c r="H17" s="81"/>
      <c r="I17" s="81"/>
      <c r="J17" s="81"/>
      <c r="K17" s="81"/>
      <c r="L17" s="81"/>
      <c r="M17" s="81"/>
      <c r="N17" s="81"/>
      <c r="O17" s="81"/>
      <c r="P17" s="81"/>
      <c r="Q17" s="81"/>
      <c r="R17" s="81"/>
    </row>
    <row r="18" spans="1:21" s="80" customFormat="1" ht="27.75" customHeight="1" x14ac:dyDescent="0.2">
      <c r="A18" s="413" t="s">
        <v>347</v>
      </c>
      <c r="B18" s="413"/>
      <c r="C18" s="413"/>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483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1,5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550</v>
      </c>
      <c r="C24" s="97" t="s">
        <v>627</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481</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7519/12/20 от 18.01.2021; Постановление Правительства Российской Федерации от 27 декабря 2004 г. № 861</v>
      </c>
      <c r="D27" s="98"/>
      <c r="E27" s="34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481</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628</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8" t="str">
        <f>'3.3 паспорт описание'!A5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74"/>
      <c r="AB6" s="74"/>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74"/>
      <c r="AB7" s="74"/>
    </row>
    <row r="8" spans="1:28" ht="15.75" x14ac:dyDescent="0.25">
      <c r="A8" s="420" t="str">
        <f>'3.3 паспорт описание'!A9:C9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76"/>
      <c r="AB8" s="76"/>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7"/>
      <c r="AB9" s="77"/>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74"/>
      <c r="AB10" s="74"/>
    </row>
    <row r="11" spans="1:28" ht="15.75" x14ac:dyDescent="0.25">
      <c r="A11" s="420" t="str">
        <f>'3.3 паспорт описание'!A12:C12</f>
        <v>M_21-0295</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76"/>
      <c r="AB11" s="76"/>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7"/>
      <c r="AB12" s="77"/>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05"/>
      <c r="AB13" s="105"/>
    </row>
    <row r="14" spans="1:28" ht="24.75" customHeight="1" x14ac:dyDescent="0.25">
      <c r="A14" s="417" t="str">
        <f>'3.3 паспорт описание'!A15:C15</f>
        <v>Строительство ТП 10/0,4 кВ, ЛЭП 10 кВ от ВЛ 35-03, ЛЭП 10 кВ от ВЛ 35-17, организация системы учета электроэнергии в п. Котельниково Зеленоградского района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6"/>
      <c r="AB14" s="76"/>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7"/>
      <c r="AB15" s="77"/>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06"/>
      <c r="AB16" s="106"/>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06"/>
      <c r="AB17" s="106"/>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06"/>
      <c r="AB18" s="106"/>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06"/>
      <c r="AB19" s="106"/>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07"/>
      <c r="AB20" s="107"/>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07"/>
      <c r="AB21" s="107"/>
    </row>
    <row r="22" spans="1:28" x14ac:dyDescent="0.25">
      <c r="A22" s="444" t="s">
        <v>378</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08"/>
      <c r="AB22" s="108"/>
    </row>
    <row r="23" spans="1:28" ht="32.25" customHeight="1" x14ac:dyDescent="0.25">
      <c r="A23" s="446" t="s">
        <v>263</v>
      </c>
      <c r="B23" s="447"/>
      <c r="C23" s="447"/>
      <c r="D23" s="447"/>
      <c r="E23" s="447"/>
      <c r="F23" s="447"/>
      <c r="G23" s="447"/>
      <c r="H23" s="447"/>
      <c r="I23" s="447"/>
      <c r="J23" s="447"/>
      <c r="K23" s="447"/>
      <c r="L23" s="448"/>
      <c r="M23" s="445" t="s">
        <v>264</v>
      </c>
      <c r="N23" s="445"/>
      <c r="O23" s="445"/>
      <c r="P23" s="445"/>
      <c r="Q23" s="445"/>
      <c r="R23" s="445"/>
      <c r="S23" s="445"/>
      <c r="T23" s="445"/>
      <c r="U23" s="445"/>
      <c r="V23" s="445"/>
      <c r="W23" s="445"/>
      <c r="X23" s="445"/>
      <c r="Y23" s="445"/>
      <c r="Z23" s="445"/>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484</v>
      </c>
      <c r="D26" s="192" t="s">
        <v>485</v>
      </c>
      <c r="E26" s="192" t="s">
        <v>486</v>
      </c>
      <c r="F26" s="192" t="s">
        <v>487</v>
      </c>
      <c r="G26" s="192" t="s">
        <v>488</v>
      </c>
      <c r="H26" s="192" t="s">
        <v>206</v>
      </c>
      <c r="I26" s="192" t="s">
        <v>489</v>
      </c>
      <c r="J26" s="192" t="s">
        <v>490</v>
      </c>
      <c r="K26" s="193"/>
      <c r="L26" s="194" t="s">
        <v>491</v>
      </c>
      <c r="M26" s="195" t="s">
        <v>492</v>
      </c>
      <c r="N26" s="193"/>
      <c r="O26" s="193"/>
      <c r="P26" s="193"/>
      <c r="Q26" s="193"/>
      <c r="R26" s="193"/>
      <c r="S26" s="193"/>
      <c r="T26" s="193"/>
      <c r="U26" s="193"/>
      <c r="V26" s="193"/>
      <c r="W26" s="193"/>
      <c r="X26" s="193"/>
      <c r="Y26" s="193"/>
      <c r="Z26" s="196" t="s">
        <v>215</v>
      </c>
    </row>
    <row r="27" spans="1:28" customFormat="1" x14ac:dyDescent="0.25">
      <c r="A27" s="193" t="s">
        <v>493</v>
      </c>
      <c r="B27" s="193" t="s">
        <v>494</v>
      </c>
      <c r="C27" s="193" t="s">
        <v>495</v>
      </c>
      <c r="D27" s="193" t="s">
        <v>496</v>
      </c>
      <c r="E27" s="193" t="s">
        <v>497</v>
      </c>
      <c r="F27" s="192" t="s">
        <v>498</v>
      </c>
      <c r="G27" s="192" t="s">
        <v>499</v>
      </c>
      <c r="H27" s="193" t="s">
        <v>206</v>
      </c>
      <c r="I27" s="192" t="s">
        <v>500</v>
      </c>
      <c r="J27" s="192" t="s">
        <v>501</v>
      </c>
      <c r="K27" s="194" t="s">
        <v>502</v>
      </c>
      <c r="L27" s="193"/>
      <c r="M27" s="194" t="s">
        <v>503</v>
      </c>
      <c r="N27" s="193"/>
      <c r="O27" s="193"/>
      <c r="P27" s="193"/>
      <c r="Q27" s="193"/>
      <c r="R27" s="193"/>
      <c r="S27" s="193"/>
      <c r="T27" s="193"/>
      <c r="U27" s="193"/>
      <c r="V27" s="193"/>
      <c r="W27" s="193"/>
      <c r="X27" s="193"/>
      <c r="Y27" s="193"/>
      <c r="Z27" s="193"/>
    </row>
    <row r="28" spans="1:28" customFormat="1" x14ac:dyDescent="0.25">
      <c r="A28" s="193" t="s">
        <v>493</v>
      </c>
      <c r="B28" s="193" t="s">
        <v>504</v>
      </c>
      <c r="C28" s="193" t="s">
        <v>505</v>
      </c>
      <c r="D28" s="193" t="s">
        <v>506</v>
      </c>
      <c r="E28" s="193" t="s">
        <v>507</v>
      </c>
      <c r="F28" s="192" t="s">
        <v>508</v>
      </c>
      <c r="G28" s="192" t="s">
        <v>509</v>
      </c>
      <c r="H28" s="193" t="s">
        <v>206</v>
      </c>
      <c r="I28" s="192" t="s">
        <v>510</v>
      </c>
      <c r="J28" s="192" t="s">
        <v>511</v>
      </c>
      <c r="K28" s="194" t="s">
        <v>512</v>
      </c>
      <c r="L28" s="197"/>
      <c r="M28" s="194" t="s">
        <v>0</v>
      </c>
      <c r="N28" s="194"/>
      <c r="O28" s="194"/>
      <c r="P28" s="194"/>
      <c r="Q28" s="194"/>
      <c r="R28" s="194"/>
      <c r="S28" s="194"/>
      <c r="T28" s="194"/>
      <c r="U28" s="194"/>
      <c r="V28" s="194"/>
      <c r="W28" s="194"/>
      <c r="X28" s="194"/>
      <c r="Y28" s="194"/>
      <c r="Z28" s="194"/>
    </row>
    <row r="29" spans="1:28" customFormat="1" x14ac:dyDescent="0.25">
      <c r="A29" s="193" t="s">
        <v>493</v>
      </c>
      <c r="B29" s="193" t="s">
        <v>513</v>
      </c>
      <c r="C29" s="193" t="s">
        <v>514</v>
      </c>
      <c r="D29" s="193" t="s">
        <v>515</v>
      </c>
      <c r="E29" s="193" t="s">
        <v>516</v>
      </c>
      <c r="F29" s="192" t="s">
        <v>517</v>
      </c>
      <c r="G29" s="192" t="s">
        <v>518</v>
      </c>
      <c r="H29" s="193" t="s">
        <v>206</v>
      </c>
      <c r="I29" s="192" t="s">
        <v>519</v>
      </c>
      <c r="J29" s="192" t="s">
        <v>520</v>
      </c>
      <c r="K29" s="194" t="s">
        <v>521</v>
      </c>
      <c r="L29" s="197"/>
      <c r="M29" s="193"/>
      <c r="N29" s="193"/>
      <c r="O29" s="193"/>
      <c r="P29" s="193"/>
      <c r="Q29" s="193"/>
      <c r="R29" s="193"/>
      <c r="S29" s="193"/>
      <c r="T29" s="193"/>
      <c r="U29" s="193"/>
      <c r="V29" s="193"/>
      <c r="W29" s="193"/>
      <c r="X29" s="193"/>
      <c r="Y29" s="193"/>
      <c r="Z29" s="193"/>
    </row>
    <row r="30" spans="1:28" customFormat="1" x14ac:dyDescent="0.25">
      <c r="A30" s="193" t="s">
        <v>493</v>
      </c>
      <c r="B30" s="193" t="s">
        <v>522</v>
      </c>
      <c r="C30" s="193" t="s">
        <v>523</v>
      </c>
      <c r="D30" s="193" t="s">
        <v>524</v>
      </c>
      <c r="E30" s="193" t="s">
        <v>525</v>
      </c>
      <c r="F30" s="192" t="s">
        <v>526</v>
      </c>
      <c r="G30" s="192" t="s">
        <v>527</v>
      </c>
      <c r="H30" s="193" t="s">
        <v>206</v>
      </c>
      <c r="I30" s="192" t="s">
        <v>528</v>
      </c>
      <c r="J30" s="192" t="s">
        <v>529</v>
      </c>
      <c r="K30" s="194" t="s">
        <v>530</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531</v>
      </c>
      <c r="D32" s="192" t="s">
        <v>532</v>
      </c>
      <c r="E32" s="192" t="s">
        <v>533</v>
      </c>
      <c r="F32" s="192" t="s">
        <v>534</v>
      </c>
      <c r="G32" s="192" t="s">
        <v>535</v>
      </c>
      <c r="H32" s="192" t="s">
        <v>206</v>
      </c>
      <c r="I32" s="192" t="s">
        <v>536</v>
      </c>
      <c r="J32" s="192" t="s">
        <v>537</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5" t="s">
        <v>7</v>
      </c>
      <c r="B7" s="415"/>
      <c r="C7" s="415"/>
      <c r="D7" s="415"/>
      <c r="E7" s="415"/>
      <c r="F7" s="415"/>
      <c r="G7" s="415"/>
      <c r="H7" s="415"/>
      <c r="I7" s="415"/>
      <c r="J7" s="415"/>
      <c r="K7" s="415"/>
      <c r="L7" s="415"/>
      <c r="M7" s="415"/>
      <c r="N7" s="74"/>
      <c r="O7" s="74"/>
      <c r="P7" s="74"/>
      <c r="Q7" s="74"/>
      <c r="R7" s="74"/>
      <c r="S7" s="74"/>
      <c r="T7" s="74"/>
      <c r="U7" s="74"/>
      <c r="V7" s="74"/>
      <c r="W7" s="74"/>
      <c r="X7" s="74"/>
    </row>
    <row r="8" spans="1:26" s="2" customFormat="1" ht="18.75" x14ac:dyDescent="0.2">
      <c r="A8" s="415"/>
      <c r="B8" s="415"/>
      <c r="C8" s="415"/>
      <c r="D8" s="415"/>
      <c r="E8" s="415"/>
      <c r="F8" s="415"/>
      <c r="G8" s="415"/>
      <c r="H8" s="415"/>
      <c r="I8" s="415"/>
      <c r="J8" s="415"/>
      <c r="K8" s="415"/>
      <c r="L8" s="415"/>
      <c r="M8" s="415"/>
      <c r="N8" s="74"/>
      <c r="O8" s="74"/>
      <c r="P8" s="74"/>
      <c r="Q8" s="74"/>
      <c r="R8" s="74"/>
      <c r="S8" s="74"/>
      <c r="T8" s="74"/>
      <c r="U8" s="74"/>
      <c r="V8" s="74"/>
      <c r="W8" s="74"/>
      <c r="X8" s="74"/>
    </row>
    <row r="9" spans="1:26" s="2" customFormat="1" ht="18.75" x14ac:dyDescent="0.2">
      <c r="A9" s="417" t="str">
        <f>'3.4. Паспорт надежность'!A8</f>
        <v>Акционерное общество "Россети Янтарь"</v>
      </c>
      <c r="B9" s="417"/>
      <c r="C9" s="417"/>
      <c r="D9" s="417"/>
      <c r="E9" s="417"/>
      <c r="F9" s="417"/>
      <c r="G9" s="417"/>
      <c r="H9" s="417"/>
      <c r="I9" s="417"/>
      <c r="J9" s="417"/>
      <c r="K9" s="417"/>
      <c r="L9" s="417"/>
      <c r="M9" s="417"/>
      <c r="N9" s="74"/>
      <c r="O9" s="74"/>
      <c r="P9" s="74"/>
      <c r="Q9" s="74"/>
      <c r="R9" s="74"/>
      <c r="S9" s="74"/>
      <c r="T9" s="74"/>
      <c r="U9" s="74"/>
      <c r="V9" s="74"/>
      <c r="W9" s="74"/>
      <c r="X9" s="74"/>
    </row>
    <row r="10" spans="1:26" s="2" customFormat="1" ht="18.75" x14ac:dyDescent="0.2">
      <c r="A10" s="412" t="s">
        <v>6</v>
      </c>
      <c r="B10" s="412"/>
      <c r="C10" s="412"/>
      <c r="D10" s="412"/>
      <c r="E10" s="412"/>
      <c r="F10" s="412"/>
      <c r="G10" s="412"/>
      <c r="H10" s="412"/>
      <c r="I10" s="412"/>
      <c r="J10" s="412"/>
      <c r="K10" s="412"/>
      <c r="L10" s="412"/>
      <c r="M10" s="412"/>
      <c r="N10" s="74"/>
      <c r="O10" s="74"/>
      <c r="P10" s="74"/>
      <c r="Q10" s="74"/>
      <c r="R10" s="74"/>
      <c r="S10" s="74"/>
      <c r="T10" s="74"/>
      <c r="U10" s="74"/>
      <c r="V10" s="74"/>
      <c r="W10" s="74"/>
      <c r="X10" s="74"/>
    </row>
    <row r="11" spans="1:26" s="2" customFormat="1" ht="18.75" x14ac:dyDescent="0.2">
      <c r="A11" s="415"/>
      <c r="B11" s="415"/>
      <c r="C11" s="415"/>
      <c r="D11" s="415"/>
      <c r="E11" s="415"/>
      <c r="F11" s="415"/>
      <c r="G11" s="415"/>
      <c r="H11" s="415"/>
      <c r="I11" s="415"/>
      <c r="J11" s="415"/>
      <c r="K11" s="415"/>
      <c r="L11" s="415"/>
      <c r="M11" s="415"/>
      <c r="N11" s="74"/>
      <c r="O11" s="74"/>
      <c r="P11" s="74"/>
      <c r="Q11" s="74"/>
      <c r="R11" s="74"/>
      <c r="S11" s="74"/>
      <c r="T11" s="74"/>
      <c r="U11" s="74"/>
      <c r="V11" s="74"/>
      <c r="W11" s="74"/>
      <c r="X11" s="74"/>
    </row>
    <row r="12" spans="1:26" s="2" customFormat="1" ht="18.75" x14ac:dyDescent="0.2">
      <c r="A12" s="417" t="str">
        <f>'3.4. Паспорт надежность'!A11</f>
        <v>M_21-0295</v>
      </c>
      <c r="B12" s="417"/>
      <c r="C12" s="417"/>
      <c r="D12" s="417"/>
      <c r="E12" s="417"/>
      <c r="F12" s="417"/>
      <c r="G12" s="417"/>
      <c r="H12" s="417"/>
      <c r="I12" s="417"/>
      <c r="J12" s="417"/>
      <c r="K12" s="417"/>
      <c r="L12" s="417"/>
      <c r="M12" s="417"/>
      <c r="N12" s="74"/>
      <c r="O12" s="74"/>
      <c r="P12" s="74"/>
      <c r="Q12" s="74"/>
      <c r="R12" s="74"/>
      <c r="S12" s="74"/>
      <c r="T12" s="74"/>
      <c r="U12" s="74"/>
      <c r="V12" s="74"/>
      <c r="W12" s="74"/>
      <c r="X12" s="74"/>
    </row>
    <row r="13" spans="1:26" s="2" customFormat="1" ht="18.75" x14ac:dyDescent="0.2">
      <c r="A13" s="412" t="s">
        <v>5</v>
      </c>
      <c r="B13" s="412"/>
      <c r="C13" s="412"/>
      <c r="D13" s="412"/>
      <c r="E13" s="412"/>
      <c r="F13" s="412"/>
      <c r="G13" s="412"/>
      <c r="H13" s="412"/>
      <c r="I13" s="412"/>
      <c r="J13" s="412"/>
      <c r="K13" s="412"/>
      <c r="L13" s="412"/>
      <c r="M13" s="412"/>
      <c r="N13" s="74"/>
      <c r="O13" s="74"/>
      <c r="P13" s="74"/>
      <c r="Q13" s="74"/>
      <c r="R13" s="74"/>
      <c r="S13" s="74"/>
      <c r="T13" s="74"/>
      <c r="U13" s="74"/>
      <c r="V13" s="74"/>
      <c r="W13" s="74"/>
      <c r="X13" s="74"/>
    </row>
    <row r="14" spans="1:26" s="79" customFormat="1" ht="15.75" customHeight="1" x14ac:dyDescent="0.2">
      <c r="A14" s="421"/>
      <c r="B14" s="421"/>
      <c r="C14" s="421"/>
      <c r="D14" s="421"/>
      <c r="E14" s="421"/>
      <c r="F14" s="421"/>
      <c r="G14" s="421"/>
      <c r="H14" s="421"/>
      <c r="I14" s="421"/>
      <c r="J14" s="421"/>
      <c r="K14" s="421"/>
      <c r="L14" s="421"/>
      <c r="M14" s="421"/>
      <c r="N14" s="78"/>
      <c r="O14" s="78"/>
      <c r="P14" s="78"/>
      <c r="Q14" s="78"/>
      <c r="R14" s="78"/>
      <c r="S14" s="78"/>
      <c r="T14" s="78"/>
      <c r="U14" s="78"/>
      <c r="V14" s="78"/>
      <c r="W14" s="78"/>
      <c r="X14" s="78"/>
    </row>
    <row r="15" spans="1:26" s="80" customFormat="1" ht="46.5" customHeight="1" x14ac:dyDescent="0.2">
      <c r="A15" s="417" t="str">
        <f>'3.4. Паспорт надежность'!A14</f>
        <v>Строительство ТП 10/0,4 кВ, ЛЭП 10 кВ от ВЛ 35-03, ЛЭП 10 кВ от ВЛ 35-17, организация системы учета электроэнергии в п. Котельниково Зеленоградского района</v>
      </c>
      <c r="B15" s="417"/>
      <c r="C15" s="417"/>
      <c r="D15" s="417"/>
      <c r="E15" s="417"/>
      <c r="F15" s="417"/>
      <c r="G15" s="417"/>
      <c r="H15" s="417"/>
      <c r="I15" s="417"/>
      <c r="J15" s="417"/>
      <c r="K15" s="417"/>
      <c r="L15" s="417"/>
      <c r="M15" s="417"/>
      <c r="N15" s="76"/>
      <c r="O15" s="76"/>
      <c r="P15" s="76"/>
      <c r="Q15" s="76"/>
      <c r="R15" s="76"/>
      <c r="S15" s="76"/>
      <c r="T15" s="76"/>
      <c r="U15" s="76"/>
      <c r="V15" s="76"/>
      <c r="W15" s="76"/>
      <c r="X15" s="76"/>
    </row>
    <row r="16" spans="1:26" s="80" customFormat="1" ht="15" customHeight="1" x14ac:dyDescent="0.2">
      <c r="A16" s="412" t="s">
        <v>4</v>
      </c>
      <c r="B16" s="412"/>
      <c r="C16" s="412"/>
      <c r="D16" s="412"/>
      <c r="E16" s="412"/>
      <c r="F16" s="412"/>
      <c r="G16" s="412"/>
      <c r="H16" s="412"/>
      <c r="I16" s="412"/>
      <c r="J16" s="412"/>
      <c r="K16" s="412"/>
      <c r="L16" s="412"/>
      <c r="M16" s="412"/>
      <c r="N16" s="77"/>
      <c r="O16" s="77"/>
      <c r="P16" s="77"/>
      <c r="Q16" s="77"/>
      <c r="R16" s="77"/>
      <c r="S16" s="77"/>
      <c r="T16" s="77"/>
      <c r="U16" s="77"/>
      <c r="V16" s="77"/>
      <c r="W16" s="77"/>
      <c r="X16" s="77"/>
    </row>
    <row r="17" spans="1:24" s="80" customFormat="1" ht="15" customHeight="1" x14ac:dyDescent="0.2">
      <c r="A17" s="418"/>
      <c r="B17" s="418"/>
      <c r="C17" s="418"/>
      <c r="D17" s="418"/>
      <c r="E17" s="418"/>
      <c r="F17" s="418"/>
      <c r="G17" s="418"/>
      <c r="H17" s="418"/>
      <c r="I17" s="418"/>
      <c r="J17" s="418"/>
      <c r="K17" s="418"/>
      <c r="L17" s="418"/>
      <c r="M17" s="418"/>
      <c r="N17" s="81"/>
      <c r="O17" s="81"/>
      <c r="P17" s="81"/>
      <c r="Q17" s="81"/>
      <c r="R17" s="81"/>
      <c r="S17" s="81"/>
      <c r="T17" s="81"/>
      <c r="U17" s="81"/>
    </row>
    <row r="18" spans="1:24" s="80" customFormat="1" ht="91.5" customHeight="1" x14ac:dyDescent="0.2">
      <c r="A18" s="453" t="s">
        <v>356</v>
      </c>
      <c r="B18" s="453"/>
      <c r="C18" s="453"/>
      <c r="D18" s="453"/>
      <c r="E18" s="453"/>
      <c r="F18" s="453"/>
      <c r="G18" s="453"/>
      <c r="H18" s="453"/>
      <c r="I18" s="453"/>
      <c r="J18" s="453"/>
      <c r="K18" s="453"/>
      <c r="L18" s="453"/>
      <c r="M18" s="453"/>
      <c r="N18" s="82"/>
      <c r="O18" s="82"/>
      <c r="P18" s="82"/>
      <c r="Q18" s="82"/>
      <c r="R18" s="82"/>
      <c r="S18" s="82"/>
      <c r="T18" s="82"/>
      <c r="U18" s="82"/>
      <c r="V18" s="82"/>
      <c r="W18" s="82"/>
      <c r="X18" s="82"/>
    </row>
    <row r="19" spans="1:24" s="80" customFormat="1" ht="78" customHeight="1" x14ac:dyDescent="0.2">
      <c r="A19" s="422" t="s">
        <v>3</v>
      </c>
      <c r="B19" s="422" t="s">
        <v>82</v>
      </c>
      <c r="C19" s="422" t="s">
        <v>81</v>
      </c>
      <c r="D19" s="422" t="s">
        <v>73</v>
      </c>
      <c r="E19" s="450" t="s">
        <v>80</v>
      </c>
      <c r="F19" s="451"/>
      <c r="G19" s="451"/>
      <c r="H19" s="451"/>
      <c r="I19" s="452"/>
      <c r="J19" s="422" t="s">
        <v>79</v>
      </c>
      <c r="K19" s="422"/>
      <c r="L19" s="422"/>
      <c r="M19" s="422"/>
      <c r="N19" s="81"/>
      <c r="O19" s="81"/>
      <c r="P19" s="81"/>
      <c r="Q19" s="81"/>
      <c r="R19" s="81"/>
      <c r="S19" s="81"/>
      <c r="T19" s="81"/>
      <c r="U19" s="81"/>
    </row>
    <row r="20" spans="1:24" s="80" customFormat="1" ht="51" customHeight="1" x14ac:dyDescent="0.2">
      <c r="A20" s="422"/>
      <c r="B20" s="422"/>
      <c r="C20" s="422"/>
      <c r="D20" s="422"/>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5" zoomScale="80" zoomScaleNormal="80" zoomScaleSheetLayoutView="100" workbookViewId="0">
      <selection activeCell="C25" sqref="C25"/>
    </sheetView>
  </sheetViews>
  <sheetFormatPr defaultColWidth="9.140625" defaultRowHeight="15.75" x14ac:dyDescent="0.2"/>
  <cols>
    <col min="1" max="1" width="61.7109375" style="265" customWidth="1"/>
    <col min="2" max="2" width="18.5703125" style="241" customWidth="1"/>
    <col min="3" max="12" width="16.85546875" style="241" customWidth="1"/>
    <col min="13" max="42" width="16.85546875" style="241" hidden="1" customWidth="1"/>
    <col min="43" max="45" width="16.85546875" style="243" hidden="1" customWidth="1"/>
    <col min="46" max="46" width="16.85546875" style="244" hidden="1" customWidth="1"/>
    <col min="47"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256</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9" t="str">
        <f>'1. паспорт местоположение'!A5:C5</f>
        <v>Год раскрытия информации: 2023 год</v>
      </c>
      <c r="B5" s="469"/>
      <c r="C5" s="469"/>
      <c r="D5" s="469"/>
      <c r="E5" s="469"/>
      <c r="F5" s="469"/>
      <c r="G5" s="469"/>
      <c r="H5" s="469"/>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9"/>
      <c r="AR5" s="249"/>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70" t="s">
        <v>7</v>
      </c>
      <c r="B7" s="470"/>
      <c r="C7" s="470"/>
      <c r="D7" s="470"/>
      <c r="E7" s="470"/>
      <c r="F7" s="470"/>
      <c r="G7" s="470"/>
      <c r="H7" s="47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1"/>
      <c r="AR7" s="251"/>
    </row>
    <row r="8" spans="1:44" ht="18.75" x14ac:dyDescent="0.2">
      <c r="A8" s="362"/>
      <c r="B8" s="362"/>
      <c r="C8" s="362"/>
      <c r="D8" s="362"/>
      <c r="E8" s="362"/>
      <c r="F8" s="362"/>
      <c r="G8" s="362"/>
      <c r="H8" s="362"/>
      <c r="I8" s="362"/>
      <c r="J8" s="362"/>
      <c r="K8" s="362"/>
      <c r="L8" s="250"/>
      <c r="M8" s="250"/>
      <c r="N8" s="250"/>
      <c r="O8" s="250"/>
      <c r="P8" s="250"/>
      <c r="Q8" s="250"/>
      <c r="R8" s="250"/>
      <c r="S8" s="250"/>
      <c r="T8" s="250"/>
      <c r="U8" s="250"/>
      <c r="V8" s="250"/>
      <c r="W8" s="250"/>
      <c r="X8" s="250"/>
      <c r="Y8" s="250"/>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71" t="str">
        <f>'1. паспорт местоположение'!A9:C9</f>
        <v>Акционерное общество "Россети Янтарь"</v>
      </c>
      <c r="B9" s="471"/>
      <c r="C9" s="471"/>
      <c r="D9" s="471"/>
      <c r="E9" s="471"/>
      <c r="F9" s="471"/>
      <c r="G9" s="471"/>
      <c r="H9" s="471"/>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72" t="s">
        <v>6</v>
      </c>
      <c r="B10" s="472"/>
      <c r="C10" s="472"/>
      <c r="D10" s="472"/>
      <c r="E10" s="472"/>
      <c r="F10" s="472"/>
      <c r="G10" s="472"/>
      <c r="H10" s="472"/>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362"/>
      <c r="B11" s="362"/>
      <c r="C11" s="362"/>
      <c r="D11" s="362"/>
      <c r="E11" s="362"/>
      <c r="F11" s="362"/>
      <c r="G11" s="362"/>
      <c r="H11" s="362"/>
      <c r="I11" s="362"/>
      <c r="J11" s="362"/>
      <c r="K11" s="362"/>
      <c r="L11" s="250"/>
      <c r="M11" s="250"/>
      <c r="N11" s="250"/>
      <c r="O11" s="250"/>
      <c r="P11" s="250"/>
      <c r="Q11" s="250"/>
      <c r="R11" s="250"/>
      <c r="S11" s="250"/>
      <c r="T11" s="250"/>
      <c r="U11" s="250"/>
      <c r="V11" s="250"/>
      <c r="W11" s="250"/>
      <c r="X11" s="250"/>
      <c r="Y11" s="250"/>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71" t="str">
        <f>'1. паспорт местоположение'!A12:C12</f>
        <v>M_21-0295</v>
      </c>
      <c r="B12" s="471"/>
      <c r="C12" s="471"/>
      <c r="D12" s="471"/>
      <c r="E12" s="471"/>
      <c r="F12" s="471"/>
      <c r="G12" s="471"/>
      <c r="H12" s="471"/>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72" t="s">
        <v>5</v>
      </c>
      <c r="B13" s="472"/>
      <c r="C13" s="472"/>
      <c r="D13" s="472"/>
      <c r="E13" s="472"/>
      <c r="F13" s="472"/>
      <c r="G13" s="472"/>
      <c r="H13" s="472"/>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256"/>
      <c r="AA14" s="256"/>
      <c r="AB14" s="256"/>
      <c r="AC14" s="256"/>
      <c r="AD14" s="256"/>
      <c r="AE14" s="256"/>
      <c r="AF14" s="256"/>
      <c r="AG14" s="256"/>
      <c r="AH14" s="256"/>
      <c r="AI14" s="256"/>
      <c r="AJ14" s="256"/>
      <c r="AK14" s="256"/>
      <c r="AL14" s="256"/>
      <c r="AM14" s="256"/>
      <c r="AN14" s="256"/>
      <c r="AO14" s="256"/>
      <c r="AP14" s="256"/>
      <c r="AQ14" s="257"/>
      <c r="AR14" s="257"/>
    </row>
    <row r="15" spans="1:44" ht="53.25" customHeight="1" x14ac:dyDescent="0.2">
      <c r="A15" s="473" t="str">
        <f>'1. паспорт местоположение'!A15:C15</f>
        <v>Строительство ТП 10/0,4 кВ, ЛЭП 10 кВ от ВЛ 35-03, ЛЭП 10 кВ от ВЛ 35-17, организация системы учета электроэнергии в п. Котельниково Зеленоградского района</v>
      </c>
      <c r="B15" s="474"/>
      <c r="C15" s="474"/>
      <c r="D15" s="474"/>
      <c r="E15" s="474"/>
      <c r="F15" s="474"/>
      <c r="G15" s="474"/>
      <c r="H15" s="474"/>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72" t="s">
        <v>4</v>
      </c>
      <c r="B16" s="472"/>
      <c r="C16" s="472"/>
      <c r="D16" s="472"/>
      <c r="E16" s="472"/>
      <c r="F16" s="472"/>
      <c r="G16" s="472"/>
      <c r="H16" s="472"/>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ht="18.75" x14ac:dyDescent="0.2">
      <c r="A18" s="471" t="s">
        <v>357</v>
      </c>
      <c r="B18" s="471"/>
      <c r="C18" s="471"/>
      <c r="D18" s="471"/>
      <c r="E18" s="471"/>
      <c r="F18" s="471"/>
      <c r="G18" s="471"/>
      <c r="H18" s="47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255</v>
      </c>
      <c r="B24" s="268" t="s">
        <v>1</v>
      </c>
      <c r="D24" s="269"/>
      <c r="E24" s="270"/>
      <c r="F24" s="270"/>
      <c r="G24" s="270"/>
      <c r="H24" s="270"/>
    </row>
    <row r="25" spans="1:44" x14ac:dyDescent="0.2">
      <c r="A25" s="271" t="s">
        <v>391</v>
      </c>
      <c r="B25" s="272">
        <f>B126/1.2</f>
        <v>8268011.7199999997</v>
      </c>
    </row>
    <row r="26" spans="1:44" x14ac:dyDescent="0.2">
      <c r="A26" s="273" t="s">
        <v>253</v>
      </c>
      <c r="B26" s="274">
        <v>0</v>
      </c>
    </row>
    <row r="27" spans="1:44" x14ac:dyDescent="0.2">
      <c r="A27" s="273" t="s">
        <v>251</v>
      </c>
      <c r="B27" s="274">
        <f>$B$123</f>
        <v>30</v>
      </c>
      <c r="D27" s="266" t="s">
        <v>254</v>
      </c>
    </row>
    <row r="28" spans="1:44" ht="16.149999999999999" customHeight="1" thickBot="1" x14ac:dyDescent="0.25">
      <c r="A28" s="275" t="s">
        <v>249</v>
      </c>
      <c r="B28" s="276">
        <v>1</v>
      </c>
      <c r="D28" s="459" t="s">
        <v>252</v>
      </c>
      <c r="E28" s="460"/>
      <c r="F28" s="461"/>
      <c r="G28" s="462">
        <f>IF(SUM(B89:L89)=0,"не окупается",SUM(B89:L89))</f>
        <v>1.5047721270723746</v>
      </c>
      <c r="H28" s="463"/>
    </row>
    <row r="29" spans="1:44" ht="15.6" customHeight="1" x14ac:dyDescent="0.2">
      <c r="A29" s="271" t="s">
        <v>248</v>
      </c>
      <c r="B29" s="272">
        <f>$B$126*$B$127</f>
        <v>99216.140639999998</v>
      </c>
      <c r="D29" s="459" t="s">
        <v>250</v>
      </c>
      <c r="E29" s="460"/>
      <c r="F29" s="461"/>
      <c r="G29" s="462">
        <f>IF(SUM(B90:L90)=0,"не окупается",SUM(B90:L90))</f>
        <v>1.6082504131222113</v>
      </c>
      <c r="H29" s="463"/>
    </row>
    <row r="30" spans="1:44" ht="27.6" customHeight="1" x14ac:dyDescent="0.2">
      <c r="A30" s="273" t="s">
        <v>392</v>
      </c>
      <c r="B30" s="274">
        <v>1</v>
      </c>
      <c r="D30" s="459" t="s">
        <v>551</v>
      </c>
      <c r="E30" s="460"/>
      <c r="F30" s="461"/>
      <c r="G30" s="464">
        <f>L87</f>
        <v>19318017.290106565</v>
      </c>
      <c r="H30" s="465"/>
    </row>
    <row r="31" spans="1:44" x14ac:dyDescent="0.2">
      <c r="A31" s="273" t="s">
        <v>247</v>
      </c>
      <c r="B31" s="274">
        <v>1</v>
      </c>
      <c r="D31" s="466"/>
      <c r="E31" s="467"/>
      <c r="F31" s="468"/>
      <c r="G31" s="466"/>
      <c r="H31" s="468"/>
    </row>
    <row r="32" spans="1:44" x14ac:dyDescent="0.2">
      <c r="A32" s="273" t="s">
        <v>226</v>
      </c>
      <c r="B32" s="274"/>
    </row>
    <row r="33" spans="1:42" x14ac:dyDescent="0.2">
      <c r="A33" s="273" t="s">
        <v>246</v>
      </c>
      <c r="B33" s="274"/>
    </row>
    <row r="34" spans="1:42" x14ac:dyDescent="0.2">
      <c r="A34" s="273" t="s">
        <v>245</v>
      </c>
      <c r="B34" s="274"/>
    </row>
    <row r="35" spans="1:42" x14ac:dyDescent="0.2">
      <c r="A35" s="277"/>
      <c r="B35" s="274"/>
    </row>
    <row r="36" spans="1:42" ht="16.5" thickBot="1" x14ac:dyDescent="0.25">
      <c r="A36" s="275" t="s">
        <v>220</v>
      </c>
      <c r="B36" s="278">
        <v>0.2</v>
      </c>
    </row>
    <row r="37" spans="1:42" x14ac:dyDescent="0.2">
      <c r="A37" s="271" t="s">
        <v>390</v>
      </c>
      <c r="B37" s="272">
        <v>0</v>
      </c>
    </row>
    <row r="38" spans="1:42" x14ac:dyDescent="0.2">
      <c r="A38" s="273" t="s">
        <v>244</v>
      </c>
      <c r="B38" s="274"/>
    </row>
    <row r="39" spans="1:42" ht="16.5" thickBot="1" x14ac:dyDescent="0.25">
      <c r="A39" s="279" t="s">
        <v>243</v>
      </c>
      <c r="B39" s="280"/>
    </row>
    <row r="40" spans="1:42" x14ac:dyDescent="0.2">
      <c r="A40" s="281" t="s">
        <v>393</v>
      </c>
      <c r="B40" s="282">
        <v>1</v>
      </c>
    </row>
    <row r="41" spans="1:42" x14ac:dyDescent="0.2">
      <c r="A41" s="283" t="s">
        <v>242</v>
      </c>
      <c r="B41" s="284"/>
    </row>
    <row r="42" spans="1:42" x14ac:dyDescent="0.2">
      <c r="A42" s="283" t="s">
        <v>241</v>
      </c>
      <c r="B42" s="285"/>
    </row>
    <row r="43" spans="1:42" x14ac:dyDescent="0.2">
      <c r="A43" s="283" t="s">
        <v>240</v>
      </c>
      <c r="B43" s="285">
        <v>0</v>
      </c>
    </row>
    <row r="44" spans="1:42" x14ac:dyDescent="0.2">
      <c r="A44" s="283" t="s">
        <v>239</v>
      </c>
      <c r="B44" s="285">
        <f>B129</f>
        <v>0.20499999999999999</v>
      </c>
    </row>
    <row r="45" spans="1:42" x14ac:dyDescent="0.2">
      <c r="A45" s="283" t="s">
        <v>238</v>
      </c>
      <c r="B45" s="285">
        <f>1-B43</f>
        <v>1</v>
      </c>
    </row>
    <row r="46" spans="1:42" ht="16.5" thickBot="1" x14ac:dyDescent="0.25">
      <c r="A46" s="286" t="s">
        <v>552</v>
      </c>
      <c r="B46" s="287">
        <f>B45*B44+B43*B42*(1-B36)</f>
        <v>0.20499999999999999</v>
      </c>
      <c r="C46" s="288"/>
    </row>
    <row r="47" spans="1:42" s="291" customFormat="1" x14ac:dyDescent="0.2">
      <c r="A47" s="289" t="s">
        <v>237</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91" customFormat="1" x14ac:dyDescent="0.2">
      <c r="A48" s="292" t="s">
        <v>236</v>
      </c>
      <c r="B48" s="364">
        <f>H136</f>
        <v>4.2000000000000003E-2</v>
      </c>
      <c r="C48" s="364">
        <f t="shared" ref="C48:R49" si="1">I136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Y136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AO136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91" customFormat="1" x14ac:dyDescent="0.2">
      <c r="A49" s="292" t="s">
        <v>235</v>
      </c>
      <c r="B49" s="364">
        <f>H137</f>
        <v>0.2354789208821122</v>
      </c>
      <c r="C49" s="364">
        <f t="shared" si="1"/>
        <v>0.28736903555916093</v>
      </c>
      <c r="D49" s="364">
        <f t="shared" si="1"/>
        <v>0.34143853505264565</v>
      </c>
      <c r="E49" s="364">
        <f t="shared" si="1"/>
        <v>0.39777895352485682</v>
      </c>
      <c r="F49" s="364">
        <f t="shared" si="1"/>
        <v>0.45648566957290093</v>
      </c>
      <c r="G49" s="364">
        <f t="shared" si="1"/>
        <v>0.51765806769496292</v>
      </c>
      <c r="H49" s="364">
        <f t="shared" si="1"/>
        <v>0.58139970653815132</v>
      </c>
      <c r="I49" s="364">
        <f t="shared" si="1"/>
        <v>0.64781849421275384</v>
      </c>
      <c r="J49" s="364">
        <f t="shared" si="1"/>
        <v>0.71702687096968964</v>
      </c>
      <c r="K49" s="364">
        <f t="shared" si="1"/>
        <v>0.78914199955041675</v>
      </c>
      <c r="L49" s="364">
        <f t="shared" si="1"/>
        <v>0.86428596353153431</v>
      </c>
      <c r="M49" s="364">
        <f t="shared" si="1"/>
        <v>0.94258597399985877</v>
      </c>
      <c r="N49" s="364">
        <f t="shared" si="1"/>
        <v>1.0241745849078527</v>
      </c>
      <c r="O49" s="364">
        <f t="shared" si="1"/>
        <v>1.1091899174739828</v>
      </c>
      <c r="P49" s="364">
        <f t="shared" si="1"/>
        <v>1.19777589400789</v>
      </c>
      <c r="Q49" s="364">
        <f t="shared" si="1"/>
        <v>1.2900824815562215</v>
      </c>
      <c r="R49" s="364">
        <f t="shared" si="1"/>
        <v>1.3862659457815827</v>
      </c>
      <c r="S49" s="364">
        <f t="shared" si="2"/>
        <v>1.4864891155044093</v>
      </c>
      <c r="T49" s="364">
        <f t="shared" si="2"/>
        <v>1.5909216583555947</v>
      </c>
      <c r="U49" s="364">
        <f t="shared" si="2"/>
        <v>1.6997403680065299</v>
      </c>
      <c r="V49" s="364">
        <f t="shared" si="2"/>
        <v>1.8131294634628041</v>
      </c>
      <c r="W49" s="364">
        <f t="shared" si="2"/>
        <v>1.9312809009282419</v>
      </c>
      <c r="X49" s="364">
        <f t="shared" si="2"/>
        <v>2.0543946987672284</v>
      </c>
      <c r="Y49" s="364">
        <f t="shared" si="2"/>
        <v>2.1826792761154521</v>
      </c>
      <c r="Z49" s="364">
        <f t="shared" si="2"/>
        <v>2.3163518057123014</v>
      </c>
      <c r="AA49" s="364">
        <f t="shared" si="2"/>
        <v>2.4556385815522184</v>
      </c>
      <c r="AB49" s="364">
        <f t="shared" si="2"/>
        <v>2.6007754019774119</v>
      </c>
      <c r="AC49" s="364">
        <f t="shared" si="2"/>
        <v>2.7520079688604633</v>
      </c>
      <c r="AD49" s="364">
        <f t="shared" si="2"/>
        <v>2.909592303552603</v>
      </c>
      <c r="AE49" s="364">
        <f t="shared" si="2"/>
        <v>3.0737951803018122</v>
      </c>
      <c r="AF49" s="364">
        <f t="shared" si="2"/>
        <v>3.2448945778744882</v>
      </c>
      <c r="AG49" s="364">
        <f t="shared" si="2"/>
        <v>3.4231801501452166</v>
      </c>
      <c r="AH49" s="364">
        <f t="shared" si="2"/>
        <v>3.6089537164513157</v>
      </c>
      <c r="AI49" s="364">
        <f t="shared" si="3"/>
        <v>3.8025297725422709</v>
      </c>
      <c r="AJ49" s="364">
        <f t="shared" si="3"/>
        <v>4.0042360229890468</v>
      </c>
      <c r="AK49" s="364">
        <f t="shared" si="3"/>
        <v>4.2144139359545871</v>
      </c>
      <c r="AL49" s="364">
        <f t="shared" si="3"/>
        <v>4.4334193212646804</v>
      </c>
      <c r="AM49" s="364">
        <f t="shared" si="3"/>
        <v>4.6616229327577976</v>
      </c>
      <c r="AN49" s="364">
        <f t="shared" si="3"/>
        <v>4.8994110959336252</v>
      </c>
      <c r="AO49" s="364">
        <f t="shared" si="3"/>
        <v>5.147186361962838</v>
      </c>
      <c r="AP49" s="364">
        <f t="shared" si="3"/>
        <v>5.4053681891652774</v>
      </c>
    </row>
    <row r="50" spans="1:45" s="291" customFormat="1" ht="16.5" thickBot="1" x14ac:dyDescent="0.25">
      <c r="A50" s="293" t="s">
        <v>394</v>
      </c>
      <c r="B50" s="294">
        <f>IF($B$124="да",($B$126-0.05),0)</f>
        <v>9921614.0139999986</v>
      </c>
      <c r="C50" s="294">
        <f>C108*(1+C49)</f>
        <v>4960333.232581974</v>
      </c>
      <c r="D50" s="294">
        <f t="shared" ref="D50:AP50" si="4">D108*(1+D49)</f>
        <v>10337334.456700834</v>
      </c>
      <c r="E50" s="294">
        <f t="shared" si="4"/>
        <v>16320458.33921556</v>
      </c>
      <c r="F50" s="294">
        <f t="shared" si="4"/>
        <v>17005917.589462616</v>
      </c>
      <c r="G50" s="294">
        <f t="shared" si="4"/>
        <v>17720166.128220048</v>
      </c>
      <c r="H50" s="294">
        <f t="shared" si="4"/>
        <v>18464413.105605289</v>
      </c>
      <c r="I50" s="294">
        <f t="shared" si="4"/>
        <v>19239918.456040714</v>
      </c>
      <c r="J50" s="294">
        <f t="shared" si="4"/>
        <v>20047995.031194422</v>
      </c>
      <c r="K50" s="294">
        <f t="shared" si="4"/>
        <v>20890010.822504591</v>
      </c>
      <c r="L50" s="294">
        <f t="shared" si="4"/>
        <v>21767391.277049784</v>
      </c>
      <c r="M50" s="294">
        <f t="shared" si="4"/>
        <v>22681621.710685875</v>
      </c>
      <c r="N50" s="294">
        <f t="shared" si="4"/>
        <v>23634249.82253468</v>
      </c>
      <c r="O50" s="294">
        <f t="shared" si="4"/>
        <v>24626888.315081142</v>
      </c>
      <c r="P50" s="294">
        <f t="shared" si="4"/>
        <v>25661217.624314547</v>
      </c>
      <c r="Q50" s="294">
        <f t="shared" si="4"/>
        <v>26738988.764535762</v>
      </c>
      <c r="R50" s="294">
        <f t="shared" si="4"/>
        <v>27862026.292646263</v>
      </c>
      <c r="S50" s="294">
        <f t="shared" si="4"/>
        <v>29032231.396937408</v>
      </c>
      <c r="T50" s="294">
        <f t="shared" si="4"/>
        <v>30251585.115608782</v>
      </c>
      <c r="U50" s="294">
        <f t="shared" si="4"/>
        <v>31522151.690464351</v>
      </c>
      <c r="V50" s="294">
        <f t="shared" si="4"/>
        <v>32846082.061463855</v>
      </c>
      <c r="W50" s="294">
        <f t="shared" si="4"/>
        <v>34225617.508045338</v>
      </c>
      <c r="X50" s="294">
        <f t="shared" si="4"/>
        <v>35663093.443383247</v>
      </c>
      <c r="Y50" s="294">
        <f t="shared" si="4"/>
        <v>37160943.368005343</v>
      </c>
      <c r="Z50" s="294">
        <f t="shared" si="4"/>
        <v>38721702.989461571</v>
      </c>
      <c r="AA50" s="294">
        <f t="shared" si="4"/>
        <v>40348014.515018955</v>
      </c>
      <c r="AB50" s="294">
        <f t="shared" si="4"/>
        <v>42042631.124649756</v>
      </c>
      <c r="AC50" s="294">
        <f t="shared" si="4"/>
        <v>43808421.631885052</v>
      </c>
      <c r="AD50" s="294">
        <f t="shared" si="4"/>
        <v>45648375.340424225</v>
      </c>
      <c r="AE50" s="294">
        <f t="shared" si="4"/>
        <v>47565607.104722038</v>
      </c>
      <c r="AF50" s="294">
        <f t="shared" si="4"/>
        <v>49563362.603120364</v>
      </c>
      <c r="AG50" s="294">
        <f t="shared" si="4"/>
        <v>51645023.832451418</v>
      </c>
      <c r="AH50" s="294">
        <f t="shared" si="4"/>
        <v>53814114.833414376</v>
      </c>
      <c r="AI50" s="294">
        <f t="shared" si="4"/>
        <v>56074307.65641778</v>
      </c>
      <c r="AJ50" s="294">
        <f t="shared" si="4"/>
        <v>58429428.577987336</v>
      </c>
      <c r="AK50" s="294">
        <f t="shared" si="4"/>
        <v>60883464.578262806</v>
      </c>
      <c r="AL50" s="294">
        <f t="shared" si="4"/>
        <v>63440570.090549856</v>
      </c>
      <c r="AM50" s="294">
        <f t="shared" si="4"/>
        <v>66105074.034352951</v>
      </c>
      <c r="AN50" s="294">
        <f t="shared" si="4"/>
        <v>68881487.143795773</v>
      </c>
      <c r="AO50" s="294">
        <f t="shared" si="4"/>
        <v>71774509.60383521</v>
      </c>
      <c r="AP50" s="294">
        <f t="shared" si="4"/>
        <v>74789039.007196292</v>
      </c>
    </row>
    <row r="51" spans="1:45" ht="16.5" thickBot="1" x14ac:dyDescent="0.25"/>
    <row r="52" spans="1:45" x14ac:dyDescent="0.2">
      <c r="A52" s="295"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6" t="s">
        <v>233</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96" t="s">
        <v>232</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96" t="s">
        <v>231</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97"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3"/>
      <c r="AR57" s="243"/>
      <c r="AS57" s="243"/>
    </row>
    <row r="58" spans="1:45" x14ac:dyDescent="0.2">
      <c r="A58" s="295"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1" t="s">
        <v>229</v>
      </c>
      <c r="B59" s="366">
        <f t="shared" ref="B59:AP59" si="10">B50*$B$28</f>
        <v>9921614.0139999986</v>
      </c>
      <c r="C59" s="366">
        <f t="shared" si="10"/>
        <v>4960333.232581974</v>
      </c>
      <c r="D59" s="366">
        <f t="shared" si="10"/>
        <v>10337334.456700834</v>
      </c>
      <c r="E59" s="366">
        <f t="shared" si="10"/>
        <v>16320458.33921556</v>
      </c>
      <c r="F59" s="366">
        <f t="shared" si="10"/>
        <v>17005917.589462616</v>
      </c>
      <c r="G59" s="366">
        <f t="shared" si="10"/>
        <v>17720166.128220048</v>
      </c>
      <c r="H59" s="366">
        <f t="shared" si="10"/>
        <v>18464413.105605289</v>
      </c>
      <c r="I59" s="366">
        <f t="shared" si="10"/>
        <v>19239918.456040714</v>
      </c>
      <c r="J59" s="366">
        <f t="shared" si="10"/>
        <v>20047995.031194422</v>
      </c>
      <c r="K59" s="366">
        <f t="shared" si="10"/>
        <v>20890010.822504591</v>
      </c>
      <c r="L59" s="366">
        <f t="shared" si="10"/>
        <v>21767391.277049784</v>
      </c>
      <c r="M59" s="366">
        <f t="shared" si="10"/>
        <v>22681621.710685875</v>
      </c>
      <c r="N59" s="366">
        <f t="shared" si="10"/>
        <v>23634249.82253468</v>
      </c>
      <c r="O59" s="366">
        <f t="shared" si="10"/>
        <v>24626888.315081142</v>
      </c>
      <c r="P59" s="366">
        <f t="shared" si="10"/>
        <v>25661217.624314547</v>
      </c>
      <c r="Q59" s="366">
        <f t="shared" si="10"/>
        <v>26738988.764535762</v>
      </c>
      <c r="R59" s="366">
        <f t="shared" si="10"/>
        <v>27862026.292646263</v>
      </c>
      <c r="S59" s="366">
        <f t="shared" si="10"/>
        <v>29032231.396937408</v>
      </c>
      <c r="T59" s="366">
        <f t="shared" si="10"/>
        <v>30251585.115608782</v>
      </c>
      <c r="U59" s="366">
        <f t="shared" si="10"/>
        <v>31522151.690464351</v>
      </c>
      <c r="V59" s="366">
        <f t="shared" si="10"/>
        <v>32846082.061463855</v>
      </c>
      <c r="W59" s="366">
        <f t="shared" si="10"/>
        <v>34225617.508045338</v>
      </c>
      <c r="X59" s="366">
        <f t="shared" si="10"/>
        <v>35663093.443383247</v>
      </c>
      <c r="Y59" s="366">
        <f t="shared" si="10"/>
        <v>37160943.368005343</v>
      </c>
      <c r="Z59" s="366">
        <f t="shared" si="10"/>
        <v>38721702.989461571</v>
      </c>
      <c r="AA59" s="366">
        <f t="shared" si="10"/>
        <v>40348014.515018955</v>
      </c>
      <c r="AB59" s="366">
        <f t="shared" si="10"/>
        <v>42042631.124649756</v>
      </c>
      <c r="AC59" s="366">
        <f t="shared" si="10"/>
        <v>43808421.631885052</v>
      </c>
      <c r="AD59" s="366">
        <f t="shared" si="10"/>
        <v>45648375.340424225</v>
      </c>
      <c r="AE59" s="366">
        <f t="shared" si="10"/>
        <v>47565607.104722038</v>
      </c>
      <c r="AF59" s="366">
        <f t="shared" si="10"/>
        <v>49563362.603120364</v>
      </c>
      <c r="AG59" s="366">
        <f t="shared" si="10"/>
        <v>51645023.832451418</v>
      </c>
      <c r="AH59" s="366">
        <f t="shared" si="10"/>
        <v>53814114.833414376</v>
      </c>
      <c r="AI59" s="366">
        <f t="shared" si="10"/>
        <v>56074307.65641778</v>
      </c>
      <c r="AJ59" s="366">
        <f t="shared" si="10"/>
        <v>58429428.577987336</v>
      </c>
      <c r="AK59" s="366">
        <f t="shared" si="10"/>
        <v>60883464.578262806</v>
      </c>
      <c r="AL59" s="366">
        <f t="shared" si="10"/>
        <v>63440570.090549856</v>
      </c>
      <c r="AM59" s="366">
        <f t="shared" si="10"/>
        <v>66105074.034352951</v>
      </c>
      <c r="AN59" s="366">
        <f t="shared" si="10"/>
        <v>68881487.143795773</v>
      </c>
      <c r="AO59" s="366">
        <f t="shared" si="10"/>
        <v>71774509.60383521</v>
      </c>
      <c r="AP59" s="366">
        <f t="shared" si="10"/>
        <v>74789039.007196292</v>
      </c>
    </row>
    <row r="60" spans="1:45" x14ac:dyDescent="0.2">
      <c r="A60" s="296" t="s">
        <v>228</v>
      </c>
      <c r="B60" s="365">
        <f t="shared" ref="B60:Z60" si="11">SUM(B61:B65)</f>
        <v>0</v>
      </c>
      <c r="C60" s="365">
        <f t="shared" si="11"/>
        <v>-127727.78728761886</v>
      </c>
      <c r="D60" s="365">
        <f>SUM(D61:D65)</f>
        <v>-133092.35435369884</v>
      </c>
      <c r="E60" s="365">
        <f t="shared" si="11"/>
        <v>-138682.23323655422</v>
      </c>
      <c r="F60" s="365">
        <f t="shared" si="11"/>
        <v>-144506.8870324895</v>
      </c>
      <c r="G60" s="365">
        <f t="shared" si="11"/>
        <v>-150576.17628785409</v>
      </c>
      <c r="H60" s="365">
        <f t="shared" si="11"/>
        <v>-156900.37569194395</v>
      </c>
      <c r="I60" s="365">
        <f t="shared" si="11"/>
        <v>-163490.19147100562</v>
      </c>
      <c r="J60" s="365">
        <f t="shared" si="11"/>
        <v>-170356.77951278785</v>
      </c>
      <c r="K60" s="365">
        <f t="shared" si="11"/>
        <v>-177511.76425232497</v>
      </c>
      <c r="L60" s="365">
        <f t="shared" si="11"/>
        <v>-184967.25835092261</v>
      </c>
      <c r="M60" s="365">
        <f t="shared" si="11"/>
        <v>-192735.88320166137</v>
      </c>
      <c r="N60" s="365">
        <f t="shared" si="11"/>
        <v>-200830.79029613113</v>
      </c>
      <c r="O60" s="365">
        <f t="shared" si="11"/>
        <v>-209265.68348856867</v>
      </c>
      <c r="P60" s="365">
        <f t="shared" si="11"/>
        <v>-218054.84219508854</v>
      </c>
      <c r="Q60" s="365">
        <f t="shared" si="11"/>
        <v>-227213.14556728228</v>
      </c>
      <c r="R60" s="365">
        <f t="shared" si="11"/>
        <v>-236756.09768110811</v>
      </c>
      <c r="S60" s="365">
        <f t="shared" si="11"/>
        <v>-246699.85378371467</v>
      </c>
      <c r="T60" s="365">
        <f t="shared" si="11"/>
        <v>-257061.24764263071</v>
      </c>
      <c r="U60" s="365">
        <f t="shared" si="11"/>
        <v>-267857.82004362124</v>
      </c>
      <c r="V60" s="365">
        <f t="shared" si="11"/>
        <v>-279107.84848545329</v>
      </c>
      <c r="W60" s="365">
        <f t="shared" si="11"/>
        <v>-290830.37812184234</v>
      </c>
      <c r="X60" s="365">
        <f t="shared" si="11"/>
        <v>-303045.25400295976</v>
      </c>
      <c r="Y60" s="365">
        <f t="shared" si="11"/>
        <v>-315773.15467108408</v>
      </c>
      <c r="Z60" s="365">
        <f t="shared" si="11"/>
        <v>-329035.62716726965</v>
      </c>
      <c r="AA60" s="365">
        <f t="shared" ref="AA60:AP60" si="12">SUM(AA61:AA65)</f>
        <v>-342855.12350829499</v>
      </c>
      <c r="AB60" s="365">
        <f t="shared" si="12"/>
        <v>-357255.03869564342</v>
      </c>
      <c r="AC60" s="365">
        <f t="shared" si="12"/>
        <v>-372259.75032086048</v>
      </c>
      <c r="AD60" s="365">
        <f t="shared" si="12"/>
        <v>-387894.65983433661</v>
      </c>
      <c r="AE60" s="365">
        <f t="shared" si="12"/>
        <v>-404186.23554737878</v>
      </c>
      <c r="AF60" s="365">
        <f t="shared" si="12"/>
        <v>-421162.05744036863</v>
      </c>
      <c r="AG60" s="365">
        <f t="shared" si="12"/>
        <v>-438850.86385286413</v>
      </c>
      <c r="AH60" s="365">
        <f t="shared" si="12"/>
        <v>-457282.60013468441</v>
      </c>
      <c r="AI60" s="365">
        <f t="shared" si="12"/>
        <v>-476488.46934034117</v>
      </c>
      <c r="AJ60" s="365">
        <f t="shared" si="12"/>
        <v>-496500.98505263554</v>
      </c>
      <c r="AK60" s="365">
        <f t="shared" si="12"/>
        <v>-517354.02642484626</v>
      </c>
      <c r="AL60" s="365">
        <f t="shared" si="12"/>
        <v>-539082.89553468989</v>
      </c>
      <c r="AM60" s="365">
        <f t="shared" si="12"/>
        <v>-561724.37714714685</v>
      </c>
      <c r="AN60" s="365">
        <f t="shared" si="12"/>
        <v>-585316.80098732712</v>
      </c>
      <c r="AO60" s="365">
        <f t="shared" si="12"/>
        <v>-609900.10662879492</v>
      </c>
      <c r="AP60" s="365">
        <f t="shared" si="12"/>
        <v>-635515.91110720427</v>
      </c>
    </row>
    <row r="61" spans="1:45" x14ac:dyDescent="0.2">
      <c r="A61" s="123" t="s">
        <v>227</v>
      </c>
      <c r="B61" s="365"/>
      <c r="C61" s="365">
        <f>-IF(C$47&lt;=$B$30,0,$B$29*(1+C$49)*$B$28)</f>
        <v>-127727.78728761886</v>
      </c>
      <c r="D61" s="365">
        <f>-IF(D$47&lt;=$B$30,0,$B$29*(1+D$49)*$B$28)</f>
        <v>-133092.35435369884</v>
      </c>
      <c r="E61" s="365">
        <f t="shared" ref="E61:AP61" si="13">-IF(E$47&lt;=$B$30,0,$B$29*(1+E$49)*$B$28)</f>
        <v>-138682.23323655422</v>
      </c>
      <c r="F61" s="365">
        <f t="shared" si="13"/>
        <v>-144506.8870324895</v>
      </c>
      <c r="G61" s="365">
        <f t="shared" si="13"/>
        <v>-150576.17628785409</v>
      </c>
      <c r="H61" s="365">
        <f t="shared" si="13"/>
        <v>-156900.37569194395</v>
      </c>
      <c r="I61" s="365">
        <f t="shared" si="13"/>
        <v>-163490.19147100562</v>
      </c>
      <c r="J61" s="365">
        <f t="shared" si="13"/>
        <v>-170356.77951278785</v>
      </c>
      <c r="K61" s="365">
        <f t="shared" si="13"/>
        <v>-177511.76425232497</v>
      </c>
      <c r="L61" s="365">
        <f t="shared" si="13"/>
        <v>-184967.25835092261</v>
      </c>
      <c r="M61" s="365">
        <f t="shared" si="13"/>
        <v>-192735.88320166137</v>
      </c>
      <c r="N61" s="365">
        <f t="shared" si="13"/>
        <v>-200830.79029613113</v>
      </c>
      <c r="O61" s="365">
        <f t="shared" si="13"/>
        <v>-209265.68348856867</v>
      </c>
      <c r="P61" s="365">
        <f t="shared" si="13"/>
        <v>-218054.84219508854</v>
      </c>
      <c r="Q61" s="365">
        <f t="shared" si="13"/>
        <v>-227213.14556728228</v>
      </c>
      <c r="R61" s="365">
        <f t="shared" si="13"/>
        <v>-236756.09768110811</v>
      </c>
      <c r="S61" s="365">
        <f t="shared" si="13"/>
        <v>-246699.85378371467</v>
      </c>
      <c r="T61" s="365">
        <f t="shared" si="13"/>
        <v>-257061.24764263071</v>
      </c>
      <c r="U61" s="365">
        <f t="shared" si="13"/>
        <v>-267857.82004362124</v>
      </c>
      <c r="V61" s="365">
        <f t="shared" si="13"/>
        <v>-279107.84848545329</v>
      </c>
      <c r="W61" s="365">
        <f t="shared" si="13"/>
        <v>-290830.37812184234</v>
      </c>
      <c r="X61" s="365">
        <f t="shared" si="13"/>
        <v>-303045.25400295976</v>
      </c>
      <c r="Y61" s="365">
        <f t="shared" si="13"/>
        <v>-315773.15467108408</v>
      </c>
      <c r="Z61" s="365">
        <f t="shared" si="13"/>
        <v>-329035.62716726965</v>
      </c>
      <c r="AA61" s="365">
        <f t="shared" si="13"/>
        <v>-342855.12350829499</v>
      </c>
      <c r="AB61" s="365">
        <f t="shared" si="13"/>
        <v>-357255.03869564342</v>
      </c>
      <c r="AC61" s="365">
        <f t="shared" si="13"/>
        <v>-372259.75032086048</v>
      </c>
      <c r="AD61" s="365">
        <f t="shared" si="13"/>
        <v>-387894.65983433661</v>
      </c>
      <c r="AE61" s="365">
        <f t="shared" si="13"/>
        <v>-404186.23554737878</v>
      </c>
      <c r="AF61" s="365">
        <f t="shared" si="13"/>
        <v>-421162.05744036863</v>
      </c>
      <c r="AG61" s="365">
        <f t="shared" si="13"/>
        <v>-438850.86385286413</v>
      </c>
      <c r="AH61" s="365">
        <f t="shared" si="13"/>
        <v>-457282.60013468441</v>
      </c>
      <c r="AI61" s="365">
        <f t="shared" si="13"/>
        <v>-476488.46934034117</v>
      </c>
      <c r="AJ61" s="365">
        <f t="shared" si="13"/>
        <v>-496500.98505263554</v>
      </c>
      <c r="AK61" s="365">
        <f t="shared" si="13"/>
        <v>-517354.02642484626</v>
      </c>
      <c r="AL61" s="365">
        <f t="shared" si="13"/>
        <v>-539082.89553468989</v>
      </c>
      <c r="AM61" s="365">
        <f t="shared" si="13"/>
        <v>-561724.37714714685</v>
      </c>
      <c r="AN61" s="365">
        <f t="shared" si="13"/>
        <v>-585316.80098732712</v>
      </c>
      <c r="AO61" s="365">
        <f t="shared" si="13"/>
        <v>-609900.10662879492</v>
      </c>
      <c r="AP61" s="365">
        <f t="shared" si="13"/>
        <v>-635515.91110720427</v>
      </c>
    </row>
    <row r="62" spans="1:45" x14ac:dyDescent="0.2">
      <c r="A62" s="123"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3" t="s">
        <v>390</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3" t="s">
        <v>390</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3" t="s">
        <v>553</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302" t="s">
        <v>554</v>
      </c>
      <c r="B66" s="366">
        <f t="shared" ref="B66:AO66" si="14">B59+B60</f>
        <v>9921614.0139999986</v>
      </c>
      <c r="C66" s="366">
        <f t="shared" si="14"/>
        <v>4832605.445294355</v>
      </c>
      <c r="D66" s="366">
        <f t="shared" si="14"/>
        <v>10204242.102347136</v>
      </c>
      <c r="E66" s="366">
        <f t="shared" si="14"/>
        <v>16181776.105979005</v>
      </c>
      <c r="F66" s="366">
        <f t="shared" si="14"/>
        <v>16861410.702430125</v>
      </c>
      <c r="G66" s="366">
        <f t="shared" si="14"/>
        <v>17569589.951932192</v>
      </c>
      <c r="H66" s="366">
        <f t="shared" si="14"/>
        <v>18307512.729913346</v>
      </c>
      <c r="I66" s="366">
        <f t="shared" si="14"/>
        <v>19076428.264569707</v>
      </c>
      <c r="J66" s="366">
        <f t="shared" si="14"/>
        <v>19877638.251681633</v>
      </c>
      <c r="K66" s="366">
        <f t="shared" si="14"/>
        <v>20712499.058252268</v>
      </c>
      <c r="L66" s="366">
        <f t="shared" si="14"/>
        <v>21582424.01869886</v>
      </c>
      <c r="M66" s="366">
        <f t="shared" si="14"/>
        <v>22488885.827484213</v>
      </c>
      <c r="N66" s="366">
        <f t="shared" si="14"/>
        <v>23433419.03223855</v>
      </c>
      <c r="O66" s="366">
        <f t="shared" si="14"/>
        <v>24417622.631592572</v>
      </c>
      <c r="P66" s="366">
        <f t="shared" si="14"/>
        <v>25443162.782119457</v>
      </c>
      <c r="Q66" s="366">
        <f t="shared" si="14"/>
        <v>26511775.618968479</v>
      </c>
      <c r="R66" s="366">
        <f t="shared" si="14"/>
        <v>27625270.194965154</v>
      </c>
      <c r="S66" s="366">
        <f t="shared" si="14"/>
        <v>28785531.543153692</v>
      </c>
      <c r="T66" s="366">
        <f t="shared" si="14"/>
        <v>29994523.867966153</v>
      </c>
      <c r="U66" s="366">
        <f t="shared" si="14"/>
        <v>31254293.870420732</v>
      </c>
      <c r="V66" s="366">
        <f t="shared" si="14"/>
        <v>32566974.2129784</v>
      </c>
      <c r="W66" s="366">
        <f t="shared" si="14"/>
        <v>33934787.129923493</v>
      </c>
      <c r="X66" s="366">
        <f t="shared" si="14"/>
        <v>35360048.189380288</v>
      </c>
      <c r="Y66" s="366">
        <f t="shared" si="14"/>
        <v>36845170.213334262</v>
      </c>
      <c r="Z66" s="366">
        <f t="shared" si="14"/>
        <v>38392667.362294301</v>
      </c>
      <c r="AA66" s="366">
        <f t="shared" si="14"/>
        <v>40005159.391510658</v>
      </c>
      <c r="AB66" s="366">
        <f t="shared" si="14"/>
        <v>41685376.085954115</v>
      </c>
      <c r="AC66" s="366">
        <f t="shared" si="14"/>
        <v>43436161.881564192</v>
      </c>
      <c r="AD66" s="366">
        <f t="shared" si="14"/>
        <v>45260480.680589885</v>
      </c>
      <c r="AE66" s="366">
        <f t="shared" si="14"/>
        <v>47161420.869174659</v>
      </c>
      <c r="AF66" s="366">
        <f t="shared" si="14"/>
        <v>49142200.545679994</v>
      </c>
      <c r="AG66" s="366">
        <f t="shared" si="14"/>
        <v>51206172.968598552</v>
      </c>
      <c r="AH66" s="366">
        <f t="shared" si="14"/>
        <v>53356832.23327969</v>
      </c>
      <c r="AI66" s="366">
        <f t="shared" si="14"/>
        <v>55597819.18707744</v>
      </c>
      <c r="AJ66" s="366">
        <f t="shared" si="14"/>
        <v>57932927.592934698</v>
      </c>
      <c r="AK66" s="366">
        <f t="shared" si="14"/>
        <v>60366110.551837958</v>
      </c>
      <c r="AL66" s="366">
        <f t="shared" si="14"/>
        <v>62901487.19501517</v>
      </c>
      <c r="AM66" s="366">
        <f t="shared" si="14"/>
        <v>65543349.657205805</v>
      </c>
      <c r="AN66" s="366">
        <f t="shared" si="14"/>
        <v>68296170.34280844</v>
      </c>
      <c r="AO66" s="366">
        <f t="shared" si="14"/>
        <v>71164609.49720642</v>
      </c>
      <c r="AP66" s="366">
        <f>AP59+AP60</f>
        <v>74153523.096089095</v>
      </c>
    </row>
    <row r="67" spans="1:45" x14ac:dyDescent="0.2">
      <c r="A67" s="123" t="s">
        <v>222</v>
      </c>
      <c r="B67" s="119"/>
      <c r="C67" s="365">
        <f>-($B$25)*1.18*$B$28/$B$27</f>
        <v>-325208.46098666661</v>
      </c>
      <c r="D67" s="365">
        <f>C67</f>
        <v>-325208.46098666661</v>
      </c>
      <c r="E67" s="365">
        <f t="shared" ref="E67:AP67" si="15">D67</f>
        <v>-325208.46098666661</v>
      </c>
      <c r="F67" s="365">
        <f t="shared" si="15"/>
        <v>-325208.46098666661</v>
      </c>
      <c r="G67" s="365">
        <f t="shared" si="15"/>
        <v>-325208.46098666661</v>
      </c>
      <c r="H67" s="365">
        <f t="shared" si="15"/>
        <v>-325208.46098666661</v>
      </c>
      <c r="I67" s="365">
        <f t="shared" si="15"/>
        <v>-325208.46098666661</v>
      </c>
      <c r="J67" s="365">
        <f t="shared" si="15"/>
        <v>-325208.46098666661</v>
      </c>
      <c r="K67" s="365">
        <f t="shared" si="15"/>
        <v>-325208.46098666661</v>
      </c>
      <c r="L67" s="365">
        <f t="shared" si="15"/>
        <v>-325208.46098666661</v>
      </c>
      <c r="M67" s="365">
        <f t="shared" si="15"/>
        <v>-325208.46098666661</v>
      </c>
      <c r="N67" s="365">
        <f t="shared" si="15"/>
        <v>-325208.46098666661</v>
      </c>
      <c r="O67" s="365">
        <f t="shared" si="15"/>
        <v>-325208.46098666661</v>
      </c>
      <c r="P67" s="365">
        <f t="shared" si="15"/>
        <v>-325208.46098666661</v>
      </c>
      <c r="Q67" s="365">
        <f t="shared" si="15"/>
        <v>-325208.46098666661</v>
      </c>
      <c r="R67" s="365">
        <f t="shared" si="15"/>
        <v>-325208.46098666661</v>
      </c>
      <c r="S67" s="365">
        <f t="shared" si="15"/>
        <v>-325208.46098666661</v>
      </c>
      <c r="T67" s="365">
        <f t="shared" si="15"/>
        <v>-325208.46098666661</v>
      </c>
      <c r="U67" s="365">
        <f t="shared" si="15"/>
        <v>-325208.46098666661</v>
      </c>
      <c r="V67" s="365">
        <f t="shared" si="15"/>
        <v>-325208.46098666661</v>
      </c>
      <c r="W67" s="365">
        <f t="shared" si="15"/>
        <v>-325208.46098666661</v>
      </c>
      <c r="X67" s="365">
        <f t="shared" si="15"/>
        <v>-325208.46098666661</v>
      </c>
      <c r="Y67" s="365">
        <f t="shared" si="15"/>
        <v>-325208.46098666661</v>
      </c>
      <c r="Z67" s="365">
        <f t="shared" si="15"/>
        <v>-325208.46098666661</v>
      </c>
      <c r="AA67" s="365">
        <f t="shared" si="15"/>
        <v>-325208.46098666661</v>
      </c>
      <c r="AB67" s="365">
        <f t="shared" si="15"/>
        <v>-325208.46098666661</v>
      </c>
      <c r="AC67" s="365">
        <f t="shared" si="15"/>
        <v>-325208.46098666661</v>
      </c>
      <c r="AD67" s="365">
        <f t="shared" si="15"/>
        <v>-325208.46098666661</v>
      </c>
      <c r="AE67" s="365">
        <f t="shared" si="15"/>
        <v>-325208.46098666661</v>
      </c>
      <c r="AF67" s="365">
        <f t="shared" si="15"/>
        <v>-325208.46098666661</v>
      </c>
      <c r="AG67" s="365">
        <f t="shared" si="15"/>
        <v>-325208.46098666661</v>
      </c>
      <c r="AH67" s="365">
        <f t="shared" si="15"/>
        <v>-325208.46098666661</v>
      </c>
      <c r="AI67" s="365">
        <f t="shared" si="15"/>
        <v>-325208.46098666661</v>
      </c>
      <c r="AJ67" s="365">
        <f t="shared" si="15"/>
        <v>-325208.46098666661</v>
      </c>
      <c r="AK67" s="365">
        <f t="shared" si="15"/>
        <v>-325208.46098666661</v>
      </c>
      <c r="AL67" s="365">
        <f t="shared" si="15"/>
        <v>-325208.46098666661</v>
      </c>
      <c r="AM67" s="365">
        <f t="shared" si="15"/>
        <v>-325208.46098666661</v>
      </c>
      <c r="AN67" s="365">
        <f t="shared" si="15"/>
        <v>-325208.46098666661</v>
      </c>
      <c r="AO67" s="365">
        <f t="shared" si="15"/>
        <v>-325208.46098666661</v>
      </c>
      <c r="AP67" s="365">
        <f t="shared" si="15"/>
        <v>-325208.46098666661</v>
      </c>
      <c r="AQ67" s="303">
        <f>SUM(B67:AA67)/1.18</f>
        <v>-6890009.7666666629</v>
      </c>
      <c r="AR67" s="304">
        <f>SUM(B67:AF67)/1.18</f>
        <v>-8268011.7199999951</v>
      </c>
      <c r="AS67" s="304">
        <f>SUM(B67:AP67)/1.18</f>
        <v>-11024015.626666659</v>
      </c>
    </row>
    <row r="68" spans="1:45" ht="28.5" x14ac:dyDescent="0.2">
      <c r="A68" s="302" t="s">
        <v>555</v>
      </c>
      <c r="B68" s="366">
        <f t="shared" ref="B68:J68" si="16">B66+B67</f>
        <v>9921614.0139999986</v>
      </c>
      <c r="C68" s="366">
        <f>C66+C67</f>
        <v>4507396.9843076887</v>
      </c>
      <c r="D68" s="366">
        <f>D66+D67</f>
        <v>9879033.6413604692</v>
      </c>
      <c r="E68" s="366">
        <f t="shared" si="16"/>
        <v>15856567.644992338</v>
      </c>
      <c r="F68" s="366">
        <f>F66+C67</f>
        <v>16536202.241443459</v>
      </c>
      <c r="G68" s="366">
        <f t="shared" si="16"/>
        <v>17244381.490945525</v>
      </c>
      <c r="H68" s="366">
        <f t="shared" si="16"/>
        <v>17982304.26892668</v>
      </c>
      <c r="I68" s="366">
        <f t="shared" si="16"/>
        <v>18751219.803583041</v>
      </c>
      <c r="J68" s="366">
        <f t="shared" si="16"/>
        <v>19552429.790694967</v>
      </c>
      <c r="K68" s="366">
        <f>K66+K67</f>
        <v>20387290.597265601</v>
      </c>
      <c r="L68" s="366">
        <f>L66+L67</f>
        <v>21257215.557712194</v>
      </c>
      <c r="M68" s="366">
        <f t="shared" ref="M68:AO68" si="17">M66+M67</f>
        <v>22163677.366497546</v>
      </c>
      <c r="N68" s="366">
        <f t="shared" si="17"/>
        <v>23108210.571251884</v>
      </c>
      <c r="O68" s="366">
        <f t="shared" si="17"/>
        <v>24092414.170605905</v>
      </c>
      <c r="P68" s="366">
        <f t="shared" si="17"/>
        <v>25117954.32113279</v>
      </c>
      <c r="Q68" s="366">
        <f t="shared" si="17"/>
        <v>26186567.157981813</v>
      </c>
      <c r="R68" s="366">
        <f t="shared" si="17"/>
        <v>27300061.733978488</v>
      </c>
      <c r="S68" s="366">
        <f t="shared" si="17"/>
        <v>28460323.082167026</v>
      </c>
      <c r="T68" s="366">
        <f t="shared" si="17"/>
        <v>29669315.406979486</v>
      </c>
      <c r="U68" s="366">
        <f t="shared" si="17"/>
        <v>30929085.409434065</v>
      </c>
      <c r="V68" s="366">
        <f t="shared" si="17"/>
        <v>32241765.751991734</v>
      </c>
      <c r="W68" s="366">
        <f t="shared" si="17"/>
        <v>33609578.668936826</v>
      </c>
      <c r="X68" s="366">
        <f t="shared" si="17"/>
        <v>35034839.728393622</v>
      </c>
      <c r="Y68" s="366">
        <f t="shared" si="17"/>
        <v>36519961.752347596</v>
      </c>
      <c r="Z68" s="366">
        <f t="shared" si="17"/>
        <v>38067458.901307635</v>
      </c>
      <c r="AA68" s="366">
        <f t="shared" si="17"/>
        <v>39679950.930523992</v>
      </c>
      <c r="AB68" s="366">
        <f t="shared" si="17"/>
        <v>41360167.624967448</v>
      </c>
      <c r="AC68" s="366">
        <f t="shared" si="17"/>
        <v>43110953.420577526</v>
      </c>
      <c r="AD68" s="366">
        <f t="shared" si="17"/>
        <v>44935272.219603218</v>
      </c>
      <c r="AE68" s="366">
        <f t="shared" si="17"/>
        <v>46836212.408187993</v>
      </c>
      <c r="AF68" s="366">
        <f t="shared" si="17"/>
        <v>48816992.084693328</v>
      </c>
      <c r="AG68" s="366">
        <f t="shared" si="17"/>
        <v>50880964.507611886</v>
      </c>
      <c r="AH68" s="366">
        <f t="shared" si="17"/>
        <v>53031623.772293024</v>
      </c>
      <c r="AI68" s="366">
        <f t="shared" si="17"/>
        <v>55272610.726090774</v>
      </c>
      <c r="AJ68" s="366">
        <f t="shared" si="17"/>
        <v>57607719.131948031</v>
      </c>
      <c r="AK68" s="366">
        <f t="shared" si="17"/>
        <v>60040902.090851292</v>
      </c>
      <c r="AL68" s="366">
        <f t="shared" si="17"/>
        <v>62576278.734028503</v>
      </c>
      <c r="AM68" s="366">
        <f t="shared" si="17"/>
        <v>65218141.196219139</v>
      </c>
      <c r="AN68" s="366">
        <f t="shared" si="17"/>
        <v>67970961.881821766</v>
      </c>
      <c r="AO68" s="366">
        <f t="shared" si="17"/>
        <v>70839401.036219746</v>
      </c>
      <c r="AP68" s="366">
        <f>AP66+AP67</f>
        <v>73828314.635102421</v>
      </c>
      <c r="AQ68" s="243">
        <v>25</v>
      </c>
      <c r="AR68" s="243">
        <v>30</v>
      </c>
      <c r="AS68" s="243">
        <v>40</v>
      </c>
    </row>
    <row r="69" spans="1:45" x14ac:dyDescent="0.2">
      <c r="A69" s="123" t="s">
        <v>221</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302" t="s">
        <v>225</v>
      </c>
      <c r="B70" s="366">
        <f t="shared" ref="B70:AO70" si="19">B68+B69</f>
        <v>9921614.0139999986</v>
      </c>
      <c r="C70" s="366">
        <f t="shared" si="19"/>
        <v>4507396.9843076887</v>
      </c>
      <c r="D70" s="366">
        <f t="shared" si="19"/>
        <v>9879033.6413604692</v>
      </c>
      <c r="E70" s="366">
        <f t="shared" si="19"/>
        <v>15856567.644992338</v>
      </c>
      <c r="F70" s="366">
        <f t="shared" si="19"/>
        <v>16536202.241443459</v>
      </c>
      <c r="G70" s="366">
        <f t="shared" si="19"/>
        <v>17244381.490945525</v>
      </c>
      <c r="H70" s="366">
        <f t="shared" si="19"/>
        <v>17982304.26892668</v>
      </c>
      <c r="I70" s="366">
        <f t="shared" si="19"/>
        <v>18751219.803583041</v>
      </c>
      <c r="J70" s="366">
        <f t="shared" si="19"/>
        <v>19552429.790694967</v>
      </c>
      <c r="K70" s="366">
        <f t="shared" si="19"/>
        <v>20387290.597265601</v>
      </c>
      <c r="L70" s="366">
        <f t="shared" si="19"/>
        <v>21257215.557712194</v>
      </c>
      <c r="M70" s="366">
        <f t="shared" si="19"/>
        <v>22163677.366497546</v>
      </c>
      <c r="N70" s="366">
        <f t="shared" si="19"/>
        <v>23108210.571251884</v>
      </c>
      <c r="O70" s="366">
        <f t="shared" si="19"/>
        <v>24092414.170605905</v>
      </c>
      <c r="P70" s="366">
        <f t="shared" si="19"/>
        <v>25117954.32113279</v>
      </c>
      <c r="Q70" s="366">
        <f t="shared" si="19"/>
        <v>26186567.157981813</v>
      </c>
      <c r="R70" s="366">
        <f t="shared" si="19"/>
        <v>27300061.733978488</v>
      </c>
      <c r="S70" s="366">
        <f t="shared" si="19"/>
        <v>28460323.082167026</v>
      </c>
      <c r="T70" s="366">
        <f t="shared" si="19"/>
        <v>29669315.406979486</v>
      </c>
      <c r="U70" s="366">
        <f t="shared" si="19"/>
        <v>30929085.409434065</v>
      </c>
      <c r="V70" s="366">
        <f t="shared" si="19"/>
        <v>32241765.751991734</v>
      </c>
      <c r="W70" s="366">
        <f t="shared" si="19"/>
        <v>33609578.668936826</v>
      </c>
      <c r="X70" s="366">
        <f t="shared" si="19"/>
        <v>35034839.728393622</v>
      </c>
      <c r="Y70" s="366">
        <f t="shared" si="19"/>
        <v>36519961.752347596</v>
      </c>
      <c r="Z70" s="366">
        <f t="shared" si="19"/>
        <v>38067458.901307635</v>
      </c>
      <c r="AA70" s="366">
        <f t="shared" si="19"/>
        <v>39679950.930523992</v>
      </c>
      <c r="AB70" s="366">
        <f t="shared" si="19"/>
        <v>41360167.624967448</v>
      </c>
      <c r="AC70" s="366">
        <f t="shared" si="19"/>
        <v>43110953.420577526</v>
      </c>
      <c r="AD70" s="366">
        <f t="shared" si="19"/>
        <v>44935272.219603218</v>
      </c>
      <c r="AE70" s="366">
        <f t="shared" si="19"/>
        <v>46836212.408187993</v>
      </c>
      <c r="AF70" s="366">
        <f t="shared" si="19"/>
        <v>48816992.084693328</v>
      </c>
      <c r="AG70" s="366">
        <f t="shared" si="19"/>
        <v>50880964.507611886</v>
      </c>
      <c r="AH70" s="366">
        <f t="shared" si="19"/>
        <v>53031623.772293024</v>
      </c>
      <c r="AI70" s="366">
        <f t="shared" si="19"/>
        <v>55272610.726090774</v>
      </c>
      <c r="AJ70" s="366">
        <f t="shared" si="19"/>
        <v>57607719.131948031</v>
      </c>
      <c r="AK70" s="366">
        <f t="shared" si="19"/>
        <v>60040902.090851292</v>
      </c>
      <c r="AL70" s="366">
        <f t="shared" si="19"/>
        <v>62576278.734028503</v>
      </c>
      <c r="AM70" s="366">
        <f t="shared" si="19"/>
        <v>65218141.196219139</v>
      </c>
      <c r="AN70" s="366">
        <f t="shared" si="19"/>
        <v>67970961.881821766</v>
      </c>
      <c r="AO70" s="366">
        <f t="shared" si="19"/>
        <v>70839401.036219746</v>
      </c>
      <c r="AP70" s="366">
        <f>AP68+AP69</f>
        <v>73828314.635102421</v>
      </c>
    </row>
    <row r="71" spans="1:45" x14ac:dyDescent="0.2">
      <c r="A71" s="123" t="s">
        <v>220</v>
      </c>
      <c r="B71" s="365">
        <f t="shared" ref="B71:AP71" si="20">-B70*$B$36</f>
        <v>-1984322.8027999997</v>
      </c>
      <c r="C71" s="365">
        <f t="shared" si="20"/>
        <v>-901479.39686153783</v>
      </c>
      <c r="D71" s="365">
        <f t="shared" si="20"/>
        <v>-1975806.7282720939</v>
      </c>
      <c r="E71" s="365">
        <f t="shared" si="20"/>
        <v>-3171313.5289984681</v>
      </c>
      <c r="F71" s="365">
        <f t="shared" si="20"/>
        <v>-3307240.4482886922</v>
      </c>
      <c r="G71" s="365">
        <f t="shared" si="20"/>
        <v>-3448876.2981891055</v>
      </c>
      <c r="H71" s="365">
        <f t="shared" si="20"/>
        <v>-3596460.853785336</v>
      </c>
      <c r="I71" s="365">
        <f t="shared" si="20"/>
        <v>-3750243.9607166084</v>
      </c>
      <c r="J71" s="365">
        <f t="shared" si="20"/>
        <v>-3910485.9581389935</v>
      </c>
      <c r="K71" s="365">
        <f t="shared" si="20"/>
        <v>-4077458.1194531205</v>
      </c>
      <c r="L71" s="365">
        <f t="shared" si="20"/>
        <v>-4251443.1115424391</v>
      </c>
      <c r="M71" s="365">
        <f t="shared" si="20"/>
        <v>-4432735.4732995098</v>
      </c>
      <c r="N71" s="365">
        <f t="shared" si="20"/>
        <v>-4621642.1142503768</v>
      </c>
      <c r="O71" s="365">
        <f t="shared" si="20"/>
        <v>-4818482.8341211816</v>
      </c>
      <c r="P71" s="365">
        <f t="shared" si="20"/>
        <v>-5023590.8642265582</v>
      </c>
      <c r="Q71" s="365">
        <f t="shared" si="20"/>
        <v>-5237313.431596363</v>
      </c>
      <c r="R71" s="365">
        <f t="shared" si="20"/>
        <v>-5460012.3467956977</v>
      </c>
      <c r="S71" s="365">
        <f t="shared" si="20"/>
        <v>-5692064.6164334053</v>
      </c>
      <c r="T71" s="365">
        <f t="shared" si="20"/>
        <v>-5933863.081395898</v>
      </c>
      <c r="U71" s="365">
        <f t="shared" si="20"/>
        <v>-6185817.081886813</v>
      </c>
      <c r="V71" s="365">
        <f t="shared" si="20"/>
        <v>-6448353.1503983475</v>
      </c>
      <c r="W71" s="365">
        <f t="shared" si="20"/>
        <v>-6721915.7337873653</v>
      </c>
      <c r="X71" s="365">
        <f t="shared" si="20"/>
        <v>-7006967.9456787249</v>
      </c>
      <c r="Y71" s="365">
        <f t="shared" si="20"/>
        <v>-7303992.3504695194</v>
      </c>
      <c r="Z71" s="365">
        <f t="shared" si="20"/>
        <v>-7613491.7802615277</v>
      </c>
      <c r="AA71" s="365">
        <f t="shared" si="20"/>
        <v>-7935990.1861047987</v>
      </c>
      <c r="AB71" s="365">
        <f t="shared" si="20"/>
        <v>-8272033.5249934904</v>
      </c>
      <c r="AC71" s="365">
        <f t="shared" si="20"/>
        <v>-8622190.6841155048</v>
      </c>
      <c r="AD71" s="365">
        <f t="shared" si="20"/>
        <v>-8987054.443920644</v>
      </c>
      <c r="AE71" s="365">
        <f t="shared" si="20"/>
        <v>-9367242.4816375989</v>
      </c>
      <c r="AF71" s="365">
        <f t="shared" si="20"/>
        <v>-9763398.4169386663</v>
      </c>
      <c r="AG71" s="365">
        <f t="shared" si="20"/>
        <v>-10176192.901522378</v>
      </c>
      <c r="AH71" s="365">
        <f t="shared" si="20"/>
        <v>-10606324.754458606</v>
      </c>
      <c r="AI71" s="365">
        <f t="shared" si="20"/>
        <v>-11054522.145218156</v>
      </c>
      <c r="AJ71" s="365">
        <f t="shared" si="20"/>
        <v>-11521543.826389607</v>
      </c>
      <c r="AK71" s="365">
        <f t="shared" si="20"/>
        <v>-12008180.418170258</v>
      </c>
      <c r="AL71" s="365">
        <f t="shared" si="20"/>
        <v>-12515255.746805701</v>
      </c>
      <c r="AM71" s="365">
        <f t="shared" si="20"/>
        <v>-13043628.239243828</v>
      </c>
      <c r="AN71" s="365">
        <f t="shared" si="20"/>
        <v>-13594192.376364354</v>
      </c>
      <c r="AO71" s="365">
        <f t="shared" si="20"/>
        <v>-14167880.207243949</v>
      </c>
      <c r="AP71" s="365">
        <f t="shared" si="20"/>
        <v>-14765662.927020485</v>
      </c>
    </row>
    <row r="72" spans="1:45" ht="15" thickBot="1" x14ac:dyDescent="0.25">
      <c r="A72" s="305" t="s">
        <v>224</v>
      </c>
      <c r="B72" s="122">
        <f t="shared" ref="B72:AO72" si="21">B70+B71</f>
        <v>7937291.2111999989</v>
      </c>
      <c r="C72" s="122">
        <f t="shared" si="21"/>
        <v>3605917.5874461508</v>
      </c>
      <c r="D72" s="122">
        <f t="shared" si="21"/>
        <v>7903226.9130883757</v>
      </c>
      <c r="E72" s="122">
        <f t="shared" si="21"/>
        <v>12685254.11599387</v>
      </c>
      <c r="F72" s="122">
        <f t="shared" si="21"/>
        <v>13228961.793154767</v>
      </c>
      <c r="G72" s="122">
        <f t="shared" si="21"/>
        <v>13795505.19275642</v>
      </c>
      <c r="H72" s="122">
        <f t="shared" si="21"/>
        <v>14385843.415141344</v>
      </c>
      <c r="I72" s="122">
        <f t="shared" si="21"/>
        <v>15000975.842866432</v>
      </c>
      <c r="J72" s="122">
        <f t="shared" si="21"/>
        <v>15641943.832555974</v>
      </c>
      <c r="K72" s="122">
        <f t="shared" si="21"/>
        <v>16309832.47781248</v>
      </c>
      <c r="L72" s="122">
        <f t="shared" si="21"/>
        <v>17005772.446169756</v>
      </c>
      <c r="M72" s="122">
        <f t="shared" si="21"/>
        <v>17730941.893198036</v>
      </c>
      <c r="N72" s="122">
        <f t="shared" si="21"/>
        <v>18486568.457001507</v>
      </c>
      <c r="O72" s="122">
        <f t="shared" si="21"/>
        <v>19273931.336484723</v>
      </c>
      <c r="P72" s="122">
        <f t="shared" si="21"/>
        <v>20094363.456906233</v>
      </c>
      <c r="Q72" s="122">
        <f t="shared" si="21"/>
        <v>20949253.726385452</v>
      </c>
      <c r="R72" s="122">
        <f t="shared" si="21"/>
        <v>21840049.387182791</v>
      </c>
      <c r="S72" s="122">
        <f t="shared" si="21"/>
        <v>22768258.465733621</v>
      </c>
      <c r="T72" s="122">
        <f t="shared" si="21"/>
        <v>23735452.325583588</v>
      </c>
      <c r="U72" s="122">
        <f t="shared" si="21"/>
        <v>24743268.327547252</v>
      </c>
      <c r="V72" s="122">
        <f t="shared" si="21"/>
        <v>25793412.601593386</v>
      </c>
      <c r="W72" s="122">
        <f t="shared" si="21"/>
        <v>26887662.935149461</v>
      </c>
      <c r="X72" s="122">
        <f t="shared" si="21"/>
        <v>28027871.782714896</v>
      </c>
      <c r="Y72" s="122">
        <f t="shared" si="21"/>
        <v>29215969.401878078</v>
      </c>
      <c r="Z72" s="122">
        <f t="shared" si="21"/>
        <v>30453967.121046107</v>
      </c>
      <c r="AA72" s="122">
        <f t="shared" si="21"/>
        <v>31743960.744419195</v>
      </c>
      <c r="AB72" s="122">
        <f t="shared" si="21"/>
        <v>33088134.099973958</v>
      </c>
      <c r="AC72" s="122">
        <f t="shared" si="21"/>
        <v>34488762.736462019</v>
      </c>
      <c r="AD72" s="122">
        <f t="shared" si="21"/>
        <v>35948217.775682576</v>
      </c>
      <c r="AE72" s="122">
        <f t="shared" si="21"/>
        <v>37468969.926550396</v>
      </c>
      <c r="AF72" s="122">
        <f t="shared" si="21"/>
        <v>39053593.667754665</v>
      </c>
      <c r="AG72" s="122">
        <f t="shared" si="21"/>
        <v>40704771.60608951</v>
      </c>
      <c r="AH72" s="122">
        <f t="shared" si="21"/>
        <v>42425299.017834418</v>
      </c>
      <c r="AI72" s="122">
        <f t="shared" si="21"/>
        <v>44218088.580872618</v>
      </c>
      <c r="AJ72" s="122">
        <f t="shared" si="21"/>
        <v>46086175.305558428</v>
      </c>
      <c r="AK72" s="122">
        <f t="shared" si="21"/>
        <v>48032721.672681034</v>
      </c>
      <c r="AL72" s="122">
        <f t="shared" si="21"/>
        <v>50061022.987222806</v>
      </c>
      <c r="AM72" s="122">
        <f t="shared" si="21"/>
        <v>52174512.956975311</v>
      </c>
      <c r="AN72" s="122">
        <f t="shared" si="21"/>
        <v>54376769.505457416</v>
      </c>
      <c r="AO72" s="122">
        <f t="shared" si="21"/>
        <v>56671520.828975797</v>
      </c>
      <c r="AP72" s="122">
        <f>AP70+AP71</f>
        <v>59062651.708081938</v>
      </c>
    </row>
    <row r="73" spans="1:45" s="307" customFormat="1" ht="16.5" thickBot="1" x14ac:dyDescent="0.25">
      <c r="A73" s="298"/>
      <c r="B73" s="306">
        <f>H141</f>
        <v>4.5</v>
      </c>
      <c r="C73" s="306">
        <f t="shared" ref="C73:AP73" si="22">I141</f>
        <v>5.5</v>
      </c>
      <c r="D73" s="306">
        <f t="shared" si="22"/>
        <v>6.5</v>
      </c>
      <c r="E73" s="306">
        <f t="shared" si="22"/>
        <v>7.5</v>
      </c>
      <c r="F73" s="306">
        <f t="shared" si="22"/>
        <v>8.5</v>
      </c>
      <c r="G73" s="306">
        <f t="shared" si="22"/>
        <v>9.5</v>
      </c>
      <c r="H73" s="306">
        <f t="shared" si="22"/>
        <v>10.5</v>
      </c>
      <c r="I73" s="306">
        <f t="shared" si="22"/>
        <v>11.5</v>
      </c>
      <c r="J73" s="306">
        <f t="shared" si="22"/>
        <v>12.5</v>
      </c>
      <c r="K73" s="306">
        <f t="shared" si="22"/>
        <v>13.5</v>
      </c>
      <c r="L73" s="306">
        <f t="shared" si="22"/>
        <v>14.5</v>
      </c>
      <c r="M73" s="306">
        <f t="shared" si="22"/>
        <v>15.5</v>
      </c>
      <c r="N73" s="306">
        <f t="shared" si="22"/>
        <v>16.5</v>
      </c>
      <c r="O73" s="306">
        <f t="shared" si="22"/>
        <v>17.5</v>
      </c>
      <c r="P73" s="306">
        <f t="shared" si="22"/>
        <v>18.5</v>
      </c>
      <c r="Q73" s="306">
        <f t="shared" si="22"/>
        <v>19.5</v>
      </c>
      <c r="R73" s="306">
        <f t="shared" si="22"/>
        <v>20.5</v>
      </c>
      <c r="S73" s="306">
        <f t="shared" si="22"/>
        <v>21.5</v>
      </c>
      <c r="T73" s="306">
        <f t="shared" si="22"/>
        <v>22.5</v>
      </c>
      <c r="U73" s="306">
        <f t="shared" si="22"/>
        <v>23.5</v>
      </c>
      <c r="V73" s="306">
        <f t="shared" si="22"/>
        <v>24.5</v>
      </c>
      <c r="W73" s="306">
        <f t="shared" si="22"/>
        <v>25.5</v>
      </c>
      <c r="X73" s="306">
        <f t="shared" si="22"/>
        <v>26.5</v>
      </c>
      <c r="Y73" s="306">
        <f t="shared" si="22"/>
        <v>27.5</v>
      </c>
      <c r="Z73" s="306">
        <f t="shared" si="22"/>
        <v>28.5</v>
      </c>
      <c r="AA73" s="306">
        <f t="shared" si="22"/>
        <v>29.5</v>
      </c>
      <c r="AB73" s="306">
        <f t="shared" si="22"/>
        <v>30.5</v>
      </c>
      <c r="AC73" s="306">
        <f t="shared" si="22"/>
        <v>31.5</v>
      </c>
      <c r="AD73" s="306">
        <f t="shared" si="22"/>
        <v>32.5</v>
      </c>
      <c r="AE73" s="306">
        <f t="shared" si="22"/>
        <v>33.5</v>
      </c>
      <c r="AF73" s="306">
        <f t="shared" si="22"/>
        <v>34.5</v>
      </c>
      <c r="AG73" s="306">
        <f t="shared" si="22"/>
        <v>35.5</v>
      </c>
      <c r="AH73" s="306">
        <f t="shared" si="22"/>
        <v>36.5</v>
      </c>
      <c r="AI73" s="306">
        <f t="shared" si="22"/>
        <v>37.5</v>
      </c>
      <c r="AJ73" s="306">
        <f t="shared" si="22"/>
        <v>38.5</v>
      </c>
      <c r="AK73" s="306">
        <f t="shared" si="22"/>
        <v>39.5</v>
      </c>
      <c r="AL73" s="306">
        <f t="shared" si="22"/>
        <v>40.5</v>
      </c>
      <c r="AM73" s="306">
        <f t="shared" si="22"/>
        <v>41.5</v>
      </c>
      <c r="AN73" s="306">
        <f t="shared" si="22"/>
        <v>42.5</v>
      </c>
      <c r="AO73" s="306">
        <f t="shared" si="22"/>
        <v>43.5</v>
      </c>
      <c r="AP73" s="306">
        <f t="shared" si="22"/>
        <v>44.5</v>
      </c>
      <c r="AQ73" s="243"/>
      <c r="AR73" s="243"/>
      <c r="AS73" s="243"/>
    </row>
    <row r="74" spans="1:45" x14ac:dyDescent="0.2">
      <c r="A74" s="295"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1" t="s">
        <v>555</v>
      </c>
      <c r="B75" s="366">
        <f t="shared" ref="B75:AO75" si="24">B68</f>
        <v>9921614.0139999986</v>
      </c>
      <c r="C75" s="366">
        <f t="shared" si="24"/>
        <v>4507396.9843076887</v>
      </c>
      <c r="D75" s="366">
        <f>D68</f>
        <v>9879033.6413604692</v>
      </c>
      <c r="E75" s="366">
        <f t="shared" si="24"/>
        <v>15856567.644992338</v>
      </c>
      <c r="F75" s="366">
        <f t="shared" si="24"/>
        <v>16536202.241443459</v>
      </c>
      <c r="G75" s="366">
        <f t="shared" si="24"/>
        <v>17244381.490945525</v>
      </c>
      <c r="H75" s="366">
        <f t="shared" si="24"/>
        <v>17982304.26892668</v>
      </c>
      <c r="I75" s="366">
        <f t="shared" si="24"/>
        <v>18751219.803583041</v>
      </c>
      <c r="J75" s="366">
        <f t="shared" si="24"/>
        <v>19552429.790694967</v>
      </c>
      <c r="K75" s="366">
        <f t="shared" si="24"/>
        <v>20387290.597265601</v>
      </c>
      <c r="L75" s="366">
        <f t="shared" si="24"/>
        <v>21257215.557712194</v>
      </c>
      <c r="M75" s="366">
        <f t="shared" si="24"/>
        <v>22163677.366497546</v>
      </c>
      <c r="N75" s="366">
        <f t="shared" si="24"/>
        <v>23108210.571251884</v>
      </c>
      <c r="O75" s="366">
        <f t="shared" si="24"/>
        <v>24092414.170605905</v>
      </c>
      <c r="P75" s="366">
        <f t="shared" si="24"/>
        <v>25117954.32113279</v>
      </c>
      <c r="Q75" s="366">
        <f t="shared" si="24"/>
        <v>26186567.157981813</v>
      </c>
      <c r="R75" s="366">
        <f t="shared" si="24"/>
        <v>27300061.733978488</v>
      </c>
      <c r="S75" s="366">
        <f t="shared" si="24"/>
        <v>28460323.082167026</v>
      </c>
      <c r="T75" s="366">
        <f t="shared" si="24"/>
        <v>29669315.406979486</v>
      </c>
      <c r="U75" s="366">
        <f t="shared" si="24"/>
        <v>30929085.409434065</v>
      </c>
      <c r="V75" s="366">
        <f t="shared" si="24"/>
        <v>32241765.751991734</v>
      </c>
      <c r="W75" s="366">
        <f t="shared" si="24"/>
        <v>33609578.668936826</v>
      </c>
      <c r="X75" s="366">
        <f t="shared" si="24"/>
        <v>35034839.728393622</v>
      </c>
      <c r="Y75" s="366">
        <f t="shared" si="24"/>
        <v>36519961.752347596</v>
      </c>
      <c r="Z75" s="366">
        <f t="shared" si="24"/>
        <v>38067458.901307635</v>
      </c>
      <c r="AA75" s="366">
        <f t="shared" si="24"/>
        <v>39679950.930523992</v>
      </c>
      <c r="AB75" s="366">
        <f t="shared" si="24"/>
        <v>41360167.624967448</v>
      </c>
      <c r="AC75" s="366">
        <f t="shared" si="24"/>
        <v>43110953.420577526</v>
      </c>
      <c r="AD75" s="366">
        <f t="shared" si="24"/>
        <v>44935272.219603218</v>
      </c>
      <c r="AE75" s="366">
        <f t="shared" si="24"/>
        <v>46836212.408187993</v>
      </c>
      <c r="AF75" s="366">
        <f t="shared" si="24"/>
        <v>48816992.084693328</v>
      </c>
      <c r="AG75" s="366">
        <f t="shared" si="24"/>
        <v>50880964.507611886</v>
      </c>
      <c r="AH75" s="366">
        <f t="shared" si="24"/>
        <v>53031623.772293024</v>
      </c>
      <c r="AI75" s="366">
        <f t="shared" si="24"/>
        <v>55272610.726090774</v>
      </c>
      <c r="AJ75" s="366">
        <f t="shared" si="24"/>
        <v>57607719.131948031</v>
      </c>
      <c r="AK75" s="366">
        <f t="shared" si="24"/>
        <v>60040902.090851292</v>
      </c>
      <c r="AL75" s="366">
        <f t="shared" si="24"/>
        <v>62576278.734028503</v>
      </c>
      <c r="AM75" s="366">
        <f t="shared" si="24"/>
        <v>65218141.196219139</v>
      </c>
      <c r="AN75" s="366">
        <f t="shared" si="24"/>
        <v>67970961.881821766</v>
      </c>
      <c r="AO75" s="366">
        <f t="shared" si="24"/>
        <v>70839401.036219746</v>
      </c>
      <c r="AP75" s="366">
        <f>AP68</f>
        <v>73828314.635102421</v>
      </c>
    </row>
    <row r="76" spans="1:45" x14ac:dyDescent="0.2">
      <c r="A76" s="123" t="s">
        <v>222</v>
      </c>
      <c r="B76" s="365">
        <f t="shared" ref="B76:AO76" si="25">-B67</f>
        <v>0</v>
      </c>
      <c r="C76" s="365">
        <f>-C67</f>
        <v>325208.46098666661</v>
      </c>
      <c r="D76" s="365">
        <f t="shared" si="25"/>
        <v>325208.46098666661</v>
      </c>
      <c r="E76" s="365">
        <f t="shared" si="25"/>
        <v>325208.46098666661</v>
      </c>
      <c r="F76" s="365">
        <f>-C67</f>
        <v>325208.46098666661</v>
      </c>
      <c r="G76" s="365">
        <f t="shared" si="25"/>
        <v>325208.46098666661</v>
      </c>
      <c r="H76" s="365">
        <f t="shared" si="25"/>
        <v>325208.46098666661</v>
      </c>
      <c r="I76" s="365">
        <f t="shared" si="25"/>
        <v>325208.46098666661</v>
      </c>
      <c r="J76" s="365">
        <f t="shared" si="25"/>
        <v>325208.46098666661</v>
      </c>
      <c r="K76" s="365">
        <f t="shared" si="25"/>
        <v>325208.46098666661</v>
      </c>
      <c r="L76" s="365">
        <f>-L67</f>
        <v>325208.46098666661</v>
      </c>
      <c r="M76" s="365">
        <f>-M67</f>
        <v>325208.46098666661</v>
      </c>
      <c r="N76" s="365">
        <f t="shared" si="25"/>
        <v>325208.46098666661</v>
      </c>
      <c r="O76" s="365">
        <f t="shared" si="25"/>
        <v>325208.46098666661</v>
      </c>
      <c r="P76" s="365">
        <f t="shared" si="25"/>
        <v>325208.46098666661</v>
      </c>
      <c r="Q76" s="365">
        <f t="shared" si="25"/>
        <v>325208.46098666661</v>
      </c>
      <c r="R76" s="365">
        <f t="shared" si="25"/>
        <v>325208.46098666661</v>
      </c>
      <c r="S76" s="365">
        <f t="shared" si="25"/>
        <v>325208.46098666661</v>
      </c>
      <c r="T76" s="365">
        <f t="shared" si="25"/>
        <v>325208.46098666661</v>
      </c>
      <c r="U76" s="365">
        <f t="shared" si="25"/>
        <v>325208.46098666661</v>
      </c>
      <c r="V76" s="365">
        <f t="shared" si="25"/>
        <v>325208.46098666661</v>
      </c>
      <c r="W76" s="365">
        <f t="shared" si="25"/>
        <v>325208.46098666661</v>
      </c>
      <c r="X76" s="365">
        <f t="shared" si="25"/>
        <v>325208.46098666661</v>
      </c>
      <c r="Y76" s="365">
        <f t="shared" si="25"/>
        <v>325208.46098666661</v>
      </c>
      <c r="Z76" s="365">
        <f t="shared" si="25"/>
        <v>325208.46098666661</v>
      </c>
      <c r="AA76" s="365">
        <f t="shared" si="25"/>
        <v>325208.46098666661</v>
      </c>
      <c r="AB76" s="365">
        <f t="shared" si="25"/>
        <v>325208.46098666661</v>
      </c>
      <c r="AC76" s="365">
        <f t="shared" si="25"/>
        <v>325208.46098666661</v>
      </c>
      <c r="AD76" s="365">
        <f t="shared" si="25"/>
        <v>325208.46098666661</v>
      </c>
      <c r="AE76" s="365">
        <f t="shared" si="25"/>
        <v>325208.46098666661</v>
      </c>
      <c r="AF76" s="365">
        <f t="shared" si="25"/>
        <v>325208.46098666661</v>
      </c>
      <c r="AG76" s="365">
        <f t="shared" si="25"/>
        <v>325208.46098666661</v>
      </c>
      <c r="AH76" s="365">
        <f t="shared" si="25"/>
        <v>325208.46098666661</v>
      </c>
      <c r="AI76" s="365">
        <f t="shared" si="25"/>
        <v>325208.46098666661</v>
      </c>
      <c r="AJ76" s="365">
        <f t="shared" si="25"/>
        <v>325208.46098666661</v>
      </c>
      <c r="AK76" s="365">
        <f t="shared" si="25"/>
        <v>325208.46098666661</v>
      </c>
      <c r="AL76" s="365">
        <f t="shared" si="25"/>
        <v>325208.46098666661</v>
      </c>
      <c r="AM76" s="365">
        <f t="shared" si="25"/>
        <v>325208.46098666661</v>
      </c>
      <c r="AN76" s="365">
        <f t="shared" si="25"/>
        <v>325208.46098666661</v>
      </c>
      <c r="AO76" s="365">
        <f t="shared" si="25"/>
        <v>325208.46098666661</v>
      </c>
      <c r="AP76" s="365">
        <f>-AP67</f>
        <v>325208.46098666661</v>
      </c>
    </row>
    <row r="77" spans="1:45" x14ac:dyDescent="0.2">
      <c r="A77" s="123" t="s">
        <v>221</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123" t="s">
        <v>220</v>
      </c>
      <c r="B78" s="365">
        <f>IF(SUM($B$71:B71)+SUM($A$78:A78)&gt;0,0,SUM($B$71:B71)-SUM($A$78:A78))</f>
        <v>-1984322.8027999997</v>
      </c>
      <c r="C78" s="365">
        <f>IF(SUM($B$71:C71)+SUM($A$78:B78)&gt;0,0,SUM($B$71:C71)-SUM($A$78:B78))</f>
        <v>-901479.39686153783</v>
      </c>
      <c r="D78" s="365">
        <f>IF(SUM($B$71:D71)+SUM($A$78:C78)&gt;0,0,SUM($B$71:D71)-SUM($A$78:C78))</f>
        <v>-1975806.7282720939</v>
      </c>
      <c r="E78" s="365">
        <f>IF(SUM($B$71:E71)+SUM($A$78:D78)&gt;0,0,SUM($B$71:E71)-SUM($A$78:D78))</f>
        <v>-3171313.5289984681</v>
      </c>
      <c r="F78" s="365">
        <f>IF(SUM($B$71:F71)+SUM($A$78:E78)&gt;0,0,SUM($B$71:F71)-SUM($A$78:E78))</f>
        <v>-3307240.4482886922</v>
      </c>
      <c r="G78" s="365">
        <f>IF(SUM($B$71:G71)+SUM($A$78:F78)&gt;0,0,SUM($B$71:G71)-SUM($A$78:F78))</f>
        <v>-3448876.2981891055</v>
      </c>
      <c r="H78" s="365">
        <f>IF(SUM($B$71:H71)+SUM($A$78:G78)&gt;0,0,SUM($B$71:H71)-SUM($A$78:G78))</f>
        <v>-3596460.8537853342</v>
      </c>
      <c r="I78" s="365">
        <f>IF(SUM($B$71:I71)+SUM($A$78:H78)&gt;0,0,SUM($B$71:I71)-SUM($A$78:H78))</f>
        <v>-3750243.9607166089</v>
      </c>
      <c r="J78" s="365">
        <f>IF(SUM($B$71:J71)+SUM($A$78:I78)&gt;0,0,SUM($B$71:J71)-SUM($A$78:I78))</f>
        <v>-3910485.9581389949</v>
      </c>
      <c r="K78" s="365">
        <f>IF(SUM($B$71:K71)+SUM($A$78:J78)&gt;0,0,SUM($B$71:K71)-SUM($A$78:J78))</f>
        <v>-4077458.119453121</v>
      </c>
      <c r="L78" s="365">
        <f>IF(SUM($B$71:L71)+SUM($A$78:K78)&gt;0,0,SUM($B$71:L71)-SUM($A$78:K78))</f>
        <v>-4251443.111542441</v>
      </c>
      <c r="M78" s="365">
        <f>IF(SUM($B$71:M71)+SUM($A$78:L78)&gt;0,0,SUM($B$71:M71)-SUM($A$78:L78))</f>
        <v>-4432735.4732995108</v>
      </c>
      <c r="N78" s="365">
        <f>IF(SUM($B$71:N71)+SUM($A$78:M78)&gt;0,0,SUM($B$71:N71)-SUM($A$78:M78))</f>
        <v>-4621642.1142503768</v>
      </c>
      <c r="O78" s="365">
        <f>IF(SUM($B$71:O71)+SUM($A$78:N78)&gt;0,0,SUM($B$71:O71)-SUM($A$78:N78))</f>
        <v>-4818482.8341211826</v>
      </c>
      <c r="P78" s="365">
        <f>IF(SUM($B$71:P71)+SUM($A$78:O78)&gt;0,0,SUM($B$71:P71)-SUM($A$78:O78))</f>
        <v>-5023590.8642265573</v>
      </c>
      <c r="Q78" s="365">
        <f>IF(SUM($B$71:Q71)+SUM($A$78:P78)&gt;0,0,SUM($B$71:Q71)-SUM($A$78:P78))</f>
        <v>-5237313.4315963611</v>
      </c>
      <c r="R78" s="365">
        <f>IF(SUM($B$71:R71)+SUM($A$78:Q78)&gt;0,0,SUM($B$71:R71)-SUM($A$78:Q78))</f>
        <v>-5460012.3467957005</v>
      </c>
      <c r="S78" s="365">
        <f>IF(SUM($B$71:S71)+SUM($A$78:R78)&gt;0,0,SUM($B$71:S71)-SUM($A$78:R78))</f>
        <v>-5692064.6164334044</v>
      </c>
      <c r="T78" s="365">
        <f>IF(SUM($B$71:T71)+SUM($A$78:S78)&gt;0,0,SUM($B$71:T71)-SUM($A$78:S78))</f>
        <v>-5933863.0813958943</v>
      </c>
      <c r="U78" s="365">
        <f>IF(SUM($B$71:U71)+SUM($A$78:T78)&gt;0,0,SUM($B$71:U71)-SUM($A$78:T78))</f>
        <v>-6185817.081886813</v>
      </c>
      <c r="V78" s="365">
        <f>IF(SUM($B$71:V71)+SUM($A$78:U78)&gt;0,0,SUM($B$71:V71)-SUM($A$78:U78))</f>
        <v>-6448353.1503983438</v>
      </c>
      <c r="W78" s="365">
        <f>IF(SUM($B$71:W71)+SUM($A$78:V78)&gt;0,0,SUM($B$71:W71)-SUM($A$78:V78))</f>
        <v>-6721915.7337873727</v>
      </c>
      <c r="X78" s="365">
        <f>IF(SUM($B$71:X71)+SUM($A$78:W78)&gt;0,0,SUM($B$71:X71)-SUM($A$78:W78))</f>
        <v>-7006967.9456787258</v>
      </c>
      <c r="Y78" s="365">
        <f>IF(SUM($B$71:Y71)+SUM($A$78:X78)&gt;0,0,SUM($B$71:Y71)-SUM($A$78:X78))</f>
        <v>-7303992.3504695147</v>
      </c>
      <c r="Z78" s="365">
        <f>IF(SUM($B$71:Z71)+SUM($A$78:Y78)&gt;0,0,SUM($B$71:Z71)-SUM($A$78:Y78))</f>
        <v>-7613491.7802615315</v>
      </c>
      <c r="AA78" s="365">
        <f>IF(SUM($B$71:AA71)+SUM($A$78:Z78)&gt;0,0,SUM($B$71:AA71)-SUM($A$78:Z78))</f>
        <v>-7935990.1861048043</v>
      </c>
      <c r="AB78" s="365">
        <f>IF(SUM($B$71:AB71)+SUM($A$78:AA78)&gt;0,0,SUM($B$71:AB71)-SUM($A$78:AA78))</f>
        <v>-8272033.5249934942</v>
      </c>
      <c r="AC78" s="365">
        <f>IF(SUM($B$71:AC71)+SUM($A$78:AB78)&gt;0,0,SUM($B$71:AC71)-SUM($A$78:AB78))</f>
        <v>-8622190.6841154993</v>
      </c>
      <c r="AD78" s="365">
        <f>IF(SUM($B$71:AD71)+SUM($A$78:AC78)&gt;0,0,SUM($B$71:AD71)-SUM($A$78:AC78))</f>
        <v>-8987054.4439206421</v>
      </c>
      <c r="AE78" s="365">
        <f>IF(SUM($B$71:AE71)+SUM($A$78:AD78)&gt;0,0,SUM($B$71:AE71)-SUM($A$78:AD78))</f>
        <v>-9367242.4816375971</v>
      </c>
      <c r="AF78" s="365">
        <f>IF(SUM($B$71:AF71)+SUM($A$78:AE78)&gt;0,0,SUM($B$71:AF71)-SUM($A$78:AE78))</f>
        <v>-9763398.4169386625</v>
      </c>
      <c r="AG78" s="365">
        <f>IF(SUM($B$71:AG71)+SUM($A$78:AF78)&gt;0,0,SUM($B$71:AG71)-SUM($A$78:AF78))</f>
        <v>-10176192.901522368</v>
      </c>
      <c r="AH78" s="365">
        <f>IF(SUM($B$71:AH71)+SUM($A$78:AG78)&gt;0,0,SUM($B$71:AH71)-SUM($A$78:AG78))</f>
        <v>-10606324.754458606</v>
      </c>
      <c r="AI78" s="365">
        <f>IF(SUM($B$71:AI71)+SUM($A$78:AH78)&gt;0,0,SUM($B$71:AI71)-SUM($A$78:AH78))</f>
        <v>-11054522.145218164</v>
      </c>
      <c r="AJ78" s="365">
        <f>IF(SUM($B$71:AJ71)+SUM($A$78:AI78)&gt;0,0,SUM($B$71:AJ71)-SUM($A$78:AI78))</f>
        <v>-11521543.826389611</v>
      </c>
      <c r="AK78" s="365">
        <f>IF(SUM($B$71:AK71)+SUM($A$78:AJ78)&gt;0,0,SUM($B$71:AK71)-SUM($A$78:AJ78))</f>
        <v>-12008180.418170244</v>
      </c>
      <c r="AL78" s="365">
        <f>IF(SUM($B$71:AL71)+SUM($A$78:AK78)&gt;0,0,SUM($B$71:AL71)-SUM($A$78:AK78))</f>
        <v>-12515255.746805698</v>
      </c>
      <c r="AM78" s="365">
        <f>IF(SUM($B$71:AM71)+SUM($A$78:AL78)&gt;0,0,SUM($B$71:AM71)-SUM($A$78:AL78))</f>
        <v>-13043628.239243835</v>
      </c>
      <c r="AN78" s="365">
        <f>IF(SUM($B$71:AN71)+SUM($A$78:AM78)&gt;0,0,SUM($B$71:AN71)-SUM($A$78:AM78))</f>
        <v>-13594192.37636435</v>
      </c>
      <c r="AO78" s="365">
        <f>IF(SUM($B$71:AO71)+SUM($A$78:AN78)&gt;0,0,SUM($B$71:AO71)-SUM($A$78:AN78))</f>
        <v>-14167880.207243919</v>
      </c>
      <c r="AP78" s="365">
        <f>IF(SUM($B$71:AP71)+SUM($A$78:AO78)&gt;0,0,SUM($B$71:AP71)-SUM($A$78:AO78))</f>
        <v>-14765662.92702049</v>
      </c>
    </row>
    <row r="79" spans="1:45" x14ac:dyDescent="0.2">
      <c r="A79" s="123" t="s">
        <v>219</v>
      </c>
      <c r="B79" s="365">
        <f>IF(((SUM($B$59:B59)+SUM($B$61:B64))+SUM($B$81:B81))&lt;0,((SUM($B$59:B59)+SUM($B$61:B64))+SUM($B$81:B81))*0.18-SUM($A$79:A79),IF(SUM(A$79:$B79)&lt;0,0-SUM(A$79:$B79),0))</f>
        <v>-9.0000001341104512E-3</v>
      </c>
      <c r="C79" s="365">
        <f>IF(((SUM($B$59:C59)+SUM($B$61:C64))+SUM($B$81:C81))&lt;0,((SUM($B$59:C59)+SUM($B$61:C64))+SUM($B$81:C81))*0.18-SUM($A$79:B79),IF(SUM($B$79:B79)&lt;0,0-SUM($B$79:B79),0))</f>
        <v>9.0000001341104512E-3</v>
      </c>
      <c r="D79" s="365">
        <f>IF(((SUM($B$59:D59)+SUM($B$61:D64))+SUM($B$81:D81))&lt;0,((SUM($B$59:D59)+SUM($B$61:D64))+SUM($B$81:D81))*0.18-SUM($A$79:C79),IF(SUM($B$79:C79)&lt;0,0-SUM($B$79:C79),0))</f>
        <v>0</v>
      </c>
      <c r="E79" s="365">
        <f>IF(((SUM($B$59:E59)+SUM($B$61:E64))+SUM($B$81:E81))&lt;0,((SUM($B$59:E59)+SUM($B$61:E64))+SUM($B$81:E81))*0.18-SUM($A$79:D79),IF(SUM($B$79:D79)&lt;0,0-SUM($B$79:D79),0))</f>
        <v>0</v>
      </c>
      <c r="F79" s="365">
        <f>IF(((SUM($B$59:F59)+SUM($B$61:F64))+SUM($B$81:F81))&lt;0,((SUM($B$59:F59)+SUM($B$61:F64))+SUM($B$81:F81))*0.18-SUM($A$79:E79),IF(SUM($B$79:E79)&lt;0,0-SUM($B$79:E79),0))</f>
        <v>0</v>
      </c>
      <c r="G79" s="365">
        <f>IF(((SUM($B$59:G59)+SUM($B$61:G64))+SUM($B$81:G81))&lt;0,((SUM($B$59:G59)+SUM($B$61:G64))+SUM($B$81:G81))*0.18-SUM($A$79:F79),IF(SUM($B$79:F79)&lt;0,0-SUM($B$79:F79),0))</f>
        <v>0</v>
      </c>
      <c r="H79" s="365">
        <f>IF(((SUM($B$59:H59)+SUM($B$61:H64))+SUM($B$81:H81))&lt;0,((SUM($B$59:H59)+SUM($B$61:H64))+SUM($B$81:H81))*0.18-SUM($A$79:G79),IF(SUM($B$79:G79)&lt;0,0-SUM($B$79:G79),0))</f>
        <v>0</v>
      </c>
      <c r="I79" s="365">
        <f>IF(((SUM($B$59:I59)+SUM($B$61:I64))+SUM($B$81:I81))&lt;0,((SUM($B$59:I59)+SUM($B$61:I64))+SUM($B$81:I81))*0.18-SUM($A$79:H79),IF(SUM($B$79:H79)&lt;0,0-SUM($B$79:H79),0))</f>
        <v>0</v>
      </c>
      <c r="J79" s="365">
        <f>IF(((SUM($B$59:J59)+SUM($B$61:J64))+SUM($B$81:J81))&lt;0,((SUM($B$59:J59)+SUM($B$61:J64))+SUM($B$81:J81))*0.18-SUM($A$79:I79),IF(SUM($B$79:I79)&lt;0,0-SUM($B$79:I79),0))</f>
        <v>0</v>
      </c>
      <c r="K79" s="365">
        <f>IF(((SUM($B$59:K59)+SUM($B$61:K64))+SUM($B$81:K81))&lt;0,((SUM($B$59:K59)+SUM($B$61:K64))+SUM($B$81:K81))*0.18-SUM($A$79:J79),IF(SUM($B$79:J79)&lt;0,0-SUM($B$79:J79),0))</f>
        <v>0</v>
      </c>
      <c r="L79" s="365">
        <f>IF(((SUM($B$59:L59)+SUM($B$61:L64))+SUM($B$81:L81))&lt;0,((SUM($B$59:L59)+SUM($B$61:L64))+SUM($B$81:L81))*0.18-SUM($A$79:K79),IF(SUM($B$79:K79)&lt;0,0-SUM($B$79:K79),0))</f>
        <v>0</v>
      </c>
      <c r="M79" s="365">
        <f>IF(((SUM($B$59:M59)+SUM($B$61:M64))+SUM($B$81:M81))&lt;0,((SUM($B$59:M59)+SUM($B$61:M64))+SUM($B$81:M81))*0.18-SUM($A$79:L79),IF(SUM($B$79:L79)&lt;0,0-SUM($B$79:L79),0))</f>
        <v>0</v>
      </c>
      <c r="N79" s="365">
        <f>IF(((SUM($B$59:N59)+SUM($B$61:N64))+SUM($B$81:N81))&lt;0,((SUM($B$59:N59)+SUM($B$61:N64))+SUM($B$81:N81))*0.18-SUM($A$79:M79),IF(SUM($B$79:M79)&lt;0,0-SUM($B$79:M79),0))</f>
        <v>0</v>
      </c>
      <c r="O79" s="365">
        <f>IF(((SUM($B$59:O59)+SUM($B$61:O64))+SUM($B$81:O81))&lt;0,((SUM($B$59:O59)+SUM($B$61:O64))+SUM($B$81:O81))*0.18-SUM($A$79:N79),IF(SUM($B$79:N79)&lt;0,0-SUM($B$79:N79),0))</f>
        <v>0</v>
      </c>
      <c r="P79" s="365">
        <f>IF(((SUM($B$59:P59)+SUM($B$61:P64))+SUM($B$81:P81))&lt;0,((SUM($B$59:P59)+SUM($B$61:P64))+SUM($B$81:P81))*0.18-SUM($A$79:O79),IF(SUM($B$79:O79)&lt;0,0-SUM($B$79:O79),0))</f>
        <v>0</v>
      </c>
      <c r="Q79" s="365">
        <f>IF(((SUM($B$59:Q59)+SUM($B$61:Q64))+SUM($B$81:Q81))&lt;0,((SUM($B$59:Q59)+SUM($B$61:Q64))+SUM($B$81:Q81))*0.18-SUM($A$79:P79),IF(SUM($B$79:P79)&lt;0,0-SUM($B$79:P79),0))</f>
        <v>0</v>
      </c>
      <c r="R79" s="365">
        <f>IF(((SUM($B$59:R59)+SUM($B$61:R64))+SUM($B$81:R81))&lt;0,((SUM($B$59:R59)+SUM($B$61:R64))+SUM($B$81:R81))*0.18-SUM($A$79:Q79),IF(SUM($B$79:Q79)&lt;0,0-SUM($B$79:Q79),0))</f>
        <v>0</v>
      </c>
      <c r="S79" s="365">
        <f>IF(((SUM($B$59:S59)+SUM($B$61:S64))+SUM($B$81:S81))&lt;0,((SUM($B$59:S59)+SUM($B$61:S64))+SUM($B$81:S81))*0.18-SUM($A$79:R79),IF(SUM($B$79:R79)&lt;0,0-SUM($B$79:R79),0))</f>
        <v>0</v>
      </c>
      <c r="T79" s="365">
        <f>IF(((SUM($B$59:T59)+SUM($B$61:T64))+SUM($B$81:T81))&lt;0,((SUM($B$59:T59)+SUM($B$61:T64))+SUM($B$81:T81))*0.18-SUM($A$79:S79),IF(SUM($B$79:S79)&lt;0,0-SUM($B$79:S79),0))</f>
        <v>0</v>
      </c>
      <c r="U79" s="365">
        <f>IF(((SUM($B$59:U59)+SUM($B$61:U64))+SUM($B$81:U81))&lt;0,((SUM($B$59:U59)+SUM($B$61:U64))+SUM($B$81:U81))*0.18-SUM($A$79:T79),IF(SUM($B$79:T79)&lt;0,0-SUM($B$79:T79),0))</f>
        <v>0</v>
      </c>
      <c r="V79" s="365">
        <f>IF(((SUM($B$59:V59)+SUM($B$61:V64))+SUM($B$81:V81))&lt;0,((SUM($B$59:V59)+SUM($B$61:V64))+SUM($B$81:V81))*0.18-SUM($A$79:U79),IF(SUM($B$79:U79)&lt;0,0-SUM($B$79:U79),0))</f>
        <v>0</v>
      </c>
      <c r="W79" s="365">
        <f>IF(((SUM($B$59:W59)+SUM($B$61:W64))+SUM($B$81:W81))&lt;0,((SUM($B$59:W59)+SUM($B$61:W64))+SUM($B$81:W81))*0.18-SUM($A$79:V79),IF(SUM($B$79:V79)&lt;0,0-SUM($B$79:V79),0))</f>
        <v>0</v>
      </c>
      <c r="X79" s="365">
        <f>IF(((SUM($B$59:X59)+SUM($B$61:X64))+SUM($B$81:X81))&lt;0,((SUM($B$59:X59)+SUM($B$61:X64))+SUM($B$81:X81))*0.18-SUM($A$79:W79),IF(SUM($B$79:W79)&lt;0,0-SUM($B$79:W79),0))</f>
        <v>0</v>
      </c>
      <c r="Y79" s="365">
        <f>IF(((SUM($B$59:Y59)+SUM($B$61:Y64))+SUM($B$81:Y81))&lt;0,((SUM($B$59:Y59)+SUM($B$61:Y64))+SUM($B$81:Y81))*0.18-SUM($A$79:X79),IF(SUM($B$79:X79)&lt;0,0-SUM($B$79:X79),0))</f>
        <v>0</v>
      </c>
      <c r="Z79" s="365">
        <f>IF(((SUM($B$59:Z59)+SUM($B$61:Z64))+SUM($B$81:Z81))&lt;0,((SUM($B$59:Z59)+SUM($B$61:Z64))+SUM($B$81:Z81))*0.18-SUM($A$79:Y79),IF(SUM($B$79:Y79)&lt;0,0-SUM($B$79:Y79),0))</f>
        <v>0</v>
      </c>
      <c r="AA79" s="365">
        <f>IF(((SUM($B$59:AA59)+SUM($B$61:AA64))+SUM($B$81:AA81))&lt;0,((SUM($B$59:AA59)+SUM($B$61:AA64))+SUM($B$81:AA81))*0.18-SUM($A$79:Z79),IF(SUM($B$79:Z79)&lt;0,0-SUM($B$79:Z79),0))</f>
        <v>0</v>
      </c>
      <c r="AB79" s="365">
        <f>IF(((SUM($B$59:AB59)+SUM($B$61:AB64))+SUM($B$81:AB81))&lt;0,((SUM($B$59:AB59)+SUM($B$61:AB64))+SUM($B$81:AB81))*0.18-SUM($A$79:AA79),IF(SUM($B$79:AA79)&lt;0,0-SUM($B$79:AA79),0))</f>
        <v>0</v>
      </c>
      <c r="AC79" s="365">
        <f>IF(((SUM($B$59:AC59)+SUM($B$61:AC64))+SUM($B$81:AC81))&lt;0,((SUM($B$59:AC59)+SUM($B$61:AC64))+SUM($B$81:AC81))*0.18-SUM($A$79:AB79),IF(SUM($B$79:AB79)&lt;0,0-SUM($B$79:AB79),0))</f>
        <v>0</v>
      </c>
      <c r="AD79" s="365">
        <f>IF(((SUM($B$59:AD59)+SUM($B$61:AD64))+SUM($B$81:AD81))&lt;0,((SUM($B$59:AD59)+SUM($B$61:AD64))+SUM($B$81:AD81))*0.18-SUM($A$79:AC79),IF(SUM($B$79:AC79)&lt;0,0-SUM($B$79:AC79),0))</f>
        <v>0</v>
      </c>
      <c r="AE79" s="365">
        <f>IF(((SUM($B$59:AE59)+SUM($B$61:AE64))+SUM($B$81:AE81))&lt;0,((SUM($B$59:AE59)+SUM($B$61:AE64))+SUM($B$81:AE81))*0.18-SUM($A$79:AD79),IF(SUM($B$79:AD79)&lt;0,0-SUM($B$79:AD79),0))</f>
        <v>0</v>
      </c>
      <c r="AF79" s="365">
        <f>IF(((SUM($B$59:AF59)+SUM($B$61:AF64))+SUM($B$81:AF81))&lt;0,((SUM($B$59:AF59)+SUM($B$61:AF64))+SUM($B$81:AF81))*0.18-SUM($A$79:AE79),IF(SUM($B$79:AE79)&lt;0,0-SUM($B$79:AE79),0))</f>
        <v>0</v>
      </c>
      <c r="AG79" s="365">
        <f>IF(((SUM($B$59:AG59)+SUM($B$61:AG64))+SUM($B$81:AG81))&lt;0,((SUM($B$59:AG59)+SUM($B$61:AG64))+SUM($B$81:AG81))*0.18-SUM($A$79:AF79),IF(SUM($B$79:AF79)&lt;0,0-SUM($B$79:AF79),0))</f>
        <v>0</v>
      </c>
      <c r="AH79" s="365">
        <f>IF(((SUM($B$59:AH59)+SUM($B$61:AH64))+SUM($B$81:AH81))&lt;0,((SUM($B$59:AH59)+SUM($B$61:AH64))+SUM($B$81:AH81))*0.18-SUM($A$79:AG79),IF(SUM($B$79:AG79)&lt;0,0-SUM($B$79:AG79),0))</f>
        <v>0</v>
      </c>
      <c r="AI79" s="365">
        <f>IF(((SUM($B$59:AI59)+SUM($B$61:AI64))+SUM($B$81:AI81))&lt;0,((SUM($B$59:AI59)+SUM($B$61:AI64))+SUM($B$81:AI81))*0.18-SUM($A$79:AH79),IF(SUM($B$79:AH79)&lt;0,0-SUM($B$79:AH79),0))</f>
        <v>0</v>
      </c>
      <c r="AJ79" s="365">
        <f>IF(((SUM($B$59:AJ59)+SUM($B$61:AJ64))+SUM($B$81:AJ81))&lt;0,((SUM($B$59:AJ59)+SUM($B$61:AJ64))+SUM($B$81:AJ81))*0.18-SUM($A$79:AI79),IF(SUM($B$79:AI79)&lt;0,0-SUM($B$79:AI79),0))</f>
        <v>0</v>
      </c>
      <c r="AK79" s="365">
        <f>IF(((SUM($B$59:AK59)+SUM($B$61:AK64))+SUM($B$81:AK81))&lt;0,((SUM($B$59:AK59)+SUM($B$61:AK64))+SUM($B$81:AK81))*0.18-SUM($A$79:AJ79),IF(SUM($B$79:AJ79)&lt;0,0-SUM($B$79:AJ79),0))</f>
        <v>0</v>
      </c>
      <c r="AL79" s="365">
        <f>IF(((SUM($B$59:AL59)+SUM($B$61:AL64))+SUM($B$81:AL81))&lt;0,((SUM($B$59:AL59)+SUM($B$61:AL64))+SUM($B$81:AL81))*0.18-SUM($A$79:AK79),IF(SUM($B$79:AK79)&lt;0,0-SUM($B$79:AK79),0))</f>
        <v>0</v>
      </c>
      <c r="AM79" s="365">
        <f>IF(((SUM($B$59:AM59)+SUM($B$61:AM64))+SUM($B$81:AM81))&lt;0,((SUM($B$59:AM59)+SUM($B$61:AM64))+SUM($B$81:AM81))*0.18-SUM($A$79:AL79),IF(SUM($B$79:AL79)&lt;0,0-SUM($B$79:AL79),0))</f>
        <v>0</v>
      </c>
      <c r="AN79" s="365">
        <f>IF(((SUM($B$59:AN59)+SUM($B$61:AN64))+SUM($B$81:AN81))&lt;0,((SUM($B$59:AN59)+SUM($B$61:AN64))+SUM($B$81:AN81))*0.18-SUM($A$79:AM79),IF(SUM($B$79:AM79)&lt;0,0-SUM($B$79:AM79),0))</f>
        <v>0</v>
      </c>
      <c r="AO79" s="365">
        <f>IF(((SUM($B$59:AO59)+SUM($B$61:AO64))+SUM($B$81:AO81))&lt;0,((SUM($B$59:AO59)+SUM($B$61:AO64))+SUM($B$81:AO81))*0.18-SUM($A$79:AN79),IF(SUM($B$79:AN79)&lt;0,0-SUM($B$79:AN79),0))</f>
        <v>0</v>
      </c>
      <c r="AP79" s="365">
        <f>IF(((SUM($B$59:AP59)+SUM($B$61:AP64))+SUM($B$81:AP81))&lt;0,((SUM($B$59:AP59)+SUM($B$61:AP64))+SUM($B$81:AP81))*0.18-SUM($A$79:AO79),IF(SUM($B$79:AO79)&lt;0,0-SUM($B$79:AO79),0))</f>
        <v>0</v>
      </c>
    </row>
    <row r="80" spans="1:45" x14ac:dyDescent="0.2">
      <c r="A80" s="123" t="s">
        <v>218</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123" t="s">
        <v>396</v>
      </c>
      <c r="B81" s="365">
        <f>-$B$126</f>
        <v>-9921614.0639999993</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303">
        <f>SUM(B81:AP81)</f>
        <v>-9921614.0639999993</v>
      </c>
      <c r="AR81" s="304"/>
    </row>
    <row r="82" spans="1:45" x14ac:dyDescent="0.2">
      <c r="A82" s="123" t="s">
        <v>217</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302" t="s">
        <v>216</v>
      </c>
      <c r="B83" s="366">
        <f>SUM(B75:B82)</f>
        <v>-1984322.861800001</v>
      </c>
      <c r="C83" s="366">
        <f t="shared" ref="C83:V83" si="29">SUM(C75:C82)</f>
        <v>3931126.0574328173</v>
      </c>
      <c r="D83" s="366">
        <f t="shared" si="29"/>
        <v>8228435.3740750421</v>
      </c>
      <c r="E83" s="366">
        <f t="shared" si="29"/>
        <v>13010462.576980537</v>
      </c>
      <c r="F83" s="366">
        <f t="shared" si="29"/>
        <v>13554170.254141433</v>
      </c>
      <c r="G83" s="366">
        <f t="shared" si="29"/>
        <v>14120713.653743086</v>
      </c>
      <c r="H83" s="366">
        <f t="shared" si="29"/>
        <v>14711051.876128012</v>
      </c>
      <c r="I83" s="366">
        <f t="shared" si="29"/>
        <v>15326184.303853098</v>
      </c>
      <c r="J83" s="366">
        <f t="shared" si="29"/>
        <v>15967152.293542638</v>
      </c>
      <c r="K83" s="366">
        <f t="shared" si="29"/>
        <v>16635040.938799147</v>
      </c>
      <c r="L83" s="366">
        <f t="shared" si="29"/>
        <v>17330980.907156419</v>
      </c>
      <c r="M83" s="366">
        <f t="shared" si="29"/>
        <v>18056150.354184702</v>
      </c>
      <c r="N83" s="366">
        <f t="shared" si="29"/>
        <v>18811776.917988174</v>
      </c>
      <c r="O83" s="366">
        <f t="shared" si="29"/>
        <v>19599139.797471389</v>
      </c>
      <c r="P83" s="366">
        <f t="shared" si="29"/>
        <v>20419571.917892899</v>
      </c>
      <c r="Q83" s="366">
        <f t="shared" si="29"/>
        <v>21274462.187372118</v>
      </c>
      <c r="R83" s="366">
        <f t="shared" si="29"/>
        <v>22165257.848169453</v>
      </c>
      <c r="S83" s="366">
        <f t="shared" si="29"/>
        <v>23093466.926720288</v>
      </c>
      <c r="T83" s="366">
        <f t="shared" si="29"/>
        <v>24060660.786570258</v>
      </c>
      <c r="U83" s="366">
        <f t="shared" si="29"/>
        <v>25068476.788533919</v>
      </c>
      <c r="V83" s="366">
        <f t="shared" si="29"/>
        <v>26118621.062580056</v>
      </c>
      <c r="W83" s="366">
        <f>SUM(W75:W82)</f>
        <v>27212871.39613612</v>
      </c>
      <c r="X83" s="366">
        <f>SUM(X75:X82)</f>
        <v>28353080.243701562</v>
      </c>
      <c r="Y83" s="366">
        <f>SUM(Y75:Y82)</f>
        <v>29541177.862864748</v>
      </c>
      <c r="Z83" s="366">
        <f>SUM(Z75:Z82)</f>
        <v>30779175.58203277</v>
      </c>
      <c r="AA83" s="366">
        <f t="shared" ref="AA83:AP83" si="30">SUM(AA75:AA82)</f>
        <v>32069169.205405854</v>
      </c>
      <c r="AB83" s="366">
        <f t="shared" si="30"/>
        <v>33413342.560960621</v>
      </c>
      <c r="AC83" s="366">
        <f t="shared" si="30"/>
        <v>34813971.197448693</v>
      </c>
      <c r="AD83" s="366">
        <f t="shared" si="30"/>
        <v>36273426.236669242</v>
      </c>
      <c r="AE83" s="366">
        <f t="shared" si="30"/>
        <v>37794178.387537062</v>
      </c>
      <c r="AF83" s="366">
        <f t="shared" si="30"/>
        <v>39378802.128741331</v>
      </c>
      <c r="AG83" s="366">
        <f t="shared" si="30"/>
        <v>41029980.067076184</v>
      </c>
      <c r="AH83" s="366">
        <f t="shared" si="30"/>
        <v>42750507.478821084</v>
      </c>
      <c r="AI83" s="366">
        <f t="shared" si="30"/>
        <v>44543297.041859277</v>
      </c>
      <c r="AJ83" s="366">
        <f t="shared" si="30"/>
        <v>46411383.766545087</v>
      </c>
      <c r="AK83" s="366">
        <f t="shared" si="30"/>
        <v>48357930.133667715</v>
      </c>
      <c r="AL83" s="366">
        <f t="shared" si="30"/>
        <v>50386231.448209472</v>
      </c>
      <c r="AM83" s="366">
        <f t="shared" si="30"/>
        <v>52499721.41796197</v>
      </c>
      <c r="AN83" s="366">
        <f t="shared" si="30"/>
        <v>54701977.96644409</v>
      </c>
      <c r="AO83" s="366">
        <f t="shared" si="30"/>
        <v>56996729.2899625</v>
      </c>
      <c r="AP83" s="366">
        <f t="shared" si="30"/>
        <v>59387860.169068605</v>
      </c>
    </row>
    <row r="84" spans="1:45" ht="14.25" x14ac:dyDescent="0.2">
      <c r="A84" s="302" t="s">
        <v>556</v>
      </c>
      <c r="B84" s="366">
        <f>SUM($B$83:B83)</f>
        <v>-1984322.861800001</v>
      </c>
      <c r="C84" s="366">
        <f>SUM($B$83:C83)</f>
        <v>1946803.1956328163</v>
      </c>
      <c r="D84" s="366">
        <f>SUM($B$83:D83)</f>
        <v>10175238.569707859</v>
      </c>
      <c r="E84" s="366">
        <f>SUM($B$83:E83)</f>
        <v>23185701.146688394</v>
      </c>
      <c r="F84" s="366">
        <f>SUM($B$83:F83)</f>
        <v>36739871.400829829</v>
      </c>
      <c r="G84" s="366">
        <f>SUM($B$83:G83)</f>
        <v>50860585.054572918</v>
      </c>
      <c r="H84" s="366">
        <f>SUM($B$83:H83)</f>
        <v>65571636.930700928</v>
      </c>
      <c r="I84" s="366">
        <f>SUM($B$83:I83)</f>
        <v>80897821.234554023</v>
      </c>
      <c r="J84" s="366">
        <f>SUM($B$83:J83)</f>
        <v>96864973.528096661</v>
      </c>
      <c r="K84" s="366">
        <f>SUM($B$83:K83)</f>
        <v>113500014.4668958</v>
      </c>
      <c r="L84" s="366">
        <f>SUM($B$83:L83)</f>
        <v>130830995.37405223</v>
      </c>
      <c r="M84" s="366">
        <f>SUM($B$83:M83)</f>
        <v>148887145.72823691</v>
      </c>
      <c r="N84" s="366">
        <f>SUM($B$83:N83)</f>
        <v>167698922.64622509</v>
      </c>
      <c r="O84" s="366">
        <f>SUM($B$83:O83)</f>
        <v>187298062.4436965</v>
      </c>
      <c r="P84" s="366">
        <f>SUM($B$83:P83)</f>
        <v>207717634.3615894</v>
      </c>
      <c r="Q84" s="366">
        <f>SUM($B$83:Q83)</f>
        <v>228992096.54896152</v>
      </c>
      <c r="R84" s="366">
        <f>SUM($B$83:R83)</f>
        <v>251157354.39713097</v>
      </c>
      <c r="S84" s="366">
        <f>SUM($B$83:S83)</f>
        <v>274250821.32385123</v>
      </c>
      <c r="T84" s="366">
        <f>SUM($B$83:T83)</f>
        <v>298311482.11042148</v>
      </c>
      <c r="U84" s="366">
        <f>SUM($B$83:U83)</f>
        <v>323379958.8989554</v>
      </c>
      <c r="V84" s="366">
        <f>SUM($B$83:V83)</f>
        <v>349498579.96153545</v>
      </c>
      <c r="W84" s="366">
        <f>SUM($B$83:W83)</f>
        <v>376711451.35767156</v>
      </c>
      <c r="X84" s="366">
        <f>SUM($B$83:X83)</f>
        <v>405064531.60137314</v>
      </c>
      <c r="Y84" s="366">
        <f>SUM($B$83:Y83)</f>
        <v>434605709.46423787</v>
      </c>
      <c r="Z84" s="366">
        <f>SUM($B$83:Z83)</f>
        <v>465384885.04627061</v>
      </c>
      <c r="AA84" s="366">
        <f>SUM($B$83:AA83)</f>
        <v>497454054.25167644</v>
      </c>
      <c r="AB84" s="366">
        <f>SUM($B$83:AB83)</f>
        <v>530867396.81263709</v>
      </c>
      <c r="AC84" s="366">
        <f>SUM($B$83:AC83)</f>
        <v>565681368.01008582</v>
      </c>
      <c r="AD84" s="366">
        <f>SUM($B$83:AD83)</f>
        <v>601954794.24675512</v>
      </c>
      <c r="AE84" s="366">
        <f>SUM($B$83:AE83)</f>
        <v>639748972.63429213</v>
      </c>
      <c r="AF84" s="366">
        <f>SUM($B$83:AF83)</f>
        <v>679127774.76303351</v>
      </c>
      <c r="AG84" s="366">
        <f>SUM($B$83:AG83)</f>
        <v>720157754.83010972</v>
      </c>
      <c r="AH84" s="366">
        <f>SUM($B$83:AH83)</f>
        <v>762908262.30893075</v>
      </c>
      <c r="AI84" s="366">
        <f>SUM($B$83:AI83)</f>
        <v>807451559.35079002</v>
      </c>
      <c r="AJ84" s="366">
        <f>SUM($B$83:AJ83)</f>
        <v>853862943.11733508</v>
      </c>
      <c r="AK84" s="366">
        <f>SUM($B$83:AK83)</f>
        <v>902220873.25100279</v>
      </c>
      <c r="AL84" s="366">
        <f>SUM($B$83:AL83)</f>
        <v>952607104.69921231</v>
      </c>
      <c r="AM84" s="366">
        <f>SUM($B$83:AM83)</f>
        <v>1005106826.1171743</v>
      </c>
      <c r="AN84" s="366">
        <f>SUM($B$83:AN83)</f>
        <v>1059808804.0836184</v>
      </c>
      <c r="AO84" s="366">
        <f>SUM($B$83:AO83)</f>
        <v>1116805533.3735809</v>
      </c>
      <c r="AP84" s="366">
        <f>SUM($B$83:AP83)</f>
        <v>1176193393.5426495</v>
      </c>
    </row>
    <row r="85" spans="1:45" x14ac:dyDescent="0.2">
      <c r="A85" s="123" t="s">
        <v>397</v>
      </c>
      <c r="B85" s="367">
        <f t="shared" ref="B85:AP85" si="31">1/POWER((1+$B$44),B73)</f>
        <v>0.43207415462612664</v>
      </c>
      <c r="C85" s="367">
        <f t="shared" si="31"/>
        <v>0.35856776317520883</v>
      </c>
      <c r="D85" s="367">
        <f t="shared" si="31"/>
        <v>0.29756660844415667</v>
      </c>
      <c r="E85" s="367">
        <f t="shared" si="31"/>
        <v>0.24694324352212174</v>
      </c>
      <c r="F85" s="367">
        <f t="shared" si="31"/>
        <v>0.20493215230051592</v>
      </c>
      <c r="G85" s="367">
        <f t="shared" si="31"/>
        <v>0.1700681761830008</v>
      </c>
      <c r="H85" s="367">
        <f t="shared" si="31"/>
        <v>0.14113541591950271</v>
      </c>
      <c r="I85" s="367">
        <f t="shared" si="31"/>
        <v>0.11712482648921385</v>
      </c>
      <c r="J85" s="367">
        <f t="shared" si="31"/>
        <v>9.719902613212765E-2</v>
      </c>
      <c r="K85" s="367">
        <f t="shared" si="31"/>
        <v>8.0663092225832109E-2</v>
      </c>
      <c r="L85" s="367">
        <f t="shared" si="31"/>
        <v>6.6940325498615838E-2</v>
      </c>
      <c r="M85" s="367">
        <f t="shared" si="31"/>
        <v>5.5552137343249659E-2</v>
      </c>
      <c r="N85" s="367">
        <f t="shared" si="31"/>
        <v>4.6101358791078552E-2</v>
      </c>
      <c r="O85" s="367">
        <f t="shared" si="31"/>
        <v>3.825838903823945E-2</v>
      </c>
      <c r="P85" s="367">
        <f t="shared" si="31"/>
        <v>3.174970044667174E-2</v>
      </c>
      <c r="Q85" s="367">
        <f t="shared" si="31"/>
        <v>2.6348299125868668E-2</v>
      </c>
      <c r="R85" s="367">
        <f t="shared" si="31"/>
        <v>2.1865808403210511E-2</v>
      </c>
      <c r="S85" s="367">
        <f t="shared" si="31"/>
        <v>1.814589908980126E-2</v>
      </c>
      <c r="T85" s="367">
        <f t="shared" si="31"/>
        <v>1.5058837418922204E-2</v>
      </c>
      <c r="U85" s="367">
        <f t="shared" si="31"/>
        <v>1.2496960513628384E-2</v>
      </c>
      <c r="V85" s="367">
        <f t="shared" si="31"/>
        <v>1.0370921588073345E-2</v>
      </c>
      <c r="W85" s="367">
        <f t="shared" si="31"/>
        <v>8.6065739320110735E-3</v>
      </c>
      <c r="X85" s="367">
        <f t="shared" si="31"/>
        <v>7.1423850058183183E-3</v>
      </c>
      <c r="Y85" s="367">
        <f t="shared" si="31"/>
        <v>5.9272904612600145E-3</v>
      </c>
      <c r="Z85" s="367">
        <f t="shared" si="31"/>
        <v>4.9189132458589318E-3</v>
      </c>
      <c r="AA85" s="367">
        <f t="shared" si="31"/>
        <v>4.082085681210732E-3</v>
      </c>
      <c r="AB85" s="367">
        <f t="shared" si="31"/>
        <v>3.3876229719591129E-3</v>
      </c>
      <c r="AC85" s="367">
        <f t="shared" si="31"/>
        <v>2.8113053709204251E-3</v>
      </c>
      <c r="AD85" s="367">
        <f t="shared" si="31"/>
        <v>2.3330335028385286E-3</v>
      </c>
      <c r="AE85" s="367">
        <f t="shared" si="31"/>
        <v>1.9361273882477412E-3</v>
      </c>
      <c r="AF85" s="367">
        <f t="shared" si="31"/>
        <v>1.6067447205375444E-3</v>
      </c>
      <c r="AG85" s="367">
        <f t="shared" si="31"/>
        <v>1.3333981083299121E-3</v>
      </c>
      <c r="AH85" s="367">
        <f t="shared" si="31"/>
        <v>1.1065544467468149E-3</v>
      </c>
      <c r="AI85" s="367">
        <f t="shared" si="31"/>
        <v>9.1830244543304122E-4</v>
      </c>
      <c r="AJ85" s="367">
        <f t="shared" si="31"/>
        <v>7.6207671820169396E-4</v>
      </c>
      <c r="AK85" s="367">
        <f t="shared" si="31"/>
        <v>6.3242881178563804E-4</v>
      </c>
      <c r="AL85" s="367">
        <f t="shared" si="31"/>
        <v>5.2483718820384888E-4</v>
      </c>
      <c r="AM85" s="367">
        <f t="shared" si="31"/>
        <v>4.3554953377912764E-4</v>
      </c>
      <c r="AN85" s="367">
        <f t="shared" si="31"/>
        <v>3.6145189525238806E-4</v>
      </c>
      <c r="AO85" s="367">
        <f t="shared" si="31"/>
        <v>2.9996007904762516E-4</v>
      </c>
      <c r="AP85" s="367">
        <f t="shared" si="31"/>
        <v>2.4892952618060153E-4</v>
      </c>
    </row>
    <row r="86" spans="1:45" ht="28.5" x14ac:dyDescent="0.2">
      <c r="A86" s="301" t="s">
        <v>557</v>
      </c>
      <c r="B86" s="366">
        <f>B83*B85</f>
        <v>-857374.6230175317</v>
      </c>
      <c r="C86" s="366">
        <f>C83*C85</f>
        <v>1409575.0771734628</v>
      </c>
      <c r="D86" s="366">
        <f t="shared" ref="D86:AO86" si="32">D83*D85</f>
        <v>2448507.607065436</v>
      </c>
      <c r="E86" s="366">
        <f t="shared" si="32"/>
        <v>3212845.8284827564</v>
      </c>
      <c r="F86" s="366">
        <f t="shared" si="32"/>
        <v>2777685.2828288348</v>
      </c>
      <c r="G86" s="366">
        <f t="shared" si="32"/>
        <v>2401484.0174944843</v>
      </c>
      <c r="H86" s="366">
        <f t="shared" si="32"/>
        <v>2076250.4251507076</v>
      </c>
      <c r="I86" s="366">
        <f t="shared" si="32"/>
        <v>1795076.677330507</v>
      </c>
      <c r="J86" s="366">
        <f t="shared" si="32"/>
        <v>1551991.6530357129</v>
      </c>
      <c r="K86" s="366">
        <f t="shared" si="32"/>
        <v>1341833.8414268482</v>
      </c>
      <c r="L86" s="366">
        <f t="shared" si="32"/>
        <v>1160141.503135347</v>
      </c>
      <c r="M86" s="366">
        <f t="shared" si="32"/>
        <v>1003057.7443660345</v>
      </c>
      <c r="N86" s="366">
        <f t="shared" si="32"/>
        <v>867248.47719390271</v>
      </c>
      <c r="O86" s="366">
        <f t="shared" si="32"/>
        <v>749831.5151865019</v>
      </c>
      <c r="P86" s="366">
        <f t="shared" si="32"/>
        <v>648315.29164236994</v>
      </c>
      <c r="Q86" s="366">
        <f t="shared" si="32"/>
        <v>560545.89345486287</v>
      </c>
      <c r="R86" s="366">
        <f t="shared" si="32"/>
        <v>484661.28131583135</v>
      </c>
      <c r="S86" s="366">
        <f t="shared" si="32"/>
        <v>419051.72048592917</v>
      </c>
      <c r="T86" s="366">
        <f t="shared" si="32"/>
        <v>362325.5789767984</v>
      </c>
      <c r="U86" s="366">
        <f t="shared" si="32"/>
        <v>313279.76456311805</v>
      </c>
      <c r="V86" s="366">
        <f t="shared" si="32"/>
        <v>270874.1710286187</v>
      </c>
      <c r="W86" s="366">
        <f t="shared" si="32"/>
        <v>234209.58957315492</v>
      </c>
      <c r="X86" s="366">
        <f t="shared" si="32"/>
        <v>202508.61520137763</v>
      </c>
      <c r="Y86" s="366">
        <f t="shared" si="32"/>
        <v>175099.14176094372</v>
      </c>
      <c r="Z86" s="366">
        <f t="shared" si="32"/>
        <v>151400.0944670788</v>
      </c>
      <c r="AA86" s="366">
        <f t="shared" si="32"/>
        <v>130909.09642171138</v>
      </c>
      <c r="AB86" s="366">
        <f t="shared" si="32"/>
        <v>113191.80682944933</v>
      </c>
      <c r="AC86" s="366">
        <f t="shared" si="32"/>
        <v>97872.70421045649</v>
      </c>
      <c r="AD86" s="366">
        <f t="shared" si="32"/>
        <v>84627.118672891433</v>
      </c>
      <c r="AE86" s="366">
        <f t="shared" si="32"/>
        <v>73174.343892431352</v>
      </c>
      <c r="AF86" s="366">
        <f t="shared" si="32"/>
        <v>63271.682421447746</v>
      </c>
      <c r="AG86" s="366">
        <f t="shared" si="32"/>
        <v>54709.29780625338</v>
      </c>
      <c r="AH86" s="366">
        <f t="shared" si="32"/>
        <v>47305.764151372437</v>
      </c>
      <c r="AI86" s="366">
        <f t="shared" si="32"/>
        <v>40904.218601189721</v>
      </c>
      <c r="AJ86" s="366">
        <f t="shared" si="32"/>
        <v>35369.035028008053</v>
      </c>
      <c r="AK86" s="366">
        <f t="shared" si="32"/>
        <v>30582.948294848375</v>
      </c>
      <c r="AL86" s="366">
        <f t="shared" si="32"/>
        <v>26444.568037466604</v>
      </c>
      <c r="AM86" s="366">
        <f t="shared" si="32"/>
        <v>22866.229187127417</v>
      </c>
      <c r="AN86" s="366">
        <f t="shared" si="32"/>
        <v>19772.13361002559</v>
      </c>
      <c r="AO86" s="366">
        <f t="shared" si="32"/>
        <v>17096.743423273245</v>
      </c>
      <c r="AP86" s="366">
        <f>AP83*AP85</f>
        <v>14783.391892766067</v>
      </c>
    </row>
    <row r="87" spans="1:45" ht="14.25" x14ac:dyDescent="0.2">
      <c r="A87" s="301" t="s">
        <v>558</v>
      </c>
      <c r="B87" s="366">
        <f>SUM($B$86:B86)</f>
        <v>-857374.6230175317</v>
      </c>
      <c r="C87" s="366">
        <f>SUM($B$86:C86)</f>
        <v>552200.45415593113</v>
      </c>
      <c r="D87" s="366">
        <f>SUM($B$86:D86)</f>
        <v>3000708.0612213672</v>
      </c>
      <c r="E87" s="366">
        <f>SUM($B$86:E86)</f>
        <v>6213553.8897041231</v>
      </c>
      <c r="F87" s="366">
        <f>SUM($B$86:F86)</f>
        <v>8991239.172532957</v>
      </c>
      <c r="G87" s="366">
        <f>SUM($B$86:G86)</f>
        <v>11392723.190027442</v>
      </c>
      <c r="H87" s="366">
        <f>SUM($B$86:H86)</f>
        <v>13468973.615178149</v>
      </c>
      <c r="I87" s="366">
        <f>SUM($B$86:I86)</f>
        <v>15264050.292508656</v>
      </c>
      <c r="J87" s="366">
        <f>SUM($B$86:J86)</f>
        <v>16816041.94554437</v>
      </c>
      <c r="K87" s="366">
        <f>SUM($B$86:K86)</f>
        <v>18157875.786971219</v>
      </c>
      <c r="L87" s="366">
        <f>SUM($B$86:L86)</f>
        <v>19318017.290106565</v>
      </c>
      <c r="M87" s="366">
        <f>SUM($B$86:M86)</f>
        <v>20321075.0344726</v>
      </c>
      <c r="N87" s="366">
        <f>SUM($B$86:N86)</f>
        <v>21188323.511666503</v>
      </c>
      <c r="O87" s="366">
        <f>SUM($B$86:O86)</f>
        <v>21938155.026853006</v>
      </c>
      <c r="P87" s="366">
        <f>SUM($B$86:P86)</f>
        <v>22586470.318495378</v>
      </c>
      <c r="Q87" s="366">
        <f>SUM($B$86:Q86)</f>
        <v>23147016.211950243</v>
      </c>
      <c r="R87" s="366">
        <f>SUM($B$86:R86)</f>
        <v>23631677.493266072</v>
      </c>
      <c r="S87" s="366">
        <f>SUM($B$86:S86)</f>
        <v>24050729.213752002</v>
      </c>
      <c r="T87" s="366">
        <f>SUM($B$86:T86)</f>
        <v>24413054.7927288</v>
      </c>
      <c r="U87" s="366">
        <f>SUM($B$86:U86)</f>
        <v>24726334.557291918</v>
      </c>
      <c r="V87" s="366">
        <f>SUM($B$86:V86)</f>
        <v>24997208.728320535</v>
      </c>
      <c r="W87" s="366">
        <f>SUM($B$86:W86)</f>
        <v>25231418.317893691</v>
      </c>
      <c r="X87" s="366">
        <f>SUM($B$86:X86)</f>
        <v>25433926.933095068</v>
      </c>
      <c r="Y87" s="366">
        <f>SUM($B$86:Y86)</f>
        <v>25609026.074856013</v>
      </c>
      <c r="Z87" s="366">
        <f>SUM($B$86:Z86)</f>
        <v>25760426.16932309</v>
      </c>
      <c r="AA87" s="366">
        <f>SUM($B$86:AA86)</f>
        <v>25891335.265744802</v>
      </c>
      <c r="AB87" s="366">
        <f>SUM($B$86:AB86)</f>
        <v>26004527.07257425</v>
      </c>
      <c r="AC87" s="366">
        <f>SUM($B$86:AC86)</f>
        <v>26102399.776784707</v>
      </c>
      <c r="AD87" s="366">
        <f>SUM($B$86:AD86)</f>
        <v>26187026.895457599</v>
      </c>
      <c r="AE87" s="366">
        <f>SUM($B$86:AE86)</f>
        <v>26260201.239350032</v>
      </c>
      <c r="AF87" s="366">
        <f>SUM($B$86:AF86)</f>
        <v>26323472.921771482</v>
      </c>
      <c r="AG87" s="366">
        <f>SUM($B$86:AG86)</f>
        <v>26378182.219577733</v>
      </c>
      <c r="AH87" s="366">
        <f>SUM($B$86:AH86)</f>
        <v>26425487.983729105</v>
      </c>
      <c r="AI87" s="366">
        <f>SUM($B$86:AI86)</f>
        <v>26466392.202330295</v>
      </c>
      <c r="AJ87" s="366">
        <f>SUM($B$86:AJ86)</f>
        <v>26501761.237358302</v>
      </c>
      <c r="AK87" s="366">
        <f>SUM($B$86:AK86)</f>
        <v>26532344.18565315</v>
      </c>
      <c r="AL87" s="366">
        <f>SUM($B$86:AL86)</f>
        <v>26558788.753690615</v>
      </c>
      <c r="AM87" s="366">
        <f>SUM($B$86:AM86)</f>
        <v>26581654.982877742</v>
      </c>
      <c r="AN87" s="366">
        <f>SUM($B$86:AN86)</f>
        <v>26601427.116487768</v>
      </c>
      <c r="AO87" s="366">
        <f>SUM($B$86:AO86)</f>
        <v>26618523.859911039</v>
      </c>
      <c r="AP87" s="366">
        <f>SUM($B$86:AP86)</f>
        <v>26633307.251803804</v>
      </c>
    </row>
    <row r="88" spans="1:45" ht="14.25" x14ac:dyDescent="0.2">
      <c r="A88" s="301" t="s">
        <v>559</v>
      </c>
      <c r="B88" s="368">
        <f>IF((ISERR(IRR($B$83:B83))),0,IF(IRR($B$83:B83)&lt;0,0,IRR($B$83:B83)))</f>
        <v>0</v>
      </c>
      <c r="C88" s="368">
        <f>IF((ISERR(IRR($B$83:C83))),0,IF(IRR($B$83:C83)&lt;0,0,IRR($B$83:C83)))</f>
        <v>0.98109195489833212</v>
      </c>
      <c r="D88" s="368">
        <f>IF((ISERR(IRR($B$83:D83))),0,IF(IRR($B$83:D83)&lt;0,0,IRR($B$83:D83)))</f>
        <v>2.2550334222896353</v>
      </c>
      <c r="E88" s="368">
        <f>IF((ISERR(IRR($B$83:E83))),0,IF(IRR($B$83:E83)&lt;0,0,IRR($B$83:E83)))</f>
        <v>2.6243549443998364</v>
      </c>
      <c r="F88" s="368">
        <f>IF((ISERR(IRR($B$83:F83))),0,IF(IRR($B$83:F83)&lt;0,0,IRR($B$83:F83)))</f>
        <v>2.7093565203241416</v>
      </c>
      <c r="G88" s="368">
        <f>IF((ISERR(IRR($B$83:G83))),0,IF(IRR($B$83:G83)&lt;0,0,IRR($B$83:G83)))</f>
        <v>2.7314522929870582</v>
      </c>
      <c r="H88" s="368">
        <f>IF((ISERR(IRR($B$83:H83))),0,IF(IRR($B$83:H83)&lt;0,0,IRR($B$83:H83)))</f>
        <v>2.7374546557373507</v>
      </c>
      <c r="I88" s="368">
        <f>IF((ISERR(IRR($B$83:I83))),0,IF(IRR($B$83:I83)&lt;0,0,IRR($B$83:I83)))</f>
        <v>2.7391120474537063</v>
      </c>
      <c r="J88" s="368">
        <f>IF((ISERR(IRR($B$83:J83))),0,IF(IRR($B$83:J83)&lt;0,0,IRR($B$83:J83)))</f>
        <v>2.7395723779847212</v>
      </c>
      <c r="K88" s="368">
        <f>IF((ISERR(IRR($B$83:K83))),0,IF(IRR($B$83:K83)&lt;0,0,IRR($B$83:K83)))</f>
        <v>2.7397004908085285</v>
      </c>
      <c r="L88" s="368">
        <f>IF((ISERR(IRR($B$83:L83))),0,IF(IRR($B$83:L83)&lt;0,0,IRR($B$83:L83)))</f>
        <v>2.7397361696170806</v>
      </c>
      <c r="M88" s="368">
        <f>IF((ISERR(IRR($B$83:M83))),0,IF(IRR($B$83:M83)&lt;0,0,IRR($B$83:M83)))</f>
        <v>2.7397461082305203</v>
      </c>
      <c r="N88" s="368">
        <f>IF((ISERR(IRR($B$83:N83))),0,IF(IRR($B$83:N83)&lt;0,0,IRR($B$83:N83)))</f>
        <v>2.7397488769194251</v>
      </c>
      <c r="O88" s="368">
        <f>IF((ISERR(IRR($B$83:O83))),0,IF(IRR($B$83:O83)&lt;0,0,IRR($B$83:O83)))</f>
        <v>2.7397496482393513</v>
      </c>
      <c r="P88" s="368">
        <f>IF((ISERR(IRR($B$83:P83))),0,IF(IRR($B$83:P83)&lt;0,0,IRR($B$83:P83)))</f>
        <v>2.7397498631214861</v>
      </c>
      <c r="Q88" s="368">
        <f>IF((ISERR(IRR($B$83:Q83))),0,IF(IRR($B$83:Q83)&lt;0,0,IRR($B$83:Q83)))</f>
        <v>2.7397499229859785</v>
      </c>
      <c r="R88" s="368">
        <f>IF((ISERR(IRR($B$83:R83))),0,IF(IRR($B$83:R83)&lt;0,0,IRR($B$83:R83)))</f>
        <v>2.7397499396638523</v>
      </c>
      <c r="S88" s="368">
        <f>IF((ISERR(IRR($B$83:S83))),0,IF(IRR($B$83:S83)&lt;0,0,IRR($B$83:S83)))</f>
        <v>2.7397499443102009</v>
      </c>
      <c r="T88" s="368">
        <f>IF((ISERR(IRR($B$83:T83))),0,IF(IRR($B$83:T83)&lt;0,0,IRR($B$83:T83)))</f>
        <v>2.7397499456047041</v>
      </c>
      <c r="U88" s="368">
        <f>IF((ISERR(IRR($B$83:U83))),0,IF(IRR($B$83:U83)&lt;0,0,IRR($B$83:U83)))</f>
        <v>2.7397499459653392</v>
      </c>
      <c r="V88" s="368">
        <f>IF((ISERR(IRR($B$83:V83))),0,IF(IRR($B$83:V83)&lt;0,0,IRR($B$83:V83)))</f>
        <v>2.7397499460658117</v>
      </c>
      <c r="W88" s="368">
        <f>IF((ISERR(IRR($B$83:W83))),0,IF(IRR($B$83:W83)&lt;0,0,IRR($B$83:W83)))</f>
        <v>2.739749946093804</v>
      </c>
      <c r="X88" s="368">
        <f>IF((ISERR(IRR($B$83:X83))),0,IF(IRR($B$83:X83)&lt;0,0,IRR($B$83:X83)))</f>
        <v>2.7397499461016017</v>
      </c>
      <c r="Y88" s="368">
        <f>IF((ISERR(IRR($B$83:Y83))),0,IF(IRR($B$83:Y83)&lt;0,0,IRR($B$83:Y83)))</f>
        <v>2.7397499461037742</v>
      </c>
      <c r="Z88" s="368">
        <f>IF((ISERR(IRR($B$83:Z83))),0,IF(IRR($B$83:Z83)&lt;0,0,IRR($B$83:Z83)))</f>
        <v>2.7397499461043795</v>
      </c>
      <c r="AA88" s="368">
        <f>IF((ISERR(IRR($B$83:AA83))),0,IF(IRR($B$83:AA83)&lt;0,0,IRR($B$83:AA83)))</f>
        <v>2.7397499461045491</v>
      </c>
      <c r="AB88" s="368">
        <f>IF((ISERR(IRR($B$83:AB83))),0,IF(IRR($B$83:AB83)&lt;0,0,IRR($B$83:AB83)))</f>
        <v>2.7397499461045953</v>
      </c>
      <c r="AC88" s="368">
        <f>IF((ISERR(IRR($B$83:AC83))),0,IF(IRR($B$83:AC83)&lt;0,0,IRR($B$83:AC83)))</f>
        <v>2.7397499461046078</v>
      </c>
      <c r="AD88" s="368">
        <f>IF((ISERR(IRR($B$83:AD83))),0,IF(IRR($B$83:AD83)&lt;0,0,IRR($B$83:AD83)))</f>
        <v>2.7397499461046126</v>
      </c>
      <c r="AE88" s="368">
        <f>IF((ISERR(IRR($B$83:AE83))),0,IF(IRR($B$83:AE83)&lt;0,0,IRR($B$83:AE83)))</f>
        <v>2.7397499461046126</v>
      </c>
      <c r="AF88" s="368">
        <f>IF((ISERR(IRR($B$83:AF83))),0,IF(IRR($B$83:AF83)&lt;0,0,IRR($B$83:AF83)))</f>
        <v>2.7397499461046126</v>
      </c>
      <c r="AG88" s="368">
        <f>IF((ISERR(IRR($B$83:AG83))),0,IF(IRR($B$83:AG83)&lt;0,0,IRR($B$83:AG83)))</f>
        <v>2.7397499461046126</v>
      </c>
      <c r="AH88" s="368">
        <f>IF((ISERR(IRR($B$83:AH83))),0,IF(IRR($B$83:AH83)&lt;0,0,IRR($B$83:AH83)))</f>
        <v>2.7397499461046126</v>
      </c>
      <c r="AI88" s="368">
        <f>IF((ISERR(IRR($B$83:AI83))),0,IF(IRR($B$83:AI83)&lt;0,0,IRR($B$83:AI83)))</f>
        <v>2.7397499461046109</v>
      </c>
      <c r="AJ88" s="368">
        <f>IF((ISERR(IRR($B$83:AJ83))),0,IF(IRR($B$83:AJ83)&lt;0,0,IRR($B$83:AJ83)))</f>
        <v>2.7397499461046095</v>
      </c>
      <c r="AK88" s="368">
        <f>IF((ISERR(IRR($B$83:AK83))),0,IF(IRR($B$83:AK83)&lt;0,0,IRR($B$83:AK83)))</f>
        <v>2.7397499461046078</v>
      </c>
      <c r="AL88" s="368">
        <f>IF((ISERR(IRR($B$83:AL83))),0,IF(IRR($B$83:AL83)&lt;0,0,IRR($B$83:AL83)))</f>
        <v>2.7397499461046033</v>
      </c>
      <c r="AM88" s="368">
        <f>IF((ISERR(IRR($B$83:AM83))),0,IF(IRR($B$83:AM83)&lt;0,0,IRR($B$83:AM83)))</f>
        <v>2.7397499461046002</v>
      </c>
      <c r="AN88" s="368">
        <f>IF((ISERR(IRR($B$83:AN83))),0,IF(IRR($B$83:AN83)&lt;0,0,IRR($B$83:AN83)))</f>
        <v>2.7397499461045922</v>
      </c>
      <c r="AO88" s="368">
        <f>IF((ISERR(IRR($B$83:AO83))),0,IF(IRR($B$83:AO83)&lt;0,0,IRR($B$83:AO83)))</f>
        <v>2.7397499461045847</v>
      </c>
      <c r="AP88" s="368">
        <f>IF((ISERR(IRR($B$83:AP83))),0,IF(IRR($B$83:AP83)&lt;0,0,IRR($B$83:AP83)))</f>
        <v>2.7397499461045722</v>
      </c>
    </row>
    <row r="89" spans="1:45" ht="14.25" x14ac:dyDescent="0.2">
      <c r="A89" s="301" t="s">
        <v>560</v>
      </c>
      <c r="B89" s="369">
        <f>IF(AND(B84&gt;0,A84&lt;0),(B74-(B84/(B84-A84))),0)</f>
        <v>0</v>
      </c>
      <c r="C89" s="369">
        <f t="shared" ref="C89:AP89" si="33">IF(AND(C84&gt;0,B84&lt;0),(C74-(C84/(C84-B84))),0)</f>
        <v>1.5047721270723746</v>
      </c>
      <c r="D89" s="369">
        <f t="shared" si="33"/>
        <v>0</v>
      </c>
      <c r="E89" s="369">
        <f t="shared" si="33"/>
        <v>0</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308" t="s">
        <v>561</v>
      </c>
      <c r="B90" s="124">
        <f t="shared" ref="B90:AP90" si="34">IF(AND(B87&gt;0,A87&lt;0),(B74-(B87/(B87-A87))),0)</f>
        <v>0</v>
      </c>
      <c r="C90" s="124">
        <f t="shared" si="34"/>
        <v>1.6082504131222113</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1" customFormat="1" x14ac:dyDescent="0.2">
      <c r="A91" s="265"/>
      <c r="B91" s="309">
        <v>2022</v>
      </c>
      <c r="C91" s="309">
        <f>B91+1</f>
        <v>2023</v>
      </c>
      <c r="D91" s="241">
        <f t="shared" ref="D91:AP91" si="35">C91+1</f>
        <v>2024</v>
      </c>
      <c r="E91" s="241">
        <f t="shared" si="35"/>
        <v>2025</v>
      </c>
      <c r="F91" s="241">
        <f t="shared" si="35"/>
        <v>2026</v>
      </c>
      <c r="G91" s="241">
        <f t="shared" si="35"/>
        <v>2027</v>
      </c>
      <c r="H91" s="241">
        <f t="shared" si="35"/>
        <v>2028</v>
      </c>
      <c r="I91" s="241">
        <f t="shared" si="35"/>
        <v>2029</v>
      </c>
      <c r="J91" s="241">
        <f t="shared" si="35"/>
        <v>2030</v>
      </c>
      <c r="K91" s="241">
        <f t="shared" si="35"/>
        <v>2031</v>
      </c>
      <c r="L91" s="241">
        <f t="shared" si="35"/>
        <v>2032</v>
      </c>
      <c r="M91" s="241">
        <f t="shared" si="35"/>
        <v>2033</v>
      </c>
      <c r="N91" s="241">
        <f t="shared" si="35"/>
        <v>2034</v>
      </c>
      <c r="O91" s="241">
        <f t="shared" si="35"/>
        <v>2035</v>
      </c>
      <c r="P91" s="241">
        <f t="shared" si="35"/>
        <v>2036</v>
      </c>
      <c r="Q91" s="241">
        <f t="shared" si="35"/>
        <v>2037</v>
      </c>
      <c r="R91" s="241">
        <f t="shared" si="35"/>
        <v>2038</v>
      </c>
      <c r="S91" s="241">
        <f t="shared" si="35"/>
        <v>2039</v>
      </c>
      <c r="T91" s="241">
        <f t="shared" si="35"/>
        <v>2040</v>
      </c>
      <c r="U91" s="241">
        <f t="shared" si="35"/>
        <v>2041</v>
      </c>
      <c r="V91" s="241">
        <f t="shared" si="35"/>
        <v>2042</v>
      </c>
      <c r="W91" s="241">
        <f t="shared" si="35"/>
        <v>2043</v>
      </c>
      <c r="X91" s="241">
        <f t="shared" si="35"/>
        <v>2044</v>
      </c>
      <c r="Y91" s="241">
        <f t="shared" si="35"/>
        <v>2045</v>
      </c>
      <c r="Z91" s="241">
        <f t="shared" si="35"/>
        <v>2046</v>
      </c>
      <c r="AA91" s="241">
        <f t="shared" si="35"/>
        <v>2047</v>
      </c>
      <c r="AB91" s="241">
        <f t="shared" si="35"/>
        <v>2048</v>
      </c>
      <c r="AC91" s="241">
        <f t="shared" si="35"/>
        <v>2049</v>
      </c>
      <c r="AD91" s="241">
        <f t="shared" si="35"/>
        <v>2050</v>
      </c>
      <c r="AE91" s="241">
        <f t="shared" si="35"/>
        <v>2051</v>
      </c>
      <c r="AF91" s="241">
        <f t="shared" si="35"/>
        <v>2052</v>
      </c>
      <c r="AG91" s="241">
        <f t="shared" si="35"/>
        <v>2053</v>
      </c>
      <c r="AH91" s="241">
        <f t="shared" si="35"/>
        <v>2054</v>
      </c>
      <c r="AI91" s="241">
        <f t="shared" si="35"/>
        <v>2055</v>
      </c>
      <c r="AJ91" s="241">
        <f t="shared" si="35"/>
        <v>2056</v>
      </c>
      <c r="AK91" s="241">
        <f t="shared" si="35"/>
        <v>2057</v>
      </c>
      <c r="AL91" s="241">
        <f t="shared" si="35"/>
        <v>2058</v>
      </c>
      <c r="AM91" s="241">
        <f t="shared" si="35"/>
        <v>2059</v>
      </c>
      <c r="AN91" s="241">
        <f t="shared" si="35"/>
        <v>2060</v>
      </c>
      <c r="AO91" s="241">
        <f t="shared" si="35"/>
        <v>2061</v>
      </c>
      <c r="AP91" s="241">
        <f t="shared" si="35"/>
        <v>2062</v>
      </c>
      <c r="AQ91" s="243"/>
      <c r="AR91" s="243"/>
      <c r="AS91" s="243"/>
    </row>
    <row r="92" spans="1:45" ht="15.6" customHeight="1" x14ac:dyDescent="0.2">
      <c r="A92" s="310" t="s">
        <v>562</v>
      </c>
      <c r="B92" s="311"/>
      <c r="C92" s="311"/>
      <c r="D92" s="311"/>
      <c r="E92" s="311"/>
      <c r="F92" s="311"/>
      <c r="G92" s="311"/>
      <c r="H92" s="311"/>
      <c r="I92" s="311"/>
      <c r="J92" s="311"/>
      <c r="K92" s="311"/>
      <c r="L92" s="312">
        <v>10</v>
      </c>
      <c r="M92" s="311"/>
      <c r="N92" s="311"/>
      <c r="O92" s="311"/>
      <c r="P92" s="311"/>
      <c r="Q92" s="311"/>
      <c r="R92" s="311"/>
      <c r="S92" s="311"/>
      <c r="T92" s="311"/>
      <c r="U92" s="311"/>
      <c r="V92" s="311"/>
      <c r="W92" s="311"/>
      <c r="X92" s="311"/>
      <c r="Y92" s="311"/>
      <c r="Z92" s="311"/>
      <c r="AA92" s="311">
        <v>25</v>
      </c>
      <c r="AB92" s="311"/>
      <c r="AC92" s="311"/>
      <c r="AD92" s="311"/>
      <c r="AE92" s="311"/>
      <c r="AF92" s="311">
        <v>30</v>
      </c>
      <c r="AG92" s="311"/>
      <c r="AH92" s="311"/>
      <c r="AI92" s="311"/>
      <c r="AJ92" s="311"/>
      <c r="AK92" s="311"/>
      <c r="AL92" s="311"/>
      <c r="AM92" s="311"/>
      <c r="AN92" s="311"/>
      <c r="AO92" s="311"/>
      <c r="AP92" s="311">
        <v>40</v>
      </c>
    </row>
    <row r="93" spans="1:45" ht="12.75" x14ac:dyDescent="0.2">
      <c r="A93" s="313" t="s">
        <v>563</v>
      </c>
      <c r="B93" s="313"/>
      <c r="C93" s="313"/>
      <c r="D93" s="313"/>
      <c r="E93" s="313"/>
      <c r="F93" s="313"/>
      <c r="G93" s="313"/>
      <c r="H93" s="313"/>
      <c r="I93" s="313"/>
      <c r="J93" s="313"/>
      <c r="K93" s="313"/>
      <c r="L93" s="313"/>
      <c r="M93" s="313"/>
      <c r="N93" s="313"/>
      <c r="O93" s="313"/>
      <c r="P93" s="313"/>
      <c r="Q93" s="313"/>
      <c r="R93" s="313"/>
      <c r="S93" s="313"/>
      <c r="T93" s="313"/>
      <c r="U93" s="313"/>
      <c r="V93" s="313"/>
      <c r="W93" s="313"/>
      <c r="X93" s="313"/>
      <c r="Y93" s="313"/>
      <c r="Z93" s="313"/>
      <c r="AA93" s="313"/>
      <c r="AB93" s="313"/>
      <c r="AC93" s="313"/>
      <c r="AD93" s="313"/>
      <c r="AE93" s="313"/>
      <c r="AF93" s="313"/>
      <c r="AG93" s="313"/>
      <c r="AH93" s="313"/>
      <c r="AI93" s="313"/>
      <c r="AJ93" s="313"/>
      <c r="AK93" s="313"/>
      <c r="AL93" s="313"/>
      <c r="AM93" s="313"/>
      <c r="AN93" s="313"/>
      <c r="AO93" s="313"/>
      <c r="AP93" s="313"/>
    </row>
    <row r="94" spans="1:45" ht="12.75" x14ac:dyDescent="0.2">
      <c r="A94" s="313" t="s">
        <v>564</v>
      </c>
      <c r="B94" s="313"/>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row>
    <row r="95" spans="1:45" ht="12.75" x14ac:dyDescent="0.2">
      <c r="A95" s="313" t="s">
        <v>565</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row>
    <row r="96" spans="1:45" ht="12.75" x14ac:dyDescent="0.2">
      <c r="A96" s="314" t="s">
        <v>566</v>
      </c>
      <c r="B96" s="311"/>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row>
    <row r="97" spans="1:71" ht="33" customHeight="1" x14ac:dyDescent="0.2">
      <c r="A97" s="454" t="s">
        <v>567</v>
      </c>
      <c r="B97" s="454"/>
      <c r="C97" s="454"/>
      <c r="D97" s="454"/>
      <c r="E97" s="454"/>
      <c r="F97" s="454"/>
      <c r="G97" s="454"/>
      <c r="H97" s="454"/>
      <c r="I97" s="454"/>
      <c r="J97" s="454"/>
      <c r="K97" s="454"/>
      <c r="L97" s="454"/>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5"/>
    </row>
    <row r="99" spans="1:71" s="321" customFormat="1" ht="16.5" thickTop="1" x14ac:dyDescent="0.2">
      <c r="A99" s="316" t="s">
        <v>568</v>
      </c>
      <c r="B99" s="317">
        <f>B81*B85</f>
        <v>-4286873.0092294887</v>
      </c>
      <c r="C99" s="318">
        <f>C81*C85</f>
        <v>0</v>
      </c>
      <c r="D99" s="318">
        <f t="shared" ref="D99:AP99" si="36">D81*D85</f>
        <v>0</v>
      </c>
      <c r="E99" s="318">
        <f t="shared" si="36"/>
        <v>0</v>
      </c>
      <c r="F99" s="318">
        <f t="shared" si="36"/>
        <v>0</v>
      </c>
      <c r="G99" s="318">
        <f t="shared" si="36"/>
        <v>0</v>
      </c>
      <c r="H99" s="318">
        <f t="shared" si="36"/>
        <v>0</v>
      </c>
      <c r="I99" s="318">
        <f t="shared" si="36"/>
        <v>0</v>
      </c>
      <c r="J99" s="318">
        <f>J81*J85</f>
        <v>0</v>
      </c>
      <c r="K99" s="318">
        <f t="shared" si="36"/>
        <v>0</v>
      </c>
      <c r="L99" s="318">
        <f>L81*L85</f>
        <v>0</v>
      </c>
      <c r="M99" s="318">
        <f t="shared" si="36"/>
        <v>0</v>
      </c>
      <c r="N99" s="318">
        <f t="shared" si="36"/>
        <v>0</v>
      </c>
      <c r="O99" s="318">
        <f t="shared" si="36"/>
        <v>0</v>
      </c>
      <c r="P99" s="318">
        <f t="shared" si="36"/>
        <v>0</v>
      </c>
      <c r="Q99" s="318">
        <f t="shared" si="36"/>
        <v>0</v>
      </c>
      <c r="R99" s="318">
        <f t="shared" si="36"/>
        <v>0</v>
      </c>
      <c r="S99" s="318">
        <f t="shared" si="36"/>
        <v>0</v>
      </c>
      <c r="T99" s="318">
        <f t="shared" si="36"/>
        <v>0</v>
      </c>
      <c r="U99" s="318">
        <f t="shared" si="36"/>
        <v>0</v>
      </c>
      <c r="V99" s="318">
        <f t="shared" si="36"/>
        <v>0</v>
      </c>
      <c r="W99" s="318">
        <f t="shared" si="36"/>
        <v>0</v>
      </c>
      <c r="X99" s="318">
        <f t="shared" si="36"/>
        <v>0</v>
      </c>
      <c r="Y99" s="318">
        <f t="shared" si="36"/>
        <v>0</v>
      </c>
      <c r="Z99" s="318">
        <f t="shared" si="36"/>
        <v>0</v>
      </c>
      <c r="AA99" s="318">
        <f t="shared" si="36"/>
        <v>0</v>
      </c>
      <c r="AB99" s="318">
        <f t="shared" si="36"/>
        <v>0</v>
      </c>
      <c r="AC99" s="318">
        <f t="shared" si="36"/>
        <v>0</v>
      </c>
      <c r="AD99" s="318">
        <f t="shared" si="36"/>
        <v>0</v>
      </c>
      <c r="AE99" s="318">
        <f t="shared" si="36"/>
        <v>0</v>
      </c>
      <c r="AF99" s="318">
        <f t="shared" si="36"/>
        <v>0</v>
      </c>
      <c r="AG99" s="318">
        <f t="shared" si="36"/>
        <v>0</v>
      </c>
      <c r="AH99" s="318">
        <f t="shared" si="36"/>
        <v>0</v>
      </c>
      <c r="AI99" s="318">
        <f t="shared" si="36"/>
        <v>0</v>
      </c>
      <c r="AJ99" s="318">
        <f t="shared" si="36"/>
        <v>0</v>
      </c>
      <c r="AK99" s="318">
        <f t="shared" si="36"/>
        <v>0</v>
      </c>
      <c r="AL99" s="318">
        <f t="shared" si="36"/>
        <v>0</v>
      </c>
      <c r="AM99" s="318">
        <f t="shared" si="36"/>
        <v>0</v>
      </c>
      <c r="AN99" s="318">
        <f t="shared" si="36"/>
        <v>0</v>
      </c>
      <c r="AO99" s="318">
        <f t="shared" si="36"/>
        <v>0</v>
      </c>
      <c r="AP99" s="318">
        <f t="shared" si="36"/>
        <v>0</v>
      </c>
      <c r="AQ99" s="319">
        <f>SUM(B99:AP99)</f>
        <v>-4286873.0092294887</v>
      </c>
      <c r="AR99" s="320"/>
      <c r="AS99" s="320"/>
    </row>
    <row r="100" spans="1:71" s="324" customFormat="1" x14ac:dyDescent="0.2">
      <c r="A100" s="322">
        <f>AQ99</f>
        <v>-4286873.0092294887</v>
      </c>
      <c r="B100" s="32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3"/>
      <c r="AR100" s="243"/>
      <c r="AS100" s="243"/>
    </row>
    <row r="101" spans="1:71" s="324" customFormat="1" x14ac:dyDescent="0.2">
      <c r="A101" s="322">
        <f>AP87</f>
        <v>26633307.251803804</v>
      </c>
      <c r="B101" s="32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3"/>
      <c r="AR101" s="243"/>
      <c r="AS101" s="243"/>
    </row>
    <row r="102" spans="1:71" s="324" customFormat="1" x14ac:dyDescent="0.2">
      <c r="A102" s="325" t="s">
        <v>569</v>
      </c>
      <c r="B102" s="370">
        <f>(A101+-A100)/-A100</f>
        <v>7.2127586225351719</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3"/>
      <c r="AR102" s="243"/>
      <c r="AS102" s="243"/>
    </row>
    <row r="103" spans="1:71" s="324" customFormat="1" x14ac:dyDescent="0.2">
      <c r="A103" s="326"/>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3"/>
      <c r="AR103" s="243"/>
      <c r="AS103" s="243"/>
    </row>
    <row r="104" spans="1:71" ht="12.75" x14ac:dyDescent="0.2">
      <c r="A104" s="371" t="s">
        <v>570</v>
      </c>
      <c r="B104" s="371" t="s">
        <v>571</v>
      </c>
      <c r="C104" s="371" t="s">
        <v>572</v>
      </c>
      <c r="D104" s="371" t="s">
        <v>573</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72">
        <f>G30/1000/1000</f>
        <v>19.318017290106564</v>
      </c>
      <c r="B105" s="373">
        <f>L88</f>
        <v>2.7397361696170806</v>
      </c>
      <c r="C105" s="374">
        <f>G28</f>
        <v>1.5047721270723746</v>
      </c>
      <c r="D105" s="374">
        <f>G29</f>
        <v>1.6082504131222113</v>
      </c>
      <c r="E105" s="329" t="s">
        <v>574</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324"/>
      <c r="AU107" s="324"/>
      <c r="AV107" s="324"/>
      <c r="AW107" s="324"/>
      <c r="AX107" s="324"/>
      <c r="AY107" s="324"/>
      <c r="AZ107" s="324"/>
      <c r="BA107" s="324"/>
      <c r="BB107" s="324"/>
      <c r="BC107" s="324"/>
      <c r="BD107" s="324"/>
      <c r="BE107" s="324"/>
      <c r="BF107" s="324"/>
      <c r="BG107" s="324"/>
    </row>
    <row r="108" spans="1:71" ht="12.75" x14ac:dyDescent="0.2">
      <c r="A108" s="378" t="s">
        <v>575</v>
      </c>
      <c r="B108" s="379"/>
      <c r="C108" s="379">
        <f>C109*$B$111*$B$112*1000</f>
        <v>3853077.9408</v>
      </c>
      <c r="D108" s="379">
        <f t="shared" ref="D108:AP108" si="38">D109*$B$111*$B$112*1000</f>
        <v>7706155.8816</v>
      </c>
      <c r="E108" s="379">
        <f>E109*$B$111*$B$112*1000</f>
        <v>11675993.760000002</v>
      </c>
      <c r="F108" s="379">
        <f t="shared" si="38"/>
        <v>11675993.760000002</v>
      </c>
      <c r="G108" s="379">
        <f t="shared" si="38"/>
        <v>11675993.760000002</v>
      </c>
      <c r="H108" s="379">
        <f t="shared" si="38"/>
        <v>11675993.760000002</v>
      </c>
      <c r="I108" s="379">
        <f t="shared" si="38"/>
        <v>11675993.760000002</v>
      </c>
      <c r="J108" s="379">
        <f t="shared" si="38"/>
        <v>11675993.760000002</v>
      </c>
      <c r="K108" s="379">
        <f t="shared" si="38"/>
        <v>11675993.760000002</v>
      </c>
      <c r="L108" s="379">
        <f t="shared" si="38"/>
        <v>11675993.760000002</v>
      </c>
      <c r="M108" s="379">
        <f t="shared" si="38"/>
        <v>11675993.760000002</v>
      </c>
      <c r="N108" s="379">
        <f t="shared" si="38"/>
        <v>11675993.760000002</v>
      </c>
      <c r="O108" s="379">
        <f t="shared" si="38"/>
        <v>11675993.760000002</v>
      </c>
      <c r="P108" s="379">
        <f t="shared" si="38"/>
        <v>11675993.760000002</v>
      </c>
      <c r="Q108" s="379">
        <f t="shared" si="38"/>
        <v>11675993.760000002</v>
      </c>
      <c r="R108" s="379">
        <f t="shared" si="38"/>
        <v>11675993.760000002</v>
      </c>
      <c r="S108" s="379">
        <f t="shared" si="38"/>
        <v>11675993.760000002</v>
      </c>
      <c r="T108" s="379">
        <f t="shared" si="38"/>
        <v>11675993.760000002</v>
      </c>
      <c r="U108" s="379">
        <f t="shared" si="38"/>
        <v>11675993.760000002</v>
      </c>
      <c r="V108" s="379">
        <f t="shared" si="38"/>
        <v>11675993.760000002</v>
      </c>
      <c r="W108" s="379">
        <f t="shared" si="38"/>
        <v>11675993.760000002</v>
      </c>
      <c r="X108" s="379">
        <f t="shared" si="38"/>
        <v>11675993.760000002</v>
      </c>
      <c r="Y108" s="379">
        <f t="shared" si="38"/>
        <v>11675993.760000002</v>
      </c>
      <c r="Z108" s="379">
        <f t="shared" si="38"/>
        <v>11675993.760000002</v>
      </c>
      <c r="AA108" s="379">
        <f t="shared" si="38"/>
        <v>11675993.760000002</v>
      </c>
      <c r="AB108" s="379">
        <f t="shared" si="38"/>
        <v>11675993.760000002</v>
      </c>
      <c r="AC108" s="379">
        <f t="shared" si="38"/>
        <v>11675993.760000002</v>
      </c>
      <c r="AD108" s="379">
        <f t="shared" si="38"/>
        <v>11675993.760000002</v>
      </c>
      <c r="AE108" s="379">
        <f t="shared" si="38"/>
        <v>11675993.760000002</v>
      </c>
      <c r="AF108" s="379">
        <f t="shared" si="38"/>
        <v>11675993.760000002</v>
      </c>
      <c r="AG108" s="379">
        <f t="shared" si="38"/>
        <v>11675993.760000002</v>
      </c>
      <c r="AH108" s="379">
        <f t="shared" si="38"/>
        <v>11675993.760000002</v>
      </c>
      <c r="AI108" s="379">
        <f t="shared" si="38"/>
        <v>11675993.760000002</v>
      </c>
      <c r="AJ108" s="379">
        <f t="shared" si="38"/>
        <v>11675993.760000002</v>
      </c>
      <c r="AK108" s="379">
        <f t="shared" si="38"/>
        <v>11675993.760000002</v>
      </c>
      <c r="AL108" s="379">
        <f t="shared" si="38"/>
        <v>11675993.760000002</v>
      </c>
      <c r="AM108" s="379">
        <f t="shared" si="38"/>
        <v>11675993.760000002</v>
      </c>
      <c r="AN108" s="379">
        <f t="shared" si="38"/>
        <v>11675993.760000002</v>
      </c>
      <c r="AO108" s="379">
        <f t="shared" si="38"/>
        <v>11675993.760000002</v>
      </c>
      <c r="AP108" s="379">
        <f t="shared" si="38"/>
        <v>11675993.760000002</v>
      </c>
      <c r="AT108" s="324"/>
      <c r="AU108" s="324"/>
      <c r="AV108" s="324"/>
      <c r="AW108" s="324"/>
      <c r="AX108" s="324"/>
      <c r="AY108" s="324"/>
      <c r="AZ108" s="324"/>
      <c r="BA108" s="324"/>
      <c r="BB108" s="324"/>
      <c r="BC108" s="324"/>
      <c r="BD108" s="324"/>
      <c r="BE108" s="324"/>
      <c r="BF108" s="324"/>
      <c r="BG108" s="324"/>
    </row>
    <row r="109" spans="1:71" ht="12.75" x14ac:dyDescent="0.2">
      <c r="A109" s="378" t="s">
        <v>576</v>
      </c>
      <c r="B109" s="377"/>
      <c r="C109" s="377">
        <f>B109+$I$120*C113</f>
        <v>0.61380000000000001</v>
      </c>
      <c r="D109" s="377">
        <f>C109+$I$120*D113</f>
        <v>1.2276</v>
      </c>
      <c r="E109" s="377">
        <f t="shared" ref="E109:AP109" si="39">D109+$I$120*E113</f>
        <v>1.86</v>
      </c>
      <c r="F109" s="377">
        <f t="shared" si="39"/>
        <v>1.86</v>
      </c>
      <c r="G109" s="377">
        <f t="shared" si="39"/>
        <v>1.86</v>
      </c>
      <c r="H109" s="377">
        <f t="shared" si="39"/>
        <v>1.86</v>
      </c>
      <c r="I109" s="377">
        <f t="shared" si="39"/>
        <v>1.86</v>
      </c>
      <c r="J109" s="377">
        <f t="shared" si="39"/>
        <v>1.86</v>
      </c>
      <c r="K109" s="377">
        <f t="shared" si="39"/>
        <v>1.86</v>
      </c>
      <c r="L109" s="377">
        <f t="shared" si="39"/>
        <v>1.86</v>
      </c>
      <c r="M109" s="377">
        <f t="shared" si="39"/>
        <v>1.86</v>
      </c>
      <c r="N109" s="377">
        <f t="shared" si="39"/>
        <v>1.86</v>
      </c>
      <c r="O109" s="377">
        <f t="shared" si="39"/>
        <v>1.86</v>
      </c>
      <c r="P109" s="377">
        <f t="shared" si="39"/>
        <v>1.86</v>
      </c>
      <c r="Q109" s="377">
        <f t="shared" si="39"/>
        <v>1.86</v>
      </c>
      <c r="R109" s="377">
        <f t="shared" si="39"/>
        <v>1.86</v>
      </c>
      <c r="S109" s="377">
        <f t="shared" si="39"/>
        <v>1.86</v>
      </c>
      <c r="T109" s="377">
        <f t="shared" si="39"/>
        <v>1.86</v>
      </c>
      <c r="U109" s="377">
        <f t="shared" si="39"/>
        <v>1.86</v>
      </c>
      <c r="V109" s="377">
        <f t="shared" si="39"/>
        <v>1.86</v>
      </c>
      <c r="W109" s="377">
        <f t="shared" si="39"/>
        <v>1.86</v>
      </c>
      <c r="X109" s="377">
        <f t="shared" si="39"/>
        <v>1.86</v>
      </c>
      <c r="Y109" s="377">
        <f t="shared" si="39"/>
        <v>1.86</v>
      </c>
      <c r="Z109" s="377">
        <f t="shared" si="39"/>
        <v>1.86</v>
      </c>
      <c r="AA109" s="377">
        <f t="shared" si="39"/>
        <v>1.86</v>
      </c>
      <c r="AB109" s="377">
        <f t="shared" si="39"/>
        <v>1.86</v>
      </c>
      <c r="AC109" s="377">
        <f t="shared" si="39"/>
        <v>1.86</v>
      </c>
      <c r="AD109" s="377">
        <f t="shared" si="39"/>
        <v>1.86</v>
      </c>
      <c r="AE109" s="377">
        <f t="shared" si="39"/>
        <v>1.86</v>
      </c>
      <c r="AF109" s="377">
        <f t="shared" si="39"/>
        <v>1.86</v>
      </c>
      <c r="AG109" s="377">
        <f t="shared" si="39"/>
        <v>1.86</v>
      </c>
      <c r="AH109" s="377">
        <f t="shared" si="39"/>
        <v>1.86</v>
      </c>
      <c r="AI109" s="377">
        <f t="shared" si="39"/>
        <v>1.86</v>
      </c>
      <c r="AJ109" s="377">
        <f t="shared" si="39"/>
        <v>1.86</v>
      </c>
      <c r="AK109" s="377">
        <f t="shared" si="39"/>
        <v>1.86</v>
      </c>
      <c r="AL109" s="377">
        <f t="shared" si="39"/>
        <v>1.86</v>
      </c>
      <c r="AM109" s="377">
        <f t="shared" si="39"/>
        <v>1.86</v>
      </c>
      <c r="AN109" s="377">
        <f t="shared" si="39"/>
        <v>1.86</v>
      </c>
      <c r="AO109" s="377">
        <f t="shared" si="39"/>
        <v>1.86</v>
      </c>
      <c r="AP109" s="377">
        <f t="shared" si="39"/>
        <v>1.86</v>
      </c>
      <c r="AT109" s="324"/>
      <c r="AU109" s="324"/>
      <c r="AV109" s="324"/>
      <c r="AW109" s="324"/>
      <c r="AX109" s="324"/>
      <c r="AY109" s="324"/>
      <c r="AZ109" s="324"/>
      <c r="BA109" s="324"/>
      <c r="BB109" s="324"/>
      <c r="BC109" s="324"/>
      <c r="BD109" s="324"/>
      <c r="BE109" s="324"/>
      <c r="BF109" s="324"/>
      <c r="BG109" s="324"/>
    </row>
    <row r="110" spans="1:71" ht="12.75" x14ac:dyDescent="0.2">
      <c r="A110" s="378" t="s">
        <v>577</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24"/>
      <c r="AU110" s="324"/>
      <c r="AV110" s="324"/>
      <c r="AW110" s="324"/>
      <c r="AX110" s="324"/>
      <c r="AY110" s="324"/>
      <c r="AZ110" s="324"/>
      <c r="BA110" s="324"/>
      <c r="BB110" s="324"/>
      <c r="BC110" s="324"/>
      <c r="BD110" s="324"/>
      <c r="BE110" s="324"/>
      <c r="BF110" s="324"/>
      <c r="BG110" s="324"/>
    </row>
    <row r="111" spans="1:71" ht="12.75" x14ac:dyDescent="0.2">
      <c r="A111" s="378" t="s">
        <v>578</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24"/>
      <c r="AU111" s="324"/>
      <c r="AV111" s="324"/>
      <c r="AW111" s="324"/>
      <c r="AX111" s="324"/>
      <c r="AY111" s="324"/>
      <c r="AZ111" s="324"/>
      <c r="BA111" s="324"/>
      <c r="BB111" s="324"/>
      <c r="BC111" s="324"/>
      <c r="BD111" s="324"/>
      <c r="BE111" s="324"/>
      <c r="BF111" s="324"/>
      <c r="BG111" s="324"/>
    </row>
    <row r="112" spans="1:71" ht="12.75" x14ac:dyDescent="0.2">
      <c r="A112" s="378" t="s">
        <v>579</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324"/>
      <c r="AU112" s="324"/>
      <c r="AV112" s="324"/>
      <c r="AW112" s="324"/>
      <c r="AX112" s="324"/>
      <c r="AY112" s="324"/>
      <c r="AZ112" s="324"/>
      <c r="BA112" s="324"/>
      <c r="BB112" s="324"/>
      <c r="BC112" s="324"/>
      <c r="BD112" s="324"/>
      <c r="BE112" s="324"/>
      <c r="BF112" s="324"/>
      <c r="BG112" s="324"/>
    </row>
    <row r="113" spans="1:71" ht="15" x14ac:dyDescent="0.2">
      <c r="A113" s="381" t="s">
        <v>580</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24"/>
      <c r="AU113" s="324"/>
      <c r="AV113" s="324"/>
      <c r="AW113" s="324"/>
      <c r="AX113" s="324"/>
      <c r="AY113" s="324"/>
      <c r="AZ113" s="324"/>
      <c r="BA113" s="324"/>
      <c r="BB113" s="324"/>
      <c r="BC113" s="324"/>
      <c r="BD113" s="324"/>
      <c r="BE113" s="324"/>
      <c r="BF113" s="324"/>
      <c r="BG113" s="324"/>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75"/>
      <c r="B116" s="455" t="s">
        <v>581</v>
      </c>
      <c r="C116" s="456"/>
      <c r="D116" s="455" t="s">
        <v>582</v>
      </c>
      <c r="E116" s="456"/>
      <c r="F116" s="375"/>
      <c r="G116" s="375"/>
      <c r="H116" s="375"/>
      <c r="I116" s="375"/>
      <c r="J116" s="375"/>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78" t="s">
        <v>583</v>
      </c>
      <c r="B117" s="384"/>
      <c r="C117" s="375" t="s">
        <v>584</v>
      </c>
      <c r="D117" s="384">
        <f>'3.1. паспорт Техсостояние ПС'!O25</f>
        <v>2</v>
      </c>
      <c r="E117" s="375" t="s">
        <v>584</v>
      </c>
      <c r="F117" s="375"/>
      <c r="G117" s="375"/>
      <c r="H117" s="375"/>
      <c r="I117" s="375"/>
      <c r="J117" s="375"/>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78" t="s">
        <v>583</v>
      </c>
      <c r="B118" s="375">
        <f>$B$110*B117</f>
        <v>0</v>
      </c>
      <c r="C118" s="375" t="s">
        <v>125</v>
      </c>
      <c r="D118" s="375">
        <f>$B$110*D117</f>
        <v>1.86</v>
      </c>
      <c r="E118" s="375" t="s">
        <v>125</v>
      </c>
      <c r="F118" s="378" t="s">
        <v>585</v>
      </c>
      <c r="G118" s="375">
        <f>D117-B117</f>
        <v>2</v>
      </c>
      <c r="H118" s="375" t="s">
        <v>584</v>
      </c>
      <c r="I118" s="385">
        <f>$B$110*G118</f>
        <v>1.86</v>
      </c>
      <c r="J118" s="375" t="s">
        <v>125</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75"/>
      <c r="B119" s="375"/>
      <c r="C119" s="375"/>
      <c r="D119" s="375"/>
      <c r="E119" s="375"/>
      <c r="F119" s="378" t="s">
        <v>586</v>
      </c>
      <c r="G119" s="375">
        <f>I119/$B$110</f>
        <v>0</v>
      </c>
      <c r="H119" s="375" t="s">
        <v>584</v>
      </c>
      <c r="I119" s="384"/>
      <c r="J119" s="375" t="s">
        <v>125</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86"/>
      <c r="B120" s="387"/>
      <c r="C120" s="387"/>
      <c r="D120" s="387"/>
      <c r="E120" s="387"/>
      <c r="F120" s="388" t="s">
        <v>587</v>
      </c>
      <c r="G120" s="385">
        <f>G118</f>
        <v>2</v>
      </c>
      <c r="H120" s="375" t="s">
        <v>584</v>
      </c>
      <c r="I120" s="380">
        <f>I118</f>
        <v>1.86</v>
      </c>
      <c r="J120" s="375" t="s">
        <v>125</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89" t="s">
        <v>588</v>
      </c>
      <c r="B122" s="390">
        <f>9.20714*1.0776</f>
        <v>9.9216140639999999</v>
      </c>
      <c r="C122" s="329" t="s">
        <v>646</v>
      </c>
      <c r="D122" s="457" t="s">
        <v>251</v>
      </c>
      <c r="E122" s="332" t="s">
        <v>589</v>
      </c>
      <c r="F122" s="333">
        <v>35</v>
      </c>
      <c r="G122" s="458" t="s">
        <v>590</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89" t="s">
        <v>251</v>
      </c>
      <c r="B123" s="391">
        <v>30</v>
      </c>
      <c r="C123" s="329"/>
      <c r="D123" s="457"/>
      <c r="E123" s="332" t="s">
        <v>549</v>
      </c>
      <c r="F123" s="333">
        <v>30</v>
      </c>
      <c r="G123" s="458"/>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89" t="s">
        <v>591</v>
      </c>
      <c r="B124" s="391" t="s">
        <v>546</v>
      </c>
      <c r="C124" s="334" t="s">
        <v>592</v>
      </c>
      <c r="D124" s="457"/>
      <c r="E124" s="332" t="s">
        <v>593</v>
      </c>
      <c r="F124" s="333">
        <v>30</v>
      </c>
      <c r="G124" s="458"/>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291" customFormat="1" x14ac:dyDescent="0.2">
      <c r="A125" s="335"/>
      <c r="B125" s="336"/>
      <c r="C125" s="337"/>
      <c r="D125" s="457"/>
      <c r="E125" s="332" t="s">
        <v>594</v>
      </c>
      <c r="F125" s="333">
        <v>30</v>
      </c>
      <c r="G125" s="458"/>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c r="AG125" s="338"/>
      <c r="AH125" s="338"/>
      <c r="AI125" s="338"/>
      <c r="AJ125" s="338"/>
      <c r="AK125" s="338"/>
      <c r="AL125" s="338"/>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38"/>
      <c r="BQ125" s="338"/>
      <c r="BR125" s="338"/>
      <c r="BS125" s="338"/>
    </row>
    <row r="126" spans="1:71" ht="12.75" x14ac:dyDescent="0.2">
      <c r="A126" s="389" t="s">
        <v>595</v>
      </c>
      <c r="B126" s="392">
        <f>$B$122*1000*1000</f>
        <v>9921614.0639999993</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89" t="s">
        <v>596</v>
      </c>
      <c r="B127" s="393">
        <v>0.01</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9"/>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89" t="s">
        <v>597</v>
      </c>
      <c r="B129" s="394">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40"/>
      <c r="B130" s="341"/>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95" t="s">
        <v>598</v>
      </c>
      <c r="B131" s="396">
        <v>1.4332</v>
      </c>
      <c r="C131" s="338"/>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2.75" x14ac:dyDescent="0.2">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1"/>
      <c r="AR133" s="291"/>
      <c r="AS133" s="291"/>
      <c r="BH133" s="329"/>
      <c r="BI133" s="329"/>
      <c r="BJ133" s="329"/>
      <c r="BK133" s="329"/>
      <c r="BL133" s="329"/>
      <c r="BM133" s="329"/>
      <c r="BN133" s="329"/>
      <c r="BO133" s="329"/>
      <c r="BP133" s="329"/>
      <c r="BQ133" s="329"/>
      <c r="BR133" s="329"/>
      <c r="BS133" s="329"/>
    </row>
    <row r="134" spans="1:71" x14ac:dyDescent="0.2">
      <c r="A134" s="389" t="s">
        <v>599</v>
      </c>
      <c r="C134" s="338" t="s">
        <v>600</v>
      </c>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291"/>
      <c r="AR134" s="291"/>
      <c r="AS134" s="291"/>
      <c r="BH134" s="338"/>
      <c r="BI134" s="338"/>
      <c r="BJ134" s="338"/>
      <c r="BK134" s="338"/>
      <c r="BL134" s="338"/>
      <c r="BM134" s="338"/>
      <c r="BN134" s="338"/>
      <c r="BO134" s="338"/>
      <c r="BP134" s="338"/>
      <c r="BQ134" s="338"/>
      <c r="BR134" s="338"/>
      <c r="BS134" s="338"/>
    </row>
    <row r="135" spans="1:71" ht="12.75" x14ac:dyDescent="0.2">
      <c r="A135" s="389"/>
      <c r="B135" s="397">
        <v>2016</v>
      </c>
      <c r="C135" s="397">
        <f>B135+1</f>
        <v>2017</v>
      </c>
      <c r="D135" s="397">
        <f t="shared" ref="D135:AY135" si="40">C135+1</f>
        <v>2018</v>
      </c>
      <c r="E135" s="397">
        <f t="shared" si="40"/>
        <v>2019</v>
      </c>
      <c r="F135" s="397">
        <f t="shared" si="40"/>
        <v>2020</v>
      </c>
      <c r="G135" s="397">
        <f t="shared" si="40"/>
        <v>2021</v>
      </c>
      <c r="H135" s="397">
        <f t="shared" si="40"/>
        <v>2022</v>
      </c>
      <c r="I135" s="397">
        <f t="shared" si="40"/>
        <v>2023</v>
      </c>
      <c r="J135" s="397">
        <f t="shared" si="40"/>
        <v>2024</v>
      </c>
      <c r="K135" s="397">
        <f t="shared" si="40"/>
        <v>2025</v>
      </c>
      <c r="L135" s="397">
        <f t="shared" si="40"/>
        <v>2026</v>
      </c>
      <c r="M135" s="397">
        <f t="shared" si="40"/>
        <v>2027</v>
      </c>
      <c r="N135" s="397">
        <f t="shared" si="40"/>
        <v>2028</v>
      </c>
      <c r="O135" s="397">
        <f t="shared" si="40"/>
        <v>2029</v>
      </c>
      <c r="P135" s="397">
        <f t="shared" si="40"/>
        <v>2030</v>
      </c>
      <c r="Q135" s="397">
        <f t="shared" si="40"/>
        <v>2031</v>
      </c>
      <c r="R135" s="397">
        <f t="shared" si="40"/>
        <v>2032</v>
      </c>
      <c r="S135" s="397">
        <f t="shared" si="40"/>
        <v>2033</v>
      </c>
      <c r="T135" s="397">
        <f t="shared" si="40"/>
        <v>2034</v>
      </c>
      <c r="U135" s="397">
        <f t="shared" si="40"/>
        <v>2035</v>
      </c>
      <c r="V135" s="397">
        <f t="shared" si="40"/>
        <v>2036</v>
      </c>
      <c r="W135" s="397">
        <f t="shared" si="40"/>
        <v>2037</v>
      </c>
      <c r="X135" s="397">
        <f t="shared" si="40"/>
        <v>2038</v>
      </c>
      <c r="Y135" s="397">
        <f t="shared" si="40"/>
        <v>2039</v>
      </c>
      <c r="Z135" s="397">
        <f t="shared" si="40"/>
        <v>2040</v>
      </c>
      <c r="AA135" s="397">
        <f t="shared" si="40"/>
        <v>2041</v>
      </c>
      <c r="AB135" s="397">
        <f t="shared" si="40"/>
        <v>2042</v>
      </c>
      <c r="AC135" s="397">
        <f t="shared" si="40"/>
        <v>2043</v>
      </c>
      <c r="AD135" s="397">
        <f t="shared" si="40"/>
        <v>2044</v>
      </c>
      <c r="AE135" s="397">
        <f t="shared" si="40"/>
        <v>2045</v>
      </c>
      <c r="AF135" s="397">
        <f t="shared" si="40"/>
        <v>2046</v>
      </c>
      <c r="AG135" s="397">
        <f t="shared" si="40"/>
        <v>2047</v>
      </c>
      <c r="AH135" s="397">
        <f t="shared" si="40"/>
        <v>2048</v>
      </c>
      <c r="AI135" s="397">
        <f t="shared" si="40"/>
        <v>2049</v>
      </c>
      <c r="AJ135" s="397">
        <f t="shared" si="40"/>
        <v>2050</v>
      </c>
      <c r="AK135" s="397">
        <f t="shared" si="40"/>
        <v>2051</v>
      </c>
      <c r="AL135" s="397">
        <f t="shared" si="40"/>
        <v>2052</v>
      </c>
      <c r="AM135" s="397">
        <f t="shared" si="40"/>
        <v>2053</v>
      </c>
      <c r="AN135" s="397">
        <f t="shared" si="40"/>
        <v>2054</v>
      </c>
      <c r="AO135" s="397">
        <f t="shared" si="40"/>
        <v>2055</v>
      </c>
      <c r="AP135" s="397">
        <f t="shared" si="40"/>
        <v>2056</v>
      </c>
      <c r="AQ135" s="397">
        <f t="shared" si="40"/>
        <v>2057</v>
      </c>
      <c r="AR135" s="397">
        <f t="shared" si="40"/>
        <v>2058</v>
      </c>
      <c r="AS135" s="397">
        <f t="shared" si="40"/>
        <v>2059</v>
      </c>
      <c r="AT135" s="397">
        <f t="shared" si="40"/>
        <v>2060</v>
      </c>
      <c r="AU135" s="397">
        <f t="shared" si="40"/>
        <v>2061</v>
      </c>
      <c r="AV135" s="397">
        <f t="shared" si="40"/>
        <v>2062</v>
      </c>
      <c r="AW135" s="397">
        <f t="shared" si="40"/>
        <v>2063</v>
      </c>
      <c r="AX135" s="397">
        <f t="shared" si="40"/>
        <v>2064</v>
      </c>
      <c r="AY135" s="397">
        <f t="shared" si="40"/>
        <v>2065</v>
      </c>
    </row>
    <row r="136" spans="1:71" ht="12.75" x14ac:dyDescent="0.2">
      <c r="A136" s="389" t="s">
        <v>601</v>
      </c>
      <c r="B136" s="398"/>
      <c r="C136" s="399"/>
      <c r="D136" s="399">
        <v>4.5999999999999999E-2</v>
      </c>
      <c r="E136" s="399">
        <v>4.3999999999999997E-2</v>
      </c>
      <c r="F136" s="399">
        <v>4.2000000000000003E-2</v>
      </c>
      <c r="G136" s="399">
        <f>F136</f>
        <v>4.2000000000000003E-2</v>
      </c>
      <c r="H136" s="399">
        <f>G136</f>
        <v>4.2000000000000003E-2</v>
      </c>
      <c r="I136" s="399">
        <f t="shared" ref="I136:AY136" si="41">H136</f>
        <v>4.2000000000000003E-2</v>
      </c>
      <c r="J136" s="399">
        <f t="shared" si="41"/>
        <v>4.2000000000000003E-2</v>
      </c>
      <c r="K136" s="399">
        <f t="shared" si="41"/>
        <v>4.2000000000000003E-2</v>
      </c>
      <c r="L136" s="399">
        <f t="shared" si="41"/>
        <v>4.2000000000000003E-2</v>
      </c>
      <c r="M136" s="399">
        <f t="shared" si="41"/>
        <v>4.2000000000000003E-2</v>
      </c>
      <c r="N136" s="399">
        <f t="shared" si="41"/>
        <v>4.2000000000000003E-2</v>
      </c>
      <c r="O136" s="399">
        <f t="shared" si="41"/>
        <v>4.2000000000000003E-2</v>
      </c>
      <c r="P136" s="399">
        <f t="shared" si="41"/>
        <v>4.2000000000000003E-2</v>
      </c>
      <c r="Q136" s="399">
        <f t="shared" si="41"/>
        <v>4.2000000000000003E-2</v>
      </c>
      <c r="R136" s="399">
        <f t="shared" si="41"/>
        <v>4.2000000000000003E-2</v>
      </c>
      <c r="S136" s="399">
        <f t="shared" si="41"/>
        <v>4.2000000000000003E-2</v>
      </c>
      <c r="T136" s="399">
        <f t="shared" si="41"/>
        <v>4.2000000000000003E-2</v>
      </c>
      <c r="U136" s="399">
        <f t="shared" si="41"/>
        <v>4.2000000000000003E-2</v>
      </c>
      <c r="V136" s="399">
        <f t="shared" si="41"/>
        <v>4.2000000000000003E-2</v>
      </c>
      <c r="W136" s="399">
        <f t="shared" si="41"/>
        <v>4.2000000000000003E-2</v>
      </c>
      <c r="X136" s="399">
        <f t="shared" si="41"/>
        <v>4.2000000000000003E-2</v>
      </c>
      <c r="Y136" s="399">
        <f t="shared" si="41"/>
        <v>4.2000000000000003E-2</v>
      </c>
      <c r="Z136" s="399">
        <f t="shared" si="41"/>
        <v>4.2000000000000003E-2</v>
      </c>
      <c r="AA136" s="399">
        <f t="shared" si="41"/>
        <v>4.2000000000000003E-2</v>
      </c>
      <c r="AB136" s="399">
        <f t="shared" si="41"/>
        <v>4.2000000000000003E-2</v>
      </c>
      <c r="AC136" s="399">
        <f t="shared" si="41"/>
        <v>4.2000000000000003E-2</v>
      </c>
      <c r="AD136" s="399">
        <f t="shared" si="41"/>
        <v>4.2000000000000003E-2</v>
      </c>
      <c r="AE136" s="399">
        <f t="shared" si="41"/>
        <v>4.2000000000000003E-2</v>
      </c>
      <c r="AF136" s="399">
        <f t="shared" si="41"/>
        <v>4.2000000000000003E-2</v>
      </c>
      <c r="AG136" s="399">
        <f t="shared" si="41"/>
        <v>4.2000000000000003E-2</v>
      </c>
      <c r="AH136" s="399">
        <f t="shared" si="41"/>
        <v>4.2000000000000003E-2</v>
      </c>
      <c r="AI136" s="399">
        <f t="shared" si="41"/>
        <v>4.2000000000000003E-2</v>
      </c>
      <c r="AJ136" s="399">
        <f t="shared" si="41"/>
        <v>4.2000000000000003E-2</v>
      </c>
      <c r="AK136" s="399">
        <f t="shared" si="41"/>
        <v>4.2000000000000003E-2</v>
      </c>
      <c r="AL136" s="399">
        <f t="shared" si="41"/>
        <v>4.2000000000000003E-2</v>
      </c>
      <c r="AM136" s="399">
        <f t="shared" si="41"/>
        <v>4.2000000000000003E-2</v>
      </c>
      <c r="AN136" s="399">
        <f t="shared" si="41"/>
        <v>4.2000000000000003E-2</v>
      </c>
      <c r="AO136" s="399">
        <f t="shared" si="41"/>
        <v>4.2000000000000003E-2</v>
      </c>
      <c r="AP136" s="399">
        <f t="shared" si="41"/>
        <v>4.2000000000000003E-2</v>
      </c>
      <c r="AQ136" s="399">
        <f t="shared" si="41"/>
        <v>4.2000000000000003E-2</v>
      </c>
      <c r="AR136" s="399">
        <f t="shared" si="41"/>
        <v>4.2000000000000003E-2</v>
      </c>
      <c r="AS136" s="399">
        <f t="shared" si="41"/>
        <v>4.2000000000000003E-2</v>
      </c>
      <c r="AT136" s="399">
        <f t="shared" si="41"/>
        <v>4.2000000000000003E-2</v>
      </c>
      <c r="AU136" s="399">
        <f t="shared" si="41"/>
        <v>4.2000000000000003E-2</v>
      </c>
      <c r="AV136" s="399">
        <f t="shared" si="41"/>
        <v>4.2000000000000003E-2</v>
      </c>
      <c r="AW136" s="399">
        <f t="shared" si="41"/>
        <v>4.2000000000000003E-2</v>
      </c>
      <c r="AX136" s="399">
        <f t="shared" si="41"/>
        <v>4.2000000000000003E-2</v>
      </c>
      <c r="AY136" s="399">
        <f t="shared" si="41"/>
        <v>4.2000000000000003E-2</v>
      </c>
    </row>
    <row r="137" spans="1:71" s="291" customFormat="1" ht="15" x14ac:dyDescent="0.2">
      <c r="A137" s="389" t="s">
        <v>602</v>
      </c>
      <c r="B137" s="342"/>
      <c r="C137" s="400">
        <f>(1+B137)*(1+C136)-1</f>
        <v>0</v>
      </c>
      <c r="D137" s="400">
        <f>(1+C137)*(1+D136)-1</f>
        <v>4.6000000000000041E-2</v>
      </c>
      <c r="E137" s="400">
        <f>(1+D137)*(1+E136)-1</f>
        <v>9.2024000000000106E-2</v>
      </c>
      <c r="F137" s="400">
        <f t="shared" ref="F137:AY137" si="42">(1+E137)*(1+F136)-1</f>
        <v>0.13788900800000015</v>
      </c>
      <c r="G137" s="400">
        <f>(1+F137)*(1+G136)-1</f>
        <v>0.18568034633600017</v>
      </c>
      <c r="H137" s="400">
        <f t="shared" si="42"/>
        <v>0.2354789208821122</v>
      </c>
      <c r="I137" s="400">
        <f t="shared" si="42"/>
        <v>0.28736903555916093</v>
      </c>
      <c r="J137" s="400">
        <f t="shared" si="42"/>
        <v>0.34143853505264565</v>
      </c>
      <c r="K137" s="400">
        <f t="shared" si="42"/>
        <v>0.39777895352485682</v>
      </c>
      <c r="L137" s="400">
        <f t="shared" si="42"/>
        <v>0.45648566957290093</v>
      </c>
      <c r="M137" s="400">
        <f t="shared" si="42"/>
        <v>0.51765806769496292</v>
      </c>
      <c r="N137" s="400">
        <f t="shared" si="42"/>
        <v>0.58139970653815132</v>
      </c>
      <c r="O137" s="400">
        <f t="shared" si="42"/>
        <v>0.64781849421275384</v>
      </c>
      <c r="P137" s="400">
        <f t="shared" si="42"/>
        <v>0.71702687096968964</v>
      </c>
      <c r="Q137" s="400">
        <f t="shared" si="42"/>
        <v>0.78914199955041675</v>
      </c>
      <c r="R137" s="400">
        <f t="shared" si="42"/>
        <v>0.86428596353153431</v>
      </c>
      <c r="S137" s="400">
        <f t="shared" si="42"/>
        <v>0.94258597399985877</v>
      </c>
      <c r="T137" s="400">
        <f t="shared" si="42"/>
        <v>1.0241745849078527</v>
      </c>
      <c r="U137" s="400">
        <f t="shared" si="42"/>
        <v>1.1091899174739828</v>
      </c>
      <c r="V137" s="400">
        <f t="shared" si="42"/>
        <v>1.19777589400789</v>
      </c>
      <c r="W137" s="400">
        <f t="shared" si="42"/>
        <v>1.2900824815562215</v>
      </c>
      <c r="X137" s="400">
        <f t="shared" si="42"/>
        <v>1.3862659457815827</v>
      </c>
      <c r="Y137" s="400">
        <f t="shared" si="42"/>
        <v>1.4864891155044093</v>
      </c>
      <c r="Z137" s="400">
        <f t="shared" si="42"/>
        <v>1.5909216583555947</v>
      </c>
      <c r="AA137" s="400">
        <f t="shared" si="42"/>
        <v>1.6997403680065299</v>
      </c>
      <c r="AB137" s="400">
        <f t="shared" si="42"/>
        <v>1.8131294634628041</v>
      </c>
      <c r="AC137" s="400">
        <f t="shared" si="42"/>
        <v>1.9312809009282419</v>
      </c>
      <c r="AD137" s="400">
        <f t="shared" si="42"/>
        <v>2.0543946987672284</v>
      </c>
      <c r="AE137" s="400">
        <f t="shared" si="42"/>
        <v>2.1826792761154521</v>
      </c>
      <c r="AF137" s="400">
        <f t="shared" si="42"/>
        <v>2.3163518057123014</v>
      </c>
      <c r="AG137" s="400">
        <f t="shared" si="42"/>
        <v>2.4556385815522184</v>
      </c>
      <c r="AH137" s="400">
        <f t="shared" si="42"/>
        <v>2.6007754019774119</v>
      </c>
      <c r="AI137" s="400">
        <f t="shared" si="42"/>
        <v>2.7520079688604633</v>
      </c>
      <c r="AJ137" s="400">
        <f t="shared" si="42"/>
        <v>2.909592303552603</v>
      </c>
      <c r="AK137" s="400">
        <f t="shared" si="42"/>
        <v>3.0737951803018122</v>
      </c>
      <c r="AL137" s="400">
        <f t="shared" si="42"/>
        <v>3.2448945778744882</v>
      </c>
      <c r="AM137" s="400">
        <f t="shared" si="42"/>
        <v>3.4231801501452166</v>
      </c>
      <c r="AN137" s="400">
        <f t="shared" si="42"/>
        <v>3.6089537164513157</v>
      </c>
      <c r="AO137" s="400">
        <f t="shared" si="42"/>
        <v>3.8025297725422709</v>
      </c>
      <c r="AP137" s="400">
        <f t="shared" si="42"/>
        <v>4.0042360229890468</v>
      </c>
      <c r="AQ137" s="400">
        <f t="shared" si="42"/>
        <v>4.2144139359545871</v>
      </c>
      <c r="AR137" s="400">
        <f t="shared" si="42"/>
        <v>4.4334193212646804</v>
      </c>
      <c r="AS137" s="400">
        <f t="shared" si="42"/>
        <v>4.6616229327577976</v>
      </c>
      <c r="AT137" s="400">
        <f t="shared" si="42"/>
        <v>4.8994110959336252</v>
      </c>
      <c r="AU137" s="400">
        <f t="shared" si="42"/>
        <v>5.147186361962838</v>
      </c>
      <c r="AV137" s="400">
        <f t="shared" si="42"/>
        <v>5.4053681891652774</v>
      </c>
      <c r="AW137" s="400">
        <f>(1+AV137)*(1+AW136)-1</f>
        <v>5.6743936531102195</v>
      </c>
      <c r="AX137" s="400">
        <f t="shared" si="42"/>
        <v>5.9547181865408492</v>
      </c>
      <c r="AY137" s="400">
        <f t="shared" si="42"/>
        <v>6.2468163503755649</v>
      </c>
    </row>
    <row r="138" spans="1:71" s="291" customFormat="1" x14ac:dyDescent="0.2">
      <c r="A138" s="343"/>
      <c r="B138" s="344"/>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43"/>
    </row>
    <row r="139" spans="1:71" ht="12.75" x14ac:dyDescent="0.2">
      <c r="A139" s="331"/>
      <c r="B139" s="398">
        <v>2016</v>
      </c>
      <c r="C139" s="398">
        <f>B139+1</f>
        <v>2017</v>
      </c>
      <c r="D139" s="398">
        <f t="shared" ref="D139:S140" si="43">C139+1</f>
        <v>2018</v>
      </c>
      <c r="E139" s="398">
        <f t="shared" si="43"/>
        <v>2019</v>
      </c>
      <c r="F139" s="398">
        <f t="shared" si="43"/>
        <v>2020</v>
      </c>
      <c r="G139" s="398">
        <f t="shared" si="43"/>
        <v>2021</v>
      </c>
      <c r="H139" s="398">
        <f t="shared" si="43"/>
        <v>2022</v>
      </c>
      <c r="I139" s="398">
        <f t="shared" si="43"/>
        <v>2023</v>
      </c>
      <c r="J139" s="398">
        <f t="shared" si="43"/>
        <v>2024</v>
      </c>
      <c r="K139" s="398">
        <f t="shared" si="43"/>
        <v>2025</v>
      </c>
      <c r="L139" s="398">
        <f t="shared" si="43"/>
        <v>2026</v>
      </c>
      <c r="M139" s="398">
        <f t="shared" si="43"/>
        <v>2027</v>
      </c>
      <c r="N139" s="398">
        <f t="shared" si="43"/>
        <v>2028</v>
      </c>
      <c r="O139" s="398">
        <f t="shared" si="43"/>
        <v>2029</v>
      </c>
      <c r="P139" s="398">
        <f t="shared" si="43"/>
        <v>2030</v>
      </c>
      <c r="Q139" s="398">
        <f t="shared" si="43"/>
        <v>2031</v>
      </c>
      <c r="R139" s="398">
        <f t="shared" si="43"/>
        <v>2032</v>
      </c>
      <c r="S139" s="398">
        <f t="shared" si="43"/>
        <v>2033</v>
      </c>
      <c r="T139" s="398">
        <f t="shared" ref="T139:AI140" si="44">S139+1</f>
        <v>2034</v>
      </c>
      <c r="U139" s="398">
        <f t="shared" si="44"/>
        <v>2035</v>
      </c>
      <c r="V139" s="398">
        <f t="shared" si="44"/>
        <v>2036</v>
      </c>
      <c r="W139" s="398">
        <f t="shared" si="44"/>
        <v>2037</v>
      </c>
      <c r="X139" s="398">
        <f t="shared" si="44"/>
        <v>2038</v>
      </c>
      <c r="Y139" s="398">
        <f t="shared" si="44"/>
        <v>2039</v>
      </c>
      <c r="Z139" s="398">
        <f t="shared" si="44"/>
        <v>2040</v>
      </c>
      <c r="AA139" s="398">
        <f t="shared" si="44"/>
        <v>2041</v>
      </c>
      <c r="AB139" s="398">
        <f t="shared" si="44"/>
        <v>2042</v>
      </c>
      <c r="AC139" s="398">
        <f t="shared" si="44"/>
        <v>2043</v>
      </c>
      <c r="AD139" s="398">
        <f t="shared" si="44"/>
        <v>2044</v>
      </c>
      <c r="AE139" s="398">
        <f t="shared" si="44"/>
        <v>2045</v>
      </c>
      <c r="AF139" s="398">
        <f t="shared" si="44"/>
        <v>2046</v>
      </c>
      <c r="AG139" s="398">
        <f t="shared" si="44"/>
        <v>2047</v>
      </c>
      <c r="AH139" s="398">
        <f t="shared" si="44"/>
        <v>2048</v>
      </c>
      <c r="AI139" s="398">
        <f t="shared" si="44"/>
        <v>2049</v>
      </c>
      <c r="AJ139" s="398">
        <f t="shared" ref="AJ139:AY140" si="45">AI139+1</f>
        <v>2050</v>
      </c>
      <c r="AK139" s="398">
        <f t="shared" si="45"/>
        <v>2051</v>
      </c>
      <c r="AL139" s="398">
        <f t="shared" si="45"/>
        <v>2052</v>
      </c>
      <c r="AM139" s="398">
        <f t="shared" si="45"/>
        <v>2053</v>
      </c>
      <c r="AN139" s="398">
        <f t="shared" si="45"/>
        <v>2054</v>
      </c>
      <c r="AO139" s="398">
        <f t="shared" si="45"/>
        <v>2055</v>
      </c>
      <c r="AP139" s="398">
        <f t="shared" si="45"/>
        <v>2056</v>
      </c>
      <c r="AQ139" s="398">
        <f t="shared" si="45"/>
        <v>2057</v>
      </c>
      <c r="AR139" s="398">
        <f t="shared" si="45"/>
        <v>2058</v>
      </c>
      <c r="AS139" s="398">
        <f t="shared" si="45"/>
        <v>2059</v>
      </c>
      <c r="AT139" s="398">
        <f t="shared" si="45"/>
        <v>2060</v>
      </c>
      <c r="AU139" s="398">
        <f t="shared" si="45"/>
        <v>2061</v>
      </c>
      <c r="AV139" s="398">
        <f t="shared" si="45"/>
        <v>2062</v>
      </c>
      <c r="AW139" s="398">
        <f t="shared" si="45"/>
        <v>2063</v>
      </c>
      <c r="AX139" s="398">
        <f t="shared" si="45"/>
        <v>2064</v>
      </c>
      <c r="AY139" s="398">
        <f t="shared" si="45"/>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401">
        <v>0</v>
      </c>
      <c r="C140" s="401">
        <v>0</v>
      </c>
      <c r="D140" s="401">
        <v>1</v>
      </c>
      <c r="E140" s="401">
        <f>D140+1</f>
        <v>2</v>
      </c>
      <c r="F140" s="401">
        <f t="shared" si="43"/>
        <v>3</v>
      </c>
      <c r="G140" s="401">
        <f t="shared" si="43"/>
        <v>4</v>
      </c>
      <c r="H140" s="401">
        <f t="shared" si="43"/>
        <v>5</v>
      </c>
      <c r="I140" s="401">
        <f t="shared" si="43"/>
        <v>6</v>
      </c>
      <c r="J140" s="401">
        <f t="shared" si="43"/>
        <v>7</v>
      </c>
      <c r="K140" s="401">
        <f t="shared" si="43"/>
        <v>8</v>
      </c>
      <c r="L140" s="401">
        <f t="shared" si="43"/>
        <v>9</v>
      </c>
      <c r="M140" s="401">
        <f t="shared" si="43"/>
        <v>10</v>
      </c>
      <c r="N140" s="401">
        <f t="shared" si="43"/>
        <v>11</v>
      </c>
      <c r="O140" s="401">
        <f t="shared" si="43"/>
        <v>12</v>
      </c>
      <c r="P140" s="401">
        <f t="shared" si="43"/>
        <v>13</v>
      </c>
      <c r="Q140" s="401">
        <f t="shared" si="43"/>
        <v>14</v>
      </c>
      <c r="R140" s="401">
        <f t="shared" si="43"/>
        <v>15</v>
      </c>
      <c r="S140" s="401">
        <f t="shared" si="43"/>
        <v>16</v>
      </c>
      <c r="T140" s="401">
        <f t="shared" si="44"/>
        <v>17</v>
      </c>
      <c r="U140" s="401">
        <f t="shared" si="44"/>
        <v>18</v>
      </c>
      <c r="V140" s="401">
        <f t="shared" si="44"/>
        <v>19</v>
      </c>
      <c r="W140" s="401">
        <f t="shared" si="44"/>
        <v>20</v>
      </c>
      <c r="X140" s="401">
        <f t="shared" si="44"/>
        <v>21</v>
      </c>
      <c r="Y140" s="401">
        <f t="shared" si="44"/>
        <v>22</v>
      </c>
      <c r="Z140" s="401">
        <f t="shared" si="44"/>
        <v>23</v>
      </c>
      <c r="AA140" s="401">
        <f t="shared" si="44"/>
        <v>24</v>
      </c>
      <c r="AB140" s="401">
        <f t="shared" si="44"/>
        <v>25</v>
      </c>
      <c r="AC140" s="401">
        <f t="shared" si="44"/>
        <v>26</v>
      </c>
      <c r="AD140" s="401">
        <f t="shared" si="44"/>
        <v>27</v>
      </c>
      <c r="AE140" s="401">
        <f t="shared" si="44"/>
        <v>28</v>
      </c>
      <c r="AF140" s="401">
        <f t="shared" si="44"/>
        <v>29</v>
      </c>
      <c r="AG140" s="401">
        <f t="shared" si="44"/>
        <v>30</v>
      </c>
      <c r="AH140" s="401">
        <f t="shared" si="44"/>
        <v>31</v>
      </c>
      <c r="AI140" s="401">
        <f t="shared" si="44"/>
        <v>32</v>
      </c>
      <c r="AJ140" s="401">
        <f t="shared" si="45"/>
        <v>33</v>
      </c>
      <c r="AK140" s="401">
        <f t="shared" si="45"/>
        <v>34</v>
      </c>
      <c r="AL140" s="401">
        <f t="shared" si="45"/>
        <v>35</v>
      </c>
      <c r="AM140" s="401">
        <f t="shared" si="45"/>
        <v>36</v>
      </c>
      <c r="AN140" s="401">
        <f t="shared" si="45"/>
        <v>37</v>
      </c>
      <c r="AO140" s="401">
        <f t="shared" si="45"/>
        <v>38</v>
      </c>
      <c r="AP140" s="401">
        <f>AO140+1</f>
        <v>39</v>
      </c>
      <c r="AQ140" s="401">
        <f t="shared" si="45"/>
        <v>40</v>
      </c>
      <c r="AR140" s="401">
        <f t="shared" si="45"/>
        <v>41</v>
      </c>
      <c r="AS140" s="401">
        <f t="shared" si="45"/>
        <v>42</v>
      </c>
      <c r="AT140" s="401">
        <f t="shared" si="45"/>
        <v>43</v>
      </c>
      <c r="AU140" s="401">
        <f t="shared" si="45"/>
        <v>44</v>
      </c>
      <c r="AV140" s="401">
        <f t="shared" si="45"/>
        <v>45</v>
      </c>
      <c r="AW140" s="401">
        <f t="shared" si="45"/>
        <v>46</v>
      </c>
      <c r="AX140" s="401">
        <f t="shared" si="45"/>
        <v>47</v>
      </c>
      <c r="AY140" s="401">
        <f t="shared" si="45"/>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402">
        <f>AVERAGE(A140:B140)</f>
        <v>0</v>
      </c>
      <c r="C141" s="402">
        <f>AVERAGE(B140:C140)</f>
        <v>0</v>
      </c>
      <c r="D141" s="402">
        <f>AVERAGE(C140:D140)</f>
        <v>0.5</v>
      </c>
      <c r="E141" s="402">
        <f>AVERAGE(D140:E140)</f>
        <v>1.5</v>
      </c>
      <c r="F141" s="402">
        <f t="shared" ref="F141:AO141" si="46">AVERAGE(E140:F140)</f>
        <v>2.5</v>
      </c>
      <c r="G141" s="402">
        <f t="shared" si="46"/>
        <v>3.5</v>
      </c>
      <c r="H141" s="402">
        <f t="shared" si="46"/>
        <v>4.5</v>
      </c>
      <c r="I141" s="402">
        <f t="shared" si="46"/>
        <v>5.5</v>
      </c>
      <c r="J141" s="402">
        <f t="shared" si="46"/>
        <v>6.5</v>
      </c>
      <c r="K141" s="402">
        <f t="shared" si="46"/>
        <v>7.5</v>
      </c>
      <c r="L141" s="402">
        <f t="shared" si="46"/>
        <v>8.5</v>
      </c>
      <c r="M141" s="402">
        <f t="shared" si="46"/>
        <v>9.5</v>
      </c>
      <c r="N141" s="402">
        <f t="shared" si="46"/>
        <v>10.5</v>
      </c>
      <c r="O141" s="402">
        <f t="shared" si="46"/>
        <v>11.5</v>
      </c>
      <c r="P141" s="402">
        <f t="shared" si="46"/>
        <v>12.5</v>
      </c>
      <c r="Q141" s="402">
        <f t="shared" si="46"/>
        <v>13.5</v>
      </c>
      <c r="R141" s="402">
        <f t="shared" si="46"/>
        <v>14.5</v>
      </c>
      <c r="S141" s="402">
        <f t="shared" si="46"/>
        <v>15.5</v>
      </c>
      <c r="T141" s="402">
        <f t="shared" si="46"/>
        <v>16.5</v>
      </c>
      <c r="U141" s="402">
        <f t="shared" si="46"/>
        <v>17.5</v>
      </c>
      <c r="V141" s="402">
        <f t="shared" si="46"/>
        <v>18.5</v>
      </c>
      <c r="W141" s="402">
        <f t="shared" si="46"/>
        <v>19.5</v>
      </c>
      <c r="X141" s="402">
        <f t="shared" si="46"/>
        <v>20.5</v>
      </c>
      <c r="Y141" s="402">
        <f t="shared" si="46"/>
        <v>21.5</v>
      </c>
      <c r="Z141" s="402">
        <f t="shared" si="46"/>
        <v>22.5</v>
      </c>
      <c r="AA141" s="402">
        <f t="shared" si="46"/>
        <v>23.5</v>
      </c>
      <c r="AB141" s="402">
        <f t="shared" si="46"/>
        <v>24.5</v>
      </c>
      <c r="AC141" s="402">
        <f t="shared" si="46"/>
        <v>25.5</v>
      </c>
      <c r="AD141" s="402">
        <f t="shared" si="46"/>
        <v>26.5</v>
      </c>
      <c r="AE141" s="402">
        <f t="shared" si="46"/>
        <v>27.5</v>
      </c>
      <c r="AF141" s="402">
        <f t="shared" si="46"/>
        <v>28.5</v>
      </c>
      <c r="AG141" s="402">
        <f t="shared" si="46"/>
        <v>29.5</v>
      </c>
      <c r="AH141" s="402">
        <f t="shared" si="46"/>
        <v>30.5</v>
      </c>
      <c r="AI141" s="402">
        <f t="shared" si="46"/>
        <v>31.5</v>
      </c>
      <c r="AJ141" s="402">
        <f t="shared" si="46"/>
        <v>32.5</v>
      </c>
      <c r="AK141" s="402">
        <f t="shared" si="46"/>
        <v>33.5</v>
      </c>
      <c r="AL141" s="402">
        <f t="shared" si="46"/>
        <v>34.5</v>
      </c>
      <c r="AM141" s="402">
        <f t="shared" si="46"/>
        <v>35.5</v>
      </c>
      <c r="AN141" s="402">
        <f t="shared" si="46"/>
        <v>36.5</v>
      </c>
      <c r="AO141" s="402">
        <f t="shared" si="46"/>
        <v>37.5</v>
      </c>
      <c r="AP141" s="402">
        <f>AVERAGE(AO140:AP140)</f>
        <v>38.5</v>
      </c>
      <c r="AQ141" s="402">
        <f t="shared" ref="AQ141:AY141" si="47">AVERAGE(AP140:AQ140)</f>
        <v>39.5</v>
      </c>
      <c r="AR141" s="402">
        <f t="shared" si="47"/>
        <v>40.5</v>
      </c>
      <c r="AS141" s="402">
        <f t="shared" si="47"/>
        <v>41.5</v>
      </c>
      <c r="AT141" s="402">
        <f t="shared" si="47"/>
        <v>42.5</v>
      </c>
      <c r="AU141" s="402">
        <f t="shared" si="47"/>
        <v>43.5</v>
      </c>
      <c r="AV141" s="402">
        <f t="shared" si="47"/>
        <v>44.5</v>
      </c>
      <c r="AW141" s="402">
        <f t="shared" si="47"/>
        <v>45.5</v>
      </c>
      <c r="AX141" s="402">
        <f t="shared" si="47"/>
        <v>46.5</v>
      </c>
      <c r="AY141" s="402">
        <f t="shared" si="47"/>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2.75" x14ac:dyDescent="0.2">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13" zoomScale="70" zoomScaleNormal="100" zoomScaleSheetLayoutView="70" workbookViewId="0">
      <selection activeCell="M21" sqref="A21:XFD21"/>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8" t="str">
        <f>'5. анализ эконом эфф'!A5</f>
        <v>Год раскрытия информации: 2023 год</v>
      </c>
      <c r="B5" s="408"/>
      <c r="C5" s="408"/>
      <c r="D5" s="408"/>
      <c r="E5" s="408"/>
      <c r="F5" s="408"/>
      <c r="G5" s="408"/>
      <c r="H5" s="408"/>
      <c r="I5" s="408"/>
      <c r="J5" s="408"/>
      <c r="K5" s="408"/>
    </row>
    <row r="6" spans="1:11" ht="15.75" x14ac:dyDescent="0.25">
      <c r="A6" s="17"/>
      <c r="B6" s="17"/>
      <c r="C6" s="52"/>
      <c r="D6" s="52"/>
      <c r="E6" s="52"/>
      <c r="F6" s="52"/>
      <c r="G6" s="52"/>
      <c r="H6" s="52"/>
      <c r="I6" s="52"/>
      <c r="J6" s="17"/>
      <c r="K6" s="17"/>
    </row>
    <row r="7" spans="1:11" ht="18.75" x14ac:dyDescent="0.25">
      <c r="A7" s="489" t="s">
        <v>7</v>
      </c>
      <c r="B7" s="489"/>
      <c r="C7" s="489"/>
      <c r="D7" s="489"/>
      <c r="E7" s="489"/>
      <c r="F7" s="489"/>
      <c r="G7" s="489"/>
      <c r="H7" s="489"/>
      <c r="I7" s="489"/>
      <c r="J7" s="489"/>
      <c r="K7" s="489"/>
    </row>
    <row r="8" spans="1:11" ht="18.75" x14ac:dyDescent="0.25">
      <c r="A8" s="489"/>
      <c r="B8" s="489"/>
      <c r="C8" s="489"/>
      <c r="D8" s="489"/>
      <c r="E8" s="489"/>
      <c r="F8" s="489"/>
      <c r="G8" s="489"/>
      <c r="H8" s="489"/>
      <c r="I8" s="489"/>
      <c r="J8" s="489"/>
      <c r="K8" s="489"/>
    </row>
    <row r="9" spans="1:11" ht="15.75" x14ac:dyDescent="0.25">
      <c r="A9" s="490" t="str">
        <f>'5. анализ эконом эфф'!A9</f>
        <v>Акционерное общество "Россети Янтарь"</v>
      </c>
      <c r="B9" s="490"/>
      <c r="C9" s="490"/>
      <c r="D9" s="490"/>
      <c r="E9" s="490"/>
      <c r="F9" s="490"/>
      <c r="G9" s="490"/>
      <c r="H9" s="490"/>
      <c r="I9" s="490"/>
      <c r="J9" s="490"/>
      <c r="K9" s="490"/>
    </row>
    <row r="10" spans="1:11" ht="15.75" x14ac:dyDescent="0.25">
      <c r="A10" s="476" t="s">
        <v>6</v>
      </c>
      <c r="B10" s="476"/>
      <c r="C10" s="476"/>
      <c r="D10" s="476"/>
      <c r="E10" s="476"/>
      <c r="F10" s="476"/>
      <c r="G10" s="476"/>
      <c r="H10" s="476"/>
      <c r="I10" s="476"/>
      <c r="J10" s="476"/>
      <c r="K10" s="476"/>
    </row>
    <row r="11" spans="1:11" ht="18.75" x14ac:dyDescent="0.25">
      <c r="A11" s="489"/>
      <c r="B11" s="489"/>
      <c r="C11" s="489"/>
      <c r="D11" s="489"/>
      <c r="E11" s="489"/>
      <c r="F11" s="489"/>
      <c r="G11" s="489"/>
      <c r="H11" s="489"/>
      <c r="I11" s="489"/>
      <c r="J11" s="489"/>
      <c r="K11" s="489"/>
    </row>
    <row r="12" spans="1:11" ht="15.75" x14ac:dyDescent="0.25">
      <c r="A12" s="490" t="str">
        <f>'5. анализ эконом эфф'!A12</f>
        <v>M_21-0295</v>
      </c>
      <c r="B12" s="490"/>
      <c r="C12" s="490"/>
      <c r="D12" s="490"/>
      <c r="E12" s="490"/>
      <c r="F12" s="490"/>
      <c r="G12" s="490"/>
      <c r="H12" s="490"/>
      <c r="I12" s="490"/>
      <c r="J12" s="490"/>
      <c r="K12" s="490"/>
    </row>
    <row r="13" spans="1:11" ht="15.75" x14ac:dyDescent="0.25">
      <c r="A13" s="476" t="s">
        <v>5</v>
      </c>
      <c r="B13" s="476"/>
      <c r="C13" s="476"/>
      <c r="D13" s="476"/>
      <c r="E13" s="476"/>
      <c r="F13" s="476"/>
      <c r="G13" s="476"/>
      <c r="H13" s="476"/>
      <c r="I13" s="476"/>
      <c r="J13" s="476"/>
      <c r="K13" s="476"/>
    </row>
    <row r="14" spans="1:11" ht="18.75" x14ac:dyDescent="0.25">
      <c r="A14" s="421"/>
      <c r="B14" s="421"/>
      <c r="C14" s="421"/>
      <c r="D14" s="421"/>
      <c r="E14" s="421"/>
      <c r="F14" s="421"/>
      <c r="G14" s="421"/>
      <c r="H14" s="421"/>
      <c r="I14" s="421"/>
      <c r="J14" s="421"/>
      <c r="K14" s="421"/>
    </row>
    <row r="15" spans="1:11" ht="15.75" x14ac:dyDescent="0.25">
      <c r="A15" s="477" t="str">
        <f>'5. анализ эконом эфф'!A15</f>
        <v>Строительство ТП 10/0,4 кВ, ЛЭП 10 кВ от ВЛ 35-03, ЛЭП 10 кВ от ВЛ 35-17, организация системы учета электроэнергии в п. Котельниково Зеленоградского района</v>
      </c>
      <c r="B15" s="477"/>
      <c r="C15" s="477"/>
      <c r="D15" s="477"/>
      <c r="E15" s="477"/>
      <c r="F15" s="477"/>
      <c r="G15" s="477"/>
      <c r="H15" s="477"/>
      <c r="I15" s="477"/>
      <c r="J15" s="477"/>
      <c r="K15" s="477"/>
    </row>
    <row r="16" spans="1:11" ht="15.75" x14ac:dyDescent="0.25">
      <c r="A16" s="476" t="s">
        <v>4</v>
      </c>
      <c r="B16" s="476"/>
      <c r="C16" s="476"/>
      <c r="D16" s="476"/>
      <c r="E16" s="476"/>
      <c r="F16" s="476"/>
      <c r="G16" s="476"/>
      <c r="H16" s="476"/>
      <c r="I16" s="476"/>
      <c r="J16" s="476"/>
      <c r="K16" s="47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4" t="s">
        <v>358</v>
      </c>
      <c r="B19" s="484"/>
      <c r="C19" s="484"/>
      <c r="D19" s="484"/>
      <c r="E19" s="484"/>
      <c r="F19" s="484"/>
      <c r="G19" s="484"/>
      <c r="H19" s="484"/>
      <c r="I19" s="484"/>
      <c r="J19" s="484"/>
      <c r="K19" s="484"/>
    </row>
    <row r="20" spans="1:12" ht="15.75" x14ac:dyDescent="0.25">
      <c r="A20" s="53"/>
      <c r="K20" s="52"/>
    </row>
    <row r="21" spans="1:12" ht="15.75" x14ac:dyDescent="0.25">
      <c r="A21" s="478" t="s">
        <v>193</v>
      </c>
      <c r="B21" s="478" t="s">
        <v>398</v>
      </c>
      <c r="C21" s="478" t="s">
        <v>403</v>
      </c>
      <c r="D21" s="478"/>
      <c r="E21" s="478"/>
      <c r="F21" s="478"/>
      <c r="G21" s="478"/>
      <c r="H21" s="478"/>
      <c r="I21" s="479" t="s">
        <v>192</v>
      </c>
      <c r="J21" s="480" t="s">
        <v>404</v>
      </c>
      <c r="K21" s="478" t="s">
        <v>191</v>
      </c>
      <c r="L21" s="475" t="s">
        <v>472</v>
      </c>
    </row>
    <row r="22" spans="1:12" ht="32.25" customHeight="1" x14ac:dyDescent="0.25">
      <c r="A22" s="478"/>
      <c r="B22" s="478"/>
      <c r="C22" s="483" t="s">
        <v>2</v>
      </c>
      <c r="D22" s="483"/>
      <c r="E22" s="487" t="s">
        <v>9</v>
      </c>
      <c r="F22" s="488"/>
      <c r="G22" s="485" t="s">
        <v>465</v>
      </c>
      <c r="H22" s="486"/>
      <c r="I22" s="479"/>
      <c r="J22" s="481"/>
      <c r="K22" s="478"/>
      <c r="L22" s="475"/>
    </row>
    <row r="23" spans="1:12" ht="31.5" x14ac:dyDescent="0.25">
      <c r="A23" s="478"/>
      <c r="B23" s="478"/>
      <c r="C23" s="137" t="s">
        <v>190</v>
      </c>
      <c r="D23" s="137" t="s">
        <v>189</v>
      </c>
      <c r="E23" s="137" t="s">
        <v>190</v>
      </c>
      <c r="F23" s="137" t="s">
        <v>189</v>
      </c>
      <c r="G23" s="137" t="s">
        <v>190</v>
      </c>
      <c r="H23" s="137" t="s">
        <v>189</v>
      </c>
      <c r="I23" s="479"/>
      <c r="J23" s="482"/>
      <c r="K23" s="478"/>
      <c r="L23" s="475"/>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405</v>
      </c>
      <c r="B26" s="152" t="s">
        <v>406</v>
      </c>
      <c r="C26" s="164" t="s">
        <v>481</v>
      </c>
      <c r="D26" s="165" t="s">
        <v>481</v>
      </c>
      <c r="E26" s="165">
        <v>44214</v>
      </c>
      <c r="F26" s="165">
        <v>44214</v>
      </c>
      <c r="G26" s="165"/>
      <c r="H26" s="165"/>
      <c r="I26" s="353">
        <v>100</v>
      </c>
      <c r="J26" s="353"/>
      <c r="K26" s="144"/>
      <c r="L26" s="144"/>
    </row>
    <row r="27" spans="1:12" ht="31.5" x14ac:dyDescent="0.25">
      <c r="A27" s="150" t="s">
        <v>408</v>
      </c>
      <c r="B27" s="152" t="s">
        <v>409</v>
      </c>
      <c r="C27" s="164" t="s">
        <v>481</v>
      </c>
      <c r="D27" s="165" t="s">
        <v>481</v>
      </c>
      <c r="E27" s="164" t="s">
        <v>407</v>
      </c>
      <c r="F27" s="165" t="str">
        <f t="shared" ref="F27:F30" si="0">E27</f>
        <v>не требуется</v>
      </c>
      <c r="G27" s="165"/>
      <c r="H27" s="165"/>
      <c r="I27" s="168"/>
      <c r="J27" s="138"/>
      <c r="K27" s="144"/>
      <c r="L27" s="144"/>
    </row>
    <row r="28" spans="1:12" ht="47.25" x14ac:dyDescent="0.25">
      <c r="A28" s="150" t="s">
        <v>411</v>
      </c>
      <c r="B28" s="152" t="s">
        <v>410</v>
      </c>
      <c r="C28" s="164" t="s">
        <v>481</v>
      </c>
      <c r="D28" s="165" t="s">
        <v>481</v>
      </c>
      <c r="E28" s="164" t="s">
        <v>407</v>
      </c>
      <c r="F28" s="165" t="str">
        <f t="shared" si="0"/>
        <v>не требуется</v>
      </c>
      <c r="G28" s="165"/>
      <c r="H28" s="165"/>
      <c r="I28" s="168"/>
      <c r="J28" s="138"/>
      <c r="K28" s="144"/>
      <c r="L28" s="144"/>
    </row>
    <row r="29" spans="1:12" ht="31.5" x14ac:dyDescent="0.25">
      <c r="A29" s="150" t="s">
        <v>413</v>
      </c>
      <c r="B29" s="152" t="s">
        <v>412</v>
      </c>
      <c r="C29" s="164" t="s">
        <v>481</v>
      </c>
      <c r="D29" s="165" t="s">
        <v>481</v>
      </c>
      <c r="E29" s="164" t="s">
        <v>407</v>
      </c>
      <c r="F29" s="165" t="str">
        <f t="shared" si="0"/>
        <v>не требуется</v>
      </c>
      <c r="G29" s="165"/>
      <c r="H29" s="165"/>
      <c r="I29" s="168"/>
      <c r="J29" s="139"/>
      <c r="K29" s="144"/>
      <c r="L29" s="144"/>
    </row>
    <row r="30" spans="1:12" ht="31.5" x14ac:dyDescent="0.25">
      <c r="A30" s="150" t="s">
        <v>415</v>
      </c>
      <c r="B30" s="152" t="s">
        <v>414</v>
      </c>
      <c r="C30" s="164" t="s">
        <v>481</v>
      </c>
      <c r="D30" s="165" t="s">
        <v>481</v>
      </c>
      <c r="E30" s="164" t="s">
        <v>407</v>
      </c>
      <c r="F30" s="165" t="str">
        <f t="shared" si="0"/>
        <v>не требуется</v>
      </c>
      <c r="G30" s="165"/>
      <c r="H30" s="165"/>
      <c r="I30" s="168"/>
      <c r="J30" s="143"/>
      <c r="K30" s="144"/>
      <c r="L30" s="144"/>
    </row>
    <row r="31" spans="1:12" ht="31.5" x14ac:dyDescent="0.25">
      <c r="A31" s="150" t="s">
        <v>416</v>
      </c>
      <c r="B31" s="152" t="s">
        <v>322</v>
      </c>
      <c r="C31" s="164" t="s">
        <v>481</v>
      </c>
      <c r="D31" s="165" t="s">
        <v>481</v>
      </c>
      <c r="E31" s="164">
        <v>44487</v>
      </c>
      <c r="F31" s="164">
        <v>44487</v>
      </c>
      <c r="G31" s="165"/>
      <c r="H31" s="165"/>
      <c r="I31" s="353">
        <v>100</v>
      </c>
      <c r="J31" s="143"/>
      <c r="K31" s="144"/>
      <c r="L31" s="144"/>
    </row>
    <row r="32" spans="1:12" ht="31.5" x14ac:dyDescent="0.25">
      <c r="A32" s="150" t="s">
        <v>418</v>
      </c>
      <c r="B32" s="152" t="s">
        <v>417</v>
      </c>
      <c r="C32" s="164" t="s">
        <v>481</v>
      </c>
      <c r="D32" s="165" t="s">
        <v>481</v>
      </c>
      <c r="E32" s="164"/>
      <c r="F32" s="165"/>
      <c r="G32" s="165"/>
      <c r="H32" s="165"/>
      <c r="I32" s="353"/>
      <c r="J32" s="353"/>
      <c r="K32" s="144"/>
      <c r="L32" s="144"/>
    </row>
    <row r="33" spans="1:12" ht="47.25" x14ac:dyDescent="0.25">
      <c r="A33" s="150" t="s">
        <v>420</v>
      </c>
      <c r="B33" s="152" t="s">
        <v>419</v>
      </c>
      <c r="C33" s="164" t="s">
        <v>481</v>
      </c>
      <c r="D33" s="165" t="s">
        <v>481</v>
      </c>
      <c r="E33" s="164" t="s">
        <v>407</v>
      </c>
      <c r="F33" s="165" t="str">
        <f t="shared" ref="F33:F34" si="1">E33</f>
        <v>не требуется</v>
      </c>
      <c r="G33" s="165"/>
      <c r="H33" s="165"/>
      <c r="I33" s="168"/>
      <c r="J33" s="139"/>
      <c r="K33" s="144"/>
      <c r="L33" s="144"/>
    </row>
    <row r="34" spans="1:12" ht="63" x14ac:dyDescent="0.25">
      <c r="A34" s="150" t="s">
        <v>422</v>
      </c>
      <c r="B34" s="152" t="s">
        <v>421</v>
      </c>
      <c r="C34" s="164" t="s">
        <v>481</v>
      </c>
      <c r="D34" s="165" t="s">
        <v>481</v>
      </c>
      <c r="E34" s="164" t="s">
        <v>407</v>
      </c>
      <c r="F34" s="165" t="str">
        <f t="shared" si="1"/>
        <v>не требуется</v>
      </c>
      <c r="G34" s="165"/>
      <c r="H34" s="165"/>
      <c r="I34" s="169"/>
      <c r="J34" s="138"/>
      <c r="K34" s="146"/>
      <c r="L34" s="144"/>
    </row>
    <row r="35" spans="1:12" ht="31.5" x14ac:dyDescent="0.25">
      <c r="A35" s="150" t="s">
        <v>423</v>
      </c>
      <c r="B35" s="152" t="s">
        <v>187</v>
      </c>
      <c r="C35" s="164" t="s">
        <v>481</v>
      </c>
      <c r="D35" s="165" t="s">
        <v>481</v>
      </c>
      <c r="E35" s="165"/>
      <c r="F35" s="165"/>
      <c r="G35" s="165"/>
      <c r="H35" s="165"/>
      <c r="I35" s="168"/>
      <c r="J35" s="146"/>
      <c r="K35" s="146"/>
      <c r="L35" s="144"/>
    </row>
    <row r="36" spans="1:12" ht="31.5" x14ac:dyDescent="0.25">
      <c r="A36" s="150" t="s">
        <v>425</v>
      </c>
      <c r="B36" s="152" t="s">
        <v>424</v>
      </c>
      <c r="C36" s="164" t="s">
        <v>481</v>
      </c>
      <c r="D36" s="165" t="s">
        <v>481</v>
      </c>
      <c r="E36" s="164" t="s">
        <v>407</v>
      </c>
      <c r="F36" s="165" t="str">
        <f t="shared" ref="F36" si="2">E36</f>
        <v>не требуется</v>
      </c>
      <c r="G36" s="165"/>
      <c r="H36" s="165"/>
      <c r="I36" s="170"/>
      <c r="J36" s="139"/>
      <c r="K36" s="147"/>
      <c r="L36" s="144"/>
    </row>
    <row r="37" spans="1:12" ht="15.75" x14ac:dyDescent="0.25">
      <c r="A37" s="150" t="s">
        <v>426</v>
      </c>
      <c r="B37" s="152" t="s">
        <v>186</v>
      </c>
      <c r="C37" s="164" t="s">
        <v>481</v>
      </c>
      <c r="D37" s="165" t="s">
        <v>481</v>
      </c>
      <c r="E37" s="165"/>
      <c r="F37" s="165"/>
      <c r="G37" s="165"/>
      <c r="H37" s="165"/>
      <c r="I37" s="353"/>
      <c r="J37" s="353"/>
      <c r="K37" s="147"/>
      <c r="L37" s="144"/>
    </row>
    <row r="38" spans="1:12" ht="15.75" x14ac:dyDescent="0.25">
      <c r="A38" s="153" t="s">
        <v>466</v>
      </c>
      <c r="B38" s="151" t="s">
        <v>185</v>
      </c>
      <c r="C38" s="164" t="s">
        <v>481</v>
      </c>
      <c r="D38" s="165" t="s">
        <v>481</v>
      </c>
      <c r="E38" s="165"/>
      <c r="F38" s="165"/>
      <c r="G38" s="165"/>
      <c r="H38" s="165"/>
      <c r="I38" s="171"/>
      <c r="J38" s="144"/>
      <c r="K38" s="144"/>
      <c r="L38" s="144"/>
    </row>
    <row r="39" spans="1:12" ht="63" x14ac:dyDescent="0.25">
      <c r="A39" s="150" t="s">
        <v>428</v>
      </c>
      <c r="B39" s="152" t="s">
        <v>427</v>
      </c>
      <c r="C39" s="164" t="s">
        <v>481</v>
      </c>
      <c r="D39" s="165" t="s">
        <v>481</v>
      </c>
      <c r="E39" s="164">
        <v>44487</v>
      </c>
      <c r="F39" s="164">
        <v>44487</v>
      </c>
      <c r="G39" s="165"/>
      <c r="H39" s="165"/>
      <c r="I39" s="353">
        <v>100</v>
      </c>
      <c r="J39" s="143"/>
      <c r="K39" s="144"/>
      <c r="L39" s="144"/>
    </row>
    <row r="40" spans="1:12" ht="15.75" x14ac:dyDescent="0.25">
      <c r="A40" s="150" t="s">
        <v>430</v>
      </c>
      <c r="B40" s="152" t="s">
        <v>429</v>
      </c>
      <c r="C40" s="164" t="s">
        <v>481</v>
      </c>
      <c r="D40" s="165" t="s">
        <v>481</v>
      </c>
      <c r="E40" s="164"/>
      <c r="F40" s="165"/>
      <c r="G40" s="165"/>
      <c r="H40" s="166"/>
      <c r="I40" s="172"/>
      <c r="J40" s="142"/>
      <c r="K40" s="144"/>
      <c r="L40" s="144"/>
    </row>
    <row r="41" spans="1:12" ht="47.25" x14ac:dyDescent="0.25">
      <c r="A41" s="150" t="s">
        <v>467</v>
      </c>
      <c r="B41" s="151" t="s">
        <v>431</v>
      </c>
      <c r="C41" s="164" t="s">
        <v>481</v>
      </c>
      <c r="D41" s="165" t="s">
        <v>481</v>
      </c>
      <c r="E41" s="165"/>
      <c r="F41" s="239"/>
      <c r="G41" s="165"/>
      <c r="H41" s="167"/>
      <c r="I41" s="171"/>
      <c r="J41" s="144"/>
      <c r="K41" s="144"/>
      <c r="L41" s="144"/>
    </row>
    <row r="42" spans="1:12" ht="31.5" x14ac:dyDescent="0.25">
      <c r="A42" s="150" t="s">
        <v>433</v>
      </c>
      <c r="B42" s="152" t="s">
        <v>432</v>
      </c>
      <c r="C42" s="164" t="s">
        <v>481</v>
      </c>
      <c r="D42" s="165" t="s">
        <v>481</v>
      </c>
      <c r="E42" s="164"/>
      <c r="F42" s="165"/>
      <c r="G42" s="165"/>
      <c r="H42" s="165"/>
      <c r="I42" s="172"/>
      <c r="J42" s="140"/>
      <c r="K42" s="144"/>
      <c r="L42" s="144"/>
    </row>
    <row r="43" spans="1:12" ht="15.75" x14ac:dyDescent="0.25">
      <c r="A43" s="150" t="s">
        <v>434</v>
      </c>
      <c r="B43" s="152" t="s">
        <v>184</v>
      </c>
      <c r="C43" s="164" t="s">
        <v>481</v>
      </c>
      <c r="D43" s="165" t="s">
        <v>481</v>
      </c>
      <c r="E43" s="164"/>
      <c r="F43" s="165"/>
      <c r="G43" s="165"/>
      <c r="H43" s="165"/>
      <c r="I43" s="171"/>
      <c r="J43" s="138"/>
      <c r="K43" s="144"/>
      <c r="L43" s="144"/>
    </row>
    <row r="44" spans="1:12" ht="15.75" x14ac:dyDescent="0.25">
      <c r="A44" s="150" t="s">
        <v>436</v>
      </c>
      <c r="B44" s="152" t="s">
        <v>435</v>
      </c>
      <c r="C44" s="164" t="s">
        <v>481</v>
      </c>
      <c r="D44" s="165" t="s">
        <v>481</v>
      </c>
      <c r="E44" s="164"/>
      <c r="F44" s="164"/>
      <c r="G44" s="165"/>
      <c r="H44" s="165"/>
      <c r="I44" s="353"/>
      <c r="J44" s="353"/>
      <c r="K44" s="144"/>
      <c r="L44" s="144"/>
    </row>
    <row r="45" spans="1:12" ht="78.75" x14ac:dyDescent="0.25">
      <c r="A45" s="150" t="s">
        <v>438</v>
      </c>
      <c r="B45" s="152" t="s">
        <v>437</v>
      </c>
      <c r="C45" s="164" t="s">
        <v>481</v>
      </c>
      <c r="D45" s="165" t="s">
        <v>481</v>
      </c>
      <c r="E45" s="164"/>
      <c r="F45" s="165"/>
      <c r="G45" s="165"/>
      <c r="H45" s="165"/>
      <c r="I45" s="171"/>
      <c r="J45" s="144"/>
      <c r="K45" s="144"/>
      <c r="L45" s="144"/>
    </row>
    <row r="46" spans="1:12" ht="157.5" x14ac:dyDescent="0.25">
      <c r="A46" s="150" t="s">
        <v>440</v>
      </c>
      <c r="B46" s="152" t="s">
        <v>439</v>
      </c>
      <c r="C46" s="164" t="s">
        <v>481</v>
      </c>
      <c r="D46" s="165" t="s">
        <v>481</v>
      </c>
      <c r="E46" s="164"/>
      <c r="F46" s="165"/>
      <c r="G46" s="165"/>
      <c r="H46" s="165"/>
      <c r="I46" s="171"/>
      <c r="J46" s="144"/>
      <c r="K46" s="144"/>
      <c r="L46" s="144"/>
    </row>
    <row r="47" spans="1:12" ht="15.75" x14ac:dyDescent="0.25">
      <c r="A47" s="150" t="s">
        <v>473</v>
      </c>
      <c r="B47" s="152" t="s">
        <v>441</v>
      </c>
      <c r="C47" s="164" t="s">
        <v>481</v>
      </c>
      <c r="D47" s="165" t="s">
        <v>481</v>
      </c>
      <c r="E47" s="165"/>
      <c r="F47" s="165"/>
      <c r="G47" s="165"/>
      <c r="H47" s="165"/>
      <c r="I47" s="353"/>
      <c r="J47" s="353"/>
      <c r="K47" s="144"/>
      <c r="L47" s="144"/>
    </row>
    <row r="48" spans="1:12" ht="31.5" x14ac:dyDescent="0.25">
      <c r="A48" s="150" t="s">
        <v>468</v>
      </c>
      <c r="B48" s="151" t="s">
        <v>183</v>
      </c>
      <c r="C48" s="164" t="s">
        <v>481</v>
      </c>
      <c r="D48" s="165" t="s">
        <v>481</v>
      </c>
      <c r="E48" s="165"/>
      <c r="F48" s="239"/>
      <c r="G48" s="165"/>
      <c r="H48" s="167"/>
      <c r="I48" s="171"/>
      <c r="J48" s="144"/>
      <c r="K48" s="144"/>
      <c r="L48" s="144"/>
    </row>
    <row r="49" spans="1:12" ht="31.5" x14ac:dyDescent="0.25">
      <c r="A49" s="150" t="s">
        <v>474</v>
      </c>
      <c r="B49" s="152" t="s">
        <v>182</v>
      </c>
      <c r="C49" s="164" t="s">
        <v>481</v>
      </c>
      <c r="D49" s="165" t="s">
        <v>481</v>
      </c>
      <c r="E49" s="165"/>
      <c r="F49" s="165"/>
      <c r="G49" s="165"/>
      <c r="H49" s="165"/>
      <c r="I49" s="353"/>
      <c r="J49" s="353"/>
      <c r="K49" s="144"/>
      <c r="L49" s="144"/>
    </row>
    <row r="50" spans="1:12" ht="78.75" x14ac:dyDescent="0.25">
      <c r="A50" s="153" t="s">
        <v>443</v>
      </c>
      <c r="B50" s="152" t="s">
        <v>442</v>
      </c>
      <c r="C50" s="164" t="s">
        <v>481</v>
      </c>
      <c r="D50" s="165" t="s">
        <v>481</v>
      </c>
      <c r="E50" s="165"/>
      <c r="F50" s="165"/>
      <c r="G50" s="165"/>
      <c r="H50" s="165"/>
      <c r="I50" s="353"/>
      <c r="J50" s="353"/>
      <c r="K50" s="144"/>
      <c r="L50" s="144"/>
    </row>
    <row r="51" spans="1:12" ht="63" x14ac:dyDescent="0.25">
      <c r="A51" s="150" t="s">
        <v>445</v>
      </c>
      <c r="B51" s="152" t="s">
        <v>444</v>
      </c>
      <c r="C51" s="164" t="s">
        <v>481</v>
      </c>
      <c r="D51" s="165" t="s">
        <v>481</v>
      </c>
      <c r="E51" s="164"/>
      <c r="F51" s="165"/>
      <c r="G51" s="165"/>
      <c r="H51" s="165"/>
      <c r="I51" s="171"/>
      <c r="J51" s="144"/>
      <c r="K51" s="144"/>
      <c r="L51" s="144"/>
    </row>
    <row r="52" spans="1:12" ht="63" x14ac:dyDescent="0.25">
      <c r="A52" s="150" t="s">
        <v>447</v>
      </c>
      <c r="B52" s="152" t="s">
        <v>446</v>
      </c>
      <c r="C52" s="164" t="s">
        <v>481</v>
      </c>
      <c r="D52" s="165" t="s">
        <v>481</v>
      </c>
      <c r="E52" s="165"/>
      <c r="F52" s="165"/>
      <c r="G52" s="165"/>
      <c r="H52" s="165"/>
      <c r="I52" s="171"/>
      <c r="J52" s="138"/>
      <c r="K52" s="144"/>
      <c r="L52" s="144"/>
    </row>
    <row r="53" spans="1:12" ht="31.5" x14ac:dyDescent="0.25">
      <c r="A53" s="150" t="s">
        <v>449</v>
      </c>
      <c r="B53" s="154" t="s">
        <v>448</v>
      </c>
      <c r="C53" s="164" t="s">
        <v>481</v>
      </c>
      <c r="D53" s="165" t="s">
        <v>481</v>
      </c>
      <c r="E53" s="165"/>
      <c r="F53" s="165"/>
      <c r="G53" s="165"/>
      <c r="H53" s="165"/>
      <c r="I53" s="353"/>
      <c r="J53" s="353"/>
      <c r="K53" s="144"/>
      <c r="L53" s="144"/>
    </row>
    <row r="54" spans="1:12" ht="31.5" x14ac:dyDescent="0.25">
      <c r="A54" s="150" t="s">
        <v>475</v>
      </c>
      <c r="B54" s="152" t="s">
        <v>450</v>
      </c>
      <c r="C54" s="164" t="s">
        <v>481</v>
      </c>
      <c r="D54" s="165" t="s">
        <v>481</v>
      </c>
      <c r="E54" s="164"/>
      <c r="F54" s="165"/>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2023-05-02T09:17:08Z</dcterms:modified>
</cp:coreProperties>
</file>